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0440" windowHeight="8640" tabRatio="850" firstSheet="4" activeTab="5"/>
  </bookViews>
  <sheets>
    <sheet name="GAS DAILY" sheetId="36" r:id="rId1"/>
    <sheet name="Sheet5" sheetId="60589" r:id="rId2"/>
    <sheet name="STRADDLES" sheetId="40" r:id="rId3"/>
    <sheet name="digital" sheetId="14" r:id="rId4"/>
    <sheet name="index est" sheetId="39" r:id="rId5"/>
    <sheet name="opt calc" sheetId="35" r:id="rId6"/>
    <sheet name="NEW SKEW TABLE" sheetId="27" r:id="rId7"/>
    <sheet name="pipes" sheetId="34" r:id="rId8"/>
    <sheet name="curves" sheetId="259" r:id="rId9"/>
    <sheet name="expiry" sheetId="2826" r:id="rId10"/>
  </sheets>
  <externalReferences>
    <externalReference r:id="rId11"/>
    <externalReference r:id="rId12"/>
    <externalReference r:id="rId13"/>
    <externalReference r:id="rId14"/>
  </externalReferences>
  <definedNames>
    <definedName name="accuracy">#REF!</definedName>
    <definedName name="aproct">STRADDLES!$B$23</definedName>
    <definedName name="b">'NEW SKEW TABLE'!$A$1:$U$39</definedName>
    <definedName name="Basis">#REF!</definedName>
    <definedName name="basisyn">#REF!</definedName>
    <definedName name="BeginDate">#REF!</definedName>
    <definedName name="BLAHBLAH">#REF!</definedName>
    <definedName name="CAL7VOL">STRADDLES!$B$115</definedName>
    <definedName name="CAL8VOL">STRADDLES!$B$116</definedName>
    <definedName name="CAL9VOL">STRADDLES!$B$117</definedName>
    <definedName name="CalcMode">#REF!</definedName>
    <definedName name="CALL1">#REF!</definedName>
    <definedName name="CALL2">#REF!</definedName>
    <definedName name="CALL3">#REF!</definedName>
    <definedName name="CALL4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#REF!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curves!$C$1:$BX$312</definedName>
    <definedName name="CurveTable">#REF!</definedName>
    <definedName name="CUSTOMVOLUME">#REF!</definedName>
    <definedName name="DATE">#REF!</definedName>
    <definedName name="datelook">STRADDLES!$A$31:$B$150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ASDVOLCURVE">#REF!</definedName>
    <definedName name="GASDVOLCURVES">#REF!</definedName>
    <definedName name="gdvols">[3]Curves!$B$13:$DQ$348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STRADDLES!#REF!</definedName>
    <definedName name="maxvol">#REF!</definedName>
    <definedName name="mktprem">#REF!</definedName>
    <definedName name="monthlook">#REF!</definedName>
    <definedName name="MONTHS">#REF!</definedName>
    <definedName name="notionalvolumes">#REF!</definedName>
    <definedName name="NYMEXPrices">#REF!</definedName>
    <definedName name="omicron">[3]Curves!$B$10:$DQ$10</definedName>
    <definedName name="PARAMS">STRADDLES!$B$159:$J$294</definedName>
    <definedName name="Password">#REF!</definedName>
    <definedName name="PEAKERDAYS">#REF!</definedName>
    <definedName name="PEAKERONOFF">#REF!</definedName>
    <definedName name="Physical">#REF!</definedName>
    <definedName name="_xlnm.Print_Area" localSheetId="7">pipes!$K$4:$L$15</definedName>
    <definedName name="_xlnm.Print_Area" localSheetId="2">STRADDLES!$A$1:$M$33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STRADDLES!$Y$173:$AA$184</definedName>
    <definedName name="simvol">#REF!</definedName>
    <definedName name="skewlook">#REF!</definedName>
    <definedName name="skewmonthlook">#REF!</definedName>
    <definedName name="skewtable">#REF!</definedName>
    <definedName name="SKEWYN">#REF!</definedName>
    <definedName name="StartDate">#REF!</definedName>
    <definedName name="STRADDLE">STRADDLES!$B$30:$Y$151</definedName>
    <definedName name="STRADDLEYN">#REF!</definedName>
    <definedName name="strike">#REF!</definedName>
    <definedName name="Strike1">#REF!</definedName>
    <definedName name="summerstrip">STRADDLES!$B$19</definedName>
    <definedName name="SWAPTIONBASIS1">#REF!</definedName>
    <definedName name="SWAPTIONBASIS2">#REF!</definedName>
    <definedName name="SWAPTIONBASIS3">#REF!</definedName>
    <definedName name="SWAPTIONSWAP1">#REF!</definedName>
    <definedName name="SWAPTIONSWAP2">#REF!</definedName>
    <definedName name="SWAPTIONSWAP3">#REF!</definedName>
    <definedName name="SWAPTIONVOL1">#REF!</definedName>
    <definedName name="SWAPTIONVOL2">#REF!</definedName>
    <definedName name="SWAPTIONVOL3">#REF!</definedName>
    <definedName name="Today">#REF!</definedName>
    <definedName name="TOTALVOLUME">#REF!</definedName>
    <definedName name="TSETTLE">STRADDLES!$C$18</definedName>
    <definedName name="UpperLeftOfCurveTable">#REF!</definedName>
    <definedName name="UserName">#REF!</definedName>
    <definedName name="VolAdder">#REF!</definedName>
    <definedName name="VOLBA">#REF!</definedName>
    <definedName name="VOLCURVES">#REF!</definedName>
    <definedName name="VolLookup">#REF!</definedName>
    <definedName name="VOLS">[1]STRADDLES!$B$5:$K$50</definedName>
    <definedName name="voltable">#REF!</definedName>
    <definedName name="Volume">#REF!</definedName>
    <definedName name="winterstrip">STRADDLES!$B$20</definedName>
  </definedNames>
  <calcPr calcId="92512" calcMode="manual" calcOnSave="0"/>
</workbook>
</file>

<file path=xl/calcChain.xml><?xml version="1.0" encoding="utf-8"?>
<calcChain xmlns="http://schemas.openxmlformats.org/spreadsheetml/2006/main">
  <c r="D1" i="259" l="1"/>
  <c r="E1" i="259"/>
  <c r="F1" i="259"/>
  <c r="G1" i="259"/>
  <c r="H1" i="259"/>
  <c r="I1" i="259"/>
  <c r="J1" i="259"/>
  <c r="K1" i="259"/>
  <c r="L1" i="259"/>
  <c r="M1" i="259"/>
  <c r="N1" i="259"/>
  <c r="O1" i="259"/>
  <c r="P1" i="259"/>
  <c r="Q1" i="259"/>
  <c r="R1" i="259"/>
  <c r="S1" i="259"/>
  <c r="T1" i="259"/>
  <c r="U1" i="259"/>
  <c r="V1" i="259"/>
  <c r="W1" i="259"/>
  <c r="X1" i="259"/>
  <c r="Y1" i="259"/>
  <c r="Z1" i="259"/>
  <c r="AA1" i="259"/>
  <c r="AB1" i="259"/>
  <c r="AC1" i="259"/>
  <c r="AD1" i="259"/>
  <c r="AE1" i="259"/>
  <c r="AF1" i="259"/>
  <c r="AG1" i="259"/>
  <c r="AH1" i="259"/>
  <c r="AI1" i="259"/>
  <c r="AJ1" i="259"/>
  <c r="AK1" i="259"/>
  <c r="AL1" i="259"/>
  <c r="AM1" i="259"/>
  <c r="AN1" i="259"/>
  <c r="AO1" i="259"/>
  <c r="AP1" i="259"/>
  <c r="AQ1" i="259"/>
  <c r="AR1" i="259"/>
  <c r="AS1" i="259"/>
  <c r="AT1" i="259"/>
  <c r="AU1" i="259"/>
  <c r="AV1" i="259"/>
  <c r="AW1" i="259"/>
  <c r="AX1" i="259"/>
  <c r="AY1" i="259"/>
  <c r="AZ1" i="259"/>
  <c r="BA1" i="259"/>
  <c r="BB1" i="259"/>
  <c r="BC1" i="259"/>
  <c r="BD1" i="259"/>
  <c r="BE1" i="259"/>
  <c r="BF1" i="259"/>
  <c r="BG1" i="259"/>
  <c r="BH1" i="259"/>
  <c r="BI1" i="259"/>
  <c r="BJ1" i="259"/>
  <c r="BK1" i="259"/>
  <c r="BL1" i="259"/>
  <c r="BM1" i="259"/>
  <c r="BN1" i="259"/>
  <c r="BO1" i="259"/>
  <c r="BP1" i="259"/>
  <c r="BQ1" i="259"/>
  <c r="BR1" i="259"/>
  <c r="BS1" i="259"/>
  <c r="BT1" i="259"/>
  <c r="BU1" i="259"/>
  <c r="BV1" i="259"/>
  <c r="E2" i="259"/>
  <c r="F2" i="259"/>
  <c r="G2" i="259"/>
  <c r="H2" i="259"/>
  <c r="I2" i="259"/>
  <c r="J2" i="259"/>
  <c r="K2" i="259"/>
  <c r="L2" i="259"/>
  <c r="M2" i="259"/>
  <c r="N2" i="259"/>
  <c r="O2" i="259"/>
  <c r="P2" i="259"/>
  <c r="Q2" i="259"/>
  <c r="R2" i="259"/>
  <c r="S2" i="259"/>
  <c r="T2" i="259"/>
  <c r="U2" i="259"/>
  <c r="V2" i="259"/>
  <c r="W2" i="259"/>
  <c r="X2" i="259"/>
  <c r="Y2" i="259"/>
  <c r="Z2" i="259"/>
  <c r="AA2" i="259"/>
  <c r="AB2" i="259"/>
  <c r="AC2" i="259"/>
  <c r="AD2" i="259"/>
  <c r="AE2" i="259"/>
  <c r="AF2" i="259"/>
  <c r="AG2" i="259"/>
  <c r="AH2" i="259"/>
  <c r="AI2" i="259"/>
  <c r="AJ2" i="259"/>
  <c r="AK2" i="259"/>
  <c r="AL2" i="259"/>
  <c r="AM2" i="259"/>
  <c r="AN2" i="259"/>
  <c r="AO2" i="259"/>
  <c r="AP2" i="259"/>
  <c r="AQ2" i="259"/>
  <c r="AR2" i="259"/>
  <c r="AS2" i="259"/>
  <c r="AT2" i="259"/>
  <c r="AU2" i="259"/>
  <c r="AV2" i="259"/>
  <c r="AW2" i="259"/>
  <c r="AX2" i="259"/>
  <c r="AY2" i="259"/>
  <c r="AZ2" i="259"/>
  <c r="BA2" i="259"/>
  <c r="BB2" i="259"/>
  <c r="BC2" i="259"/>
  <c r="BD2" i="259"/>
  <c r="BE2" i="259"/>
  <c r="BF2" i="259"/>
  <c r="BG2" i="259"/>
  <c r="BH2" i="259"/>
  <c r="BI2" i="259"/>
  <c r="BJ2" i="259"/>
  <c r="BK2" i="259"/>
  <c r="BL2" i="259"/>
  <c r="BM2" i="259"/>
  <c r="BN2" i="259"/>
  <c r="BO2" i="259"/>
  <c r="BP2" i="259"/>
  <c r="BQ2" i="259"/>
  <c r="BR2" i="259"/>
  <c r="BS2" i="259"/>
  <c r="BT2" i="259"/>
  <c r="BU2" i="259"/>
  <c r="BV2" i="259"/>
  <c r="A6" i="259"/>
  <c r="A7" i="259"/>
  <c r="C7" i="259"/>
  <c r="A8" i="259"/>
  <c r="C8" i="259"/>
  <c r="A9" i="259"/>
  <c r="C9" i="259"/>
  <c r="A10" i="259"/>
  <c r="C10" i="259"/>
  <c r="A11" i="259"/>
  <c r="C11" i="259"/>
  <c r="A12" i="259"/>
  <c r="C12" i="259"/>
  <c r="A13" i="259"/>
  <c r="C13" i="259"/>
  <c r="A14" i="259"/>
  <c r="C14" i="259"/>
  <c r="A15" i="259"/>
  <c r="C15" i="259"/>
  <c r="A16" i="259"/>
  <c r="C16" i="259"/>
  <c r="A17" i="259"/>
  <c r="C17" i="259"/>
  <c r="A18" i="259"/>
  <c r="C18" i="259"/>
  <c r="A19" i="259"/>
  <c r="C19" i="259"/>
  <c r="A20" i="259"/>
  <c r="C20" i="259"/>
  <c r="A21" i="259"/>
  <c r="C21" i="259"/>
  <c r="A22" i="259"/>
  <c r="C22" i="259"/>
  <c r="A23" i="259"/>
  <c r="C23" i="259"/>
  <c r="A24" i="259"/>
  <c r="C24" i="259"/>
  <c r="A25" i="259"/>
  <c r="C25" i="259"/>
  <c r="A26" i="259"/>
  <c r="C26" i="259"/>
  <c r="A27" i="259"/>
  <c r="C27" i="259"/>
  <c r="A28" i="259"/>
  <c r="C28" i="259"/>
  <c r="A29" i="259"/>
  <c r="C29" i="259"/>
  <c r="A30" i="259"/>
  <c r="C30" i="259"/>
  <c r="A31" i="259"/>
  <c r="C31" i="259"/>
  <c r="A32" i="259"/>
  <c r="C32" i="259"/>
  <c r="A33" i="259"/>
  <c r="C33" i="259"/>
  <c r="A34" i="259"/>
  <c r="C34" i="259"/>
  <c r="A35" i="259"/>
  <c r="C35" i="259"/>
  <c r="A36" i="259"/>
  <c r="C36" i="259"/>
  <c r="A37" i="259"/>
  <c r="C37" i="259"/>
  <c r="A38" i="259"/>
  <c r="C38" i="259"/>
  <c r="A39" i="259"/>
  <c r="C39" i="259"/>
  <c r="A40" i="259"/>
  <c r="C40" i="259"/>
  <c r="A41" i="259"/>
  <c r="C41" i="259"/>
  <c r="A42" i="259"/>
  <c r="C42" i="259"/>
  <c r="A43" i="259"/>
  <c r="C43" i="259"/>
  <c r="A44" i="259"/>
  <c r="C44" i="259"/>
  <c r="A45" i="259"/>
  <c r="C45" i="259"/>
  <c r="A46" i="259"/>
  <c r="C46" i="259"/>
  <c r="A47" i="259"/>
  <c r="C47" i="259"/>
  <c r="A48" i="259"/>
  <c r="C48" i="259"/>
  <c r="A49" i="259"/>
  <c r="C49" i="259"/>
  <c r="A50" i="259"/>
  <c r="C50" i="259"/>
  <c r="A51" i="259"/>
  <c r="C51" i="259"/>
  <c r="A52" i="259"/>
  <c r="C52" i="259"/>
  <c r="A53" i="259"/>
  <c r="C53" i="259"/>
  <c r="A54" i="259"/>
  <c r="C54" i="259"/>
  <c r="A55" i="259"/>
  <c r="C55" i="259"/>
  <c r="A56" i="259"/>
  <c r="C56" i="259"/>
  <c r="A57" i="259"/>
  <c r="C57" i="259"/>
  <c r="A58" i="259"/>
  <c r="C58" i="259"/>
  <c r="A59" i="259"/>
  <c r="C59" i="259"/>
  <c r="A60" i="259"/>
  <c r="C60" i="259"/>
  <c r="A61" i="259"/>
  <c r="C61" i="259"/>
  <c r="A62" i="259"/>
  <c r="C62" i="259"/>
  <c r="A63" i="259"/>
  <c r="C63" i="259"/>
  <c r="A64" i="259"/>
  <c r="C64" i="259"/>
  <c r="A65" i="259"/>
  <c r="C65" i="259"/>
  <c r="A66" i="259"/>
  <c r="C66" i="259"/>
  <c r="A67" i="259"/>
  <c r="C67" i="259"/>
  <c r="A68" i="259"/>
  <c r="C68" i="259"/>
  <c r="A69" i="259"/>
  <c r="C69" i="259"/>
  <c r="A70" i="259"/>
  <c r="C70" i="259"/>
  <c r="A71" i="259"/>
  <c r="C71" i="259"/>
  <c r="A72" i="259"/>
  <c r="C72" i="259"/>
  <c r="A73" i="259"/>
  <c r="C73" i="259"/>
  <c r="A74" i="259"/>
  <c r="C74" i="259"/>
  <c r="A75" i="259"/>
  <c r="C75" i="259"/>
  <c r="A76" i="259"/>
  <c r="C76" i="259"/>
  <c r="A77" i="259"/>
  <c r="C77" i="259"/>
  <c r="A78" i="259"/>
  <c r="C78" i="259"/>
  <c r="A79" i="259"/>
  <c r="C79" i="259"/>
  <c r="A80" i="259"/>
  <c r="C80" i="259"/>
  <c r="A81" i="259"/>
  <c r="C81" i="259"/>
  <c r="A82" i="259"/>
  <c r="C82" i="259"/>
  <c r="A83" i="259"/>
  <c r="C83" i="259"/>
  <c r="A84" i="259"/>
  <c r="C84" i="259"/>
  <c r="A85" i="259"/>
  <c r="C85" i="259"/>
  <c r="A86" i="259"/>
  <c r="C86" i="259"/>
  <c r="A87" i="259"/>
  <c r="C87" i="259"/>
  <c r="A88" i="259"/>
  <c r="C88" i="259"/>
  <c r="A89" i="259"/>
  <c r="C89" i="259"/>
  <c r="A90" i="259"/>
  <c r="C90" i="259"/>
  <c r="A91" i="259"/>
  <c r="C91" i="259"/>
  <c r="A92" i="259"/>
  <c r="C92" i="259"/>
  <c r="A93" i="259"/>
  <c r="C93" i="259"/>
  <c r="A94" i="259"/>
  <c r="C94" i="259"/>
  <c r="A95" i="259"/>
  <c r="C95" i="259"/>
  <c r="A96" i="259"/>
  <c r="C96" i="259"/>
  <c r="A97" i="259"/>
  <c r="C97" i="259"/>
  <c r="A98" i="259"/>
  <c r="C98" i="259"/>
  <c r="A99" i="259"/>
  <c r="C99" i="259"/>
  <c r="A100" i="259"/>
  <c r="C100" i="259"/>
  <c r="A101" i="259"/>
  <c r="C101" i="259"/>
  <c r="A102" i="259"/>
  <c r="C102" i="259"/>
  <c r="A103" i="259"/>
  <c r="C103" i="259"/>
  <c r="A104" i="259"/>
  <c r="C104" i="259"/>
  <c r="A105" i="259"/>
  <c r="C105" i="259"/>
  <c r="A106" i="259"/>
  <c r="C106" i="259"/>
  <c r="A107" i="259"/>
  <c r="C107" i="259"/>
  <c r="A108" i="259"/>
  <c r="C108" i="259"/>
  <c r="A109" i="259"/>
  <c r="C109" i="259"/>
  <c r="A110" i="259"/>
  <c r="C110" i="259"/>
  <c r="A111" i="259"/>
  <c r="C111" i="259"/>
  <c r="A112" i="259"/>
  <c r="C112" i="259"/>
  <c r="A113" i="259"/>
  <c r="C113" i="259"/>
  <c r="A114" i="259"/>
  <c r="C114" i="259"/>
  <c r="A115" i="259"/>
  <c r="C115" i="259"/>
  <c r="A116" i="259"/>
  <c r="C116" i="259"/>
  <c r="A117" i="259"/>
  <c r="C117" i="259"/>
  <c r="A118" i="259"/>
  <c r="C118" i="259"/>
  <c r="A119" i="259"/>
  <c r="C119" i="259"/>
  <c r="A120" i="259"/>
  <c r="C120" i="259"/>
  <c r="A121" i="259"/>
  <c r="C121" i="259"/>
  <c r="A122" i="259"/>
  <c r="C122" i="259"/>
  <c r="A123" i="259"/>
  <c r="C123" i="259"/>
  <c r="A124" i="259"/>
  <c r="C124" i="259"/>
  <c r="A125" i="259"/>
  <c r="C125" i="259"/>
  <c r="A126" i="259"/>
  <c r="C126" i="259"/>
  <c r="A127" i="259"/>
  <c r="C127" i="259"/>
  <c r="A128" i="259"/>
  <c r="C128" i="259"/>
  <c r="A129" i="259"/>
  <c r="C129" i="259"/>
  <c r="A130" i="259"/>
  <c r="C130" i="259"/>
  <c r="A131" i="259"/>
  <c r="C131" i="259"/>
  <c r="A132" i="259"/>
  <c r="C132" i="259"/>
  <c r="A133" i="259"/>
  <c r="C133" i="259"/>
  <c r="A134" i="259"/>
  <c r="C134" i="259"/>
  <c r="A135" i="259"/>
  <c r="C135" i="259"/>
  <c r="A136" i="259"/>
  <c r="C136" i="259"/>
  <c r="A137" i="259"/>
  <c r="C137" i="259"/>
  <c r="A138" i="259"/>
  <c r="C138" i="259"/>
  <c r="A139" i="259"/>
  <c r="C139" i="259"/>
  <c r="A140" i="259"/>
  <c r="C140" i="259"/>
  <c r="A141" i="259"/>
  <c r="C141" i="259"/>
  <c r="A142" i="259"/>
  <c r="C142" i="259"/>
  <c r="A143" i="259"/>
  <c r="C143" i="259"/>
  <c r="A144" i="259"/>
  <c r="C144" i="259"/>
  <c r="A145" i="259"/>
  <c r="C145" i="259"/>
  <c r="A146" i="259"/>
  <c r="C146" i="259"/>
  <c r="A147" i="259"/>
  <c r="C147" i="259"/>
  <c r="A148" i="259"/>
  <c r="C148" i="259"/>
  <c r="A149" i="259"/>
  <c r="C149" i="259"/>
  <c r="A150" i="259"/>
  <c r="C150" i="259"/>
  <c r="A151" i="259"/>
  <c r="C151" i="259"/>
  <c r="A152" i="259"/>
  <c r="C152" i="259"/>
  <c r="A153" i="259"/>
  <c r="C153" i="259"/>
  <c r="A154" i="259"/>
  <c r="C154" i="259"/>
  <c r="A155" i="259"/>
  <c r="C155" i="259"/>
  <c r="A156" i="259"/>
  <c r="C156" i="259"/>
  <c r="A157" i="259"/>
  <c r="C157" i="259"/>
  <c r="A158" i="259"/>
  <c r="C158" i="259"/>
  <c r="A159" i="259"/>
  <c r="C159" i="259"/>
  <c r="A160" i="259"/>
  <c r="C160" i="259"/>
  <c r="A161" i="259"/>
  <c r="C161" i="259"/>
  <c r="A162" i="259"/>
  <c r="C162" i="259"/>
  <c r="A163" i="259"/>
  <c r="C163" i="259"/>
  <c r="A164" i="259"/>
  <c r="C164" i="259"/>
  <c r="A165" i="259"/>
  <c r="C165" i="259"/>
  <c r="A166" i="259"/>
  <c r="C166" i="259"/>
  <c r="A167" i="259"/>
  <c r="C167" i="259"/>
  <c r="A168" i="259"/>
  <c r="C168" i="259"/>
  <c r="A169" i="259"/>
  <c r="C169" i="259"/>
  <c r="A170" i="259"/>
  <c r="C170" i="259"/>
  <c r="A171" i="259"/>
  <c r="C171" i="259"/>
  <c r="A172" i="259"/>
  <c r="C172" i="259"/>
  <c r="A173" i="259"/>
  <c r="C173" i="259"/>
  <c r="A174" i="259"/>
  <c r="C174" i="259"/>
  <c r="A175" i="259"/>
  <c r="C175" i="259"/>
  <c r="C176" i="259"/>
  <c r="C177" i="259"/>
  <c r="C178" i="259"/>
  <c r="C179" i="259"/>
  <c r="C180" i="259"/>
  <c r="C181" i="259"/>
  <c r="C182" i="259"/>
  <c r="C183" i="259"/>
  <c r="C184" i="259"/>
  <c r="C185" i="259"/>
  <c r="C186" i="259"/>
  <c r="C187" i="259"/>
  <c r="C188" i="259"/>
  <c r="C189" i="259"/>
  <c r="C190" i="259"/>
  <c r="C191" i="259"/>
  <c r="C192" i="259"/>
  <c r="C193" i="259"/>
  <c r="C194" i="259"/>
  <c r="C195" i="259"/>
  <c r="C196" i="259"/>
  <c r="C197" i="259"/>
  <c r="C198" i="259"/>
  <c r="C199" i="259"/>
  <c r="C200" i="259"/>
  <c r="C201" i="259"/>
  <c r="C202" i="259"/>
  <c r="C203" i="259"/>
  <c r="C204" i="259"/>
  <c r="C205" i="259"/>
  <c r="C206" i="259"/>
  <c r="C207" i="259"/>
  <c r="C208" i="259"/>
  <c r="C209" i="259"/>
  <c r="C210" i="259"/>
  <c r="C211" i="259"/>
  <c r="C212" i="259"/>
  <c r="C213" i="259"/>
  <c r="C214" i="259"/>
  <c r="C215" i="259"/>
  <c r="C216" i="259"/>
  <c r="C217" i="259"/>
  <c r="C218" i="259"/>
  <c r="C219" i="259"/>
  <c r="C220" i="259"/>
  <c r="C221" i="259"/>
  <c r="C222" i="259"/>
  <c r="C223" i="259"/>
  <c r="C224" i="259"/>
  <c r="C225" i="259"/>
  <c r="C226" i="259"/>
  <c r="C227" i="259"/>
  <c r="C228" i="259"/>
  <c r="C229" i="259"/>
  <c r="C230" i="259"/>
  <c r="C231" i="259"/>
  <c r="C232" i="259"/>
  <c r="C233" i="259"/>
  <c r="C234" i="259"/>
  <c r="C235" i="259"/>
  <c r="C236" i="259"/>
  <c r="C237" i="259"/>
  <c r="C238" i="259"/>
  <c r="C239" i="259"/>
  <c r="C240" i="259"/>
  <c r="C241" i="259"/>
  <c r="C242" i="259"/>
  <c r="C243" i="259"/>
  <c r="C244" i="259"/>
  <c r="C245" i="259"/>
  <c r="C246" i="259"/>
  <c r="C247" i="259"/>
  <c r="C248" i="259"/>
  <c r="C249" i="259"/>
  <c r="C250" i="259"/>
  <c r="C251" i="259"/>
  <c r="C252" i="259"/>
  <c r="C253" i="259"/>
  <c r="C254" i="259"/>
  <c r="C255" i="259"/>
  <c r="C256" i="259"/>
  <c r="C257" i="259"/>
  <c r="C258" i="259"/>
  <c r="C259" i="259"/>
  <c r="C260" i="259"/>
  <c r="C261" i="259"/>
  <c r="C262" i="259"/>
  <c r="C263" i="259"/>
  <c r="C264" i="259"/>
  <c r="C265" i="259"/>
  <c r="C266" i="259"/>
  <c r="C267" i="259"/>
  <c r="C268" i="259"/>
  <c r="C269" i="259"/>
  <c r="C270" i="259"/>
  <c r="C271" i="259"/>
  <c r="C272" i="259"/>
  <c r="C273" i="259"/>
  <c r="C274" i="259"/>
  <c r="C275" i="259"/>
  <c r="C276" i="259"/>
  <c r="C277" i="259"/>
  <c r="C278" i="259"/>
  <c r="C279" i="259"/>
  <c r="C280" i="259"/>
  <c r="C281" i="259"/>
  <c r="C282" i="259"/>
  <c r="C283" i="259"/>
  <c r="C284" i="259"/>
  <c r="C285" i="259"/>
  <c r="C286" i="259"/>
  <c r="C287" i="259"/>
  <c r="C288" i="259"/>
  <c r="C289" i="259"/>
  <c r="C290" i="259"/>
  <c r="C291" i="259"/>
  <c r="C292" i="259"/>
  <c r="C293" i="259"/>
  <c r="C294" i="259"/>
  <c r="C295" i="259"/>
  <c r="C296" i="259"/>
  <c r="C297" i="259"/>
  <c r="C298" i="259"/>
  <c r="C299" i="259"/>
  <c r="C300" i="259"/>
  <c r="C301" i="259"/>
  <c r="C302" i="259"/>
  <c r="C303" i="259"/>
  <c r="C304" i="259"/>
  <c r="C305" i="259"/>
  <c r="C306" i="259"/>
  <c r="C307" i="259"/>
  <c r="C308" i="259"/>
  <c r="C309" i="259"/>
  <c r="C310" i="259"/>
  <c r="C311" i="259"/>
  <c r="C312" i="259"/>
  <c r="C313" i="259"/>
  <c r="C314" i="259"/>
  <c r="C315" i="259"/>
  <c r="C316" i="259"/>
  <c r="C317" i="259"/>
  <c r="C318" i="259"/>
  <c r="C319" i="259"/>
  <c r="C320" i="259"/>
  <c r="C321" i="259"/>
  <c r="C322" i="259"/>
  <c r="C323" i="259"/>
  <c r="C324" i="259"/>
  <c r="C325" i="259"/>
  <c r="C326" i="259"/>
  <c r="C327" i="259"/>
  <c r="C328" i="259"/>
  <c r="C329" i="259"/>
  <c r="C330" i="259"/>
  <c r="C331" i="259"/>
  <c r="C332" i="259"/>
  <c r="C333" i="259"/>
  <c r="C334" i="259"/>
  <c r="C335" i="259"/>
  <c r="C336" i="259"/>
  <c r="C337" i="259"/>
  <c r="C338" i="259"/>
  <c r="C339" i="259"/>
  <c r="C340" i="259"/>
  <c r="C341" i="259"/>
  <c r="C342" i="259"/>
  <c r="C343" i="259"/>
  <c r="C344" i="259"/>
  <c r="C345" i="259"/>
  <c r="C346" i="259"/>
  <c r="C347" i="259"/>
  <c r="C348" i="259"/>
  <c r="C349" i="259"/>
  <c r="C350" i="259"/>
  <c r="C351" i="259"/>
  <c r="C352" i="259"/>
  <c r="C353" i="259"/>
  <c r="C354" i="259"/>
  <c r="C355" i="259"/>
  <c r="C356" i="259"/>
  <c r="C357" i="259"/>
  <c r="C358" i="259"/>
  <c r="C359" i="259"/>
  <c r="C360" i="259"/>
  <c r="C361" i="259"/>
  <c r="C362" i="259"/>
  <c r="C363" i="259"/>
  <c r="C364" i="259"/>
  <c r="G6" i="14"/>
  <c r="J6" i="14"/>
  <c r="K6" i="14"/>
  <c r="M6" i="14"/>
  <c r="N6" i="14"/>
  <c r="O6" i="14"/>
  <c r="Q6" i="14"/>
  <c r="S6" i="14"/>
  <c r="T6" i="14"/>
  <c r="J56" i="2826"/>
  <c r="J57" i="2826"/>
  <c r="J58" i="2826"/>
  <c r="J59" i="2826"/>
  <c r="J60" i="2826"/>
  <c r="J61" i="2826"/>
  <c r="J62" i="2826"/>
  <c r="J63" i="2826"/>
  <c r="J64" i="2826"/>
  <c r="J65" i="2826"/>
  <c r="J66" i="2826"/>
  <c r="J67" i="2826"/>
  <c r="J68" i="2826"/>
  <c r="J69" i="2826"/>
  <c r="J70" i="2826"/>
  <c r="J71" i="2826"/>
  <c r="J72" i="2826"/>
  <c r="J73" i="2826"/>
  <c r="J74" i="2826"/>
  <c r="J75" i="2826"/>
  <c r="J76" i="2826"/>
  <c r="J77" i="2826"/>
  <c r="J78" i="2826"/>
  <c r="J79" i="2826"/>
  <c r="J80" i="2826"/>
  <c r="J81" i="2826"/>
  <c r="J82" i="2826"/>
  <c r="J83" i="2826"/>
  <c r="J84" i="2826"/>
  <c r="J85" i="2826"/>
  <c r="J86" i="2826"/>
  <c r="J87" i="2826"/>
  <c r="J88" i="2826"/>
  <c r="J89" i="2826"/>
  <c r="J90" i="2826"/>
  <c r="J91" i="2826"/>
  <c r="J92" i="2826"/>
  <c r="J93" i="2826"/>
  <c r="J94" i="2826"/>
  <c r="J95" i="2826"/>
  <c r="J96" i="2826"/>
  <c r="J97" i="2826"/>
  <c r="J98" i="2826"/>
  <c r="J99" i="2826"/>
  <c r="J100" i="2826"/>
  <c r="J101" i="2826"/>
  <c r="J102" i="2826"/>
  <c r="J103" i="2826"/>
  <c r="J104" i="2826"/>
  <c r="J105" i="2826"/>
  <c r="J106" i="2826"/>
  <c r="J107" i="2826"/>
  <c r="J108" i="2826"/>
  <c r="J109" i="2826"/>
  <c r="J110" i="2826"/>
  <c r="J111" i="2826"/>
  <c r="J112" i="2826"/>
  <c r="J113" i="2826"/>
  <c r="J114" i="2826"/>
  <c r="J115" i="2826"/>
  <c r="J116" i="2826"/>
  <c r="J117" i="2826"/>
  <c r="J118" i="2826"/>
  <c r="J119" i="2826"/>
  <c r="J120" i="2826"/>
  <c r="J121" i="2826"/>
  <c r="J122" i="2826"/>
  <c r="J123" i="2826"/>
  <c r="J124" i="2826"/>
  <c r="J125" i="2826"/>
  <c r="J126" i="2826"/>
  <c r="J127" i="2826"/>
  <c r="J128" i="2826"/>
  <c r="J129" i="2826"/>
  <c r="J130" i="2826"/>
  <c r="J131" i="2826"/>
  <c r="J132" i="2826"/>
  <c r="J133" i="2826"/>
  <c r="J134" i="2826"/>
  <c r="J135" i="2826"/>
  <c r="J136" i="2826"/>
  <c r="J137" i="2826"/>
  <c r="J138" i="2826"/>
  <c r="J139" i="2826"/>
  <c r="J140" i="2826"/>
  <c r="J141" i="2826"/>
  <c r="J142" i="2826"/>
  <c r="J143" i="2826"/>
  <c r="J144" i="2826"/>
  <c r="J145" i="2826"/>
  <c r="J146" i="2826"/>
  <c r="J147" i="2826"/>
  <c r="J148" i="2826"/>
  <c r="J149" i="2826"/>
  <c r="J150" i="2826"/>
  <c r="J151" i="2826"/>
  <c r="J152" i="2826"/>
  <c r="J153" i="2826"/>
  <c r="J154" i="2826"/>
  <c r="J155" i="2826"/>
  <c r="J156" i="2826"/>
  <c r="J157" i="2826"/>
  <c r="J158" i="2826"/>
  <c r="J159" i="2826"/>
  <c r="J160" i="2826"/>
  <c r="J161" i="2826"/>
  <c r="J162" i="2826"/>
  <c r="J163" i="2826"/>
  <c r="J164" i="2826"/>
  <c r="J165" i="2826"/>
  <c r="J166" i="2826"/>
  <c r="J167" i="2826"/>
  <c r="J168" i="2826"/>
  <c r="J169" i="2826"/>
  <c r="J170" i="2826"/>
  <c r="J171" i="2826"/>
  <c r="J172" i="2826"/>
  <c r="J173" i="2826"/>
  <c r="J174" i="2826"/>
  <c r="J175" i="2826"/>
  <c r="J176" i="2826"/>
  <c r="J177" i="2826"/>
  <c r="J178" i="2826"/>
  <c r="J179" i="2826"/>
  <c r="J180" i="2826"/>
  <c r="J181" i="2826"/>
  <c r="J182" i="2826"/>
  <c r="J183" i="2826"/>
  <c r="J184" i="2826"/>
  <c r="J185" i="2826"/>
  <c r="J186" i="2826"/>
  <c r="J187" i="2826"/>
  <c r="J188" i="2826"/>
  <c r="J189" i="2826"/>
  <c r="J190" i="2826"/>
  <c r="J191" i="2826"/>
  <c r="J192" i="2826"/>
  <c r="J193" i="2826"/>
  <c r="J194" i="2826"/>
  <c r="J195" i="2826"/>
  <c r="J196" i="2826"/>
  <c r="J197" i="2826"/>
  <c r="J198" i="2826"/>
  <c r="J199" i="2826"/>
  <c r="J200" i="2826"/>
  <c r="J201" i="2826"/>
  <c r="J202" i="2826"/>
  <c r="J203" i="2826"/>
  <c r="J204" i="2826"/>
  <c r="J205" i="2826"/>
  <c r="J206" i="2826"/>
  <c r="J207" i="2826"/>
  <c r="J208" i="2826"/>
  <c r="J209" i="2826"/>
  <c r="J210" i="2826"/>
  <c r="J211" i="2826"/>
  <c r="J212" i="2826"/>
  <c r="J213" i="2826"/>
  <c r="J214" i="2826"/>
  <c r="J215" i="2826"/>
  <c r="J216" i="2826"/>
  <c r="J217" i="2826"/>
  <c r="J218" i="2826"/>
  <c r="J219" i="2826"/>
  <c r="J220" i="2826"/>
  <c r="J221" i="2826"/>
  <c r="J222" i="2826"/>
  <c r="J223" i="2826"/>
  <c r="J224" i="2826"/>
  <c r="J225" i="2826"/>
  <c r="J226" i="2826"/>
  <c r="J227" i="2826"/>
  <c r="J228" i="2826"/>
  <c r="J229" i="2826"/>
  <c r="J230" i="2826"/>
  <c r="J231" i="2826"/>
  <c r="J232" i="2826"/>
  <c r="J233" i="2826"/>
  <c r="J234" i="2826"/>
  <c r="J235" i="2826"/>
  <c r="J236" i="2826"/>
  <c r="J237" i="2826"/>
  <c r="J238" i="2826"/>
  <c r="J239" i="2826"/>
  <c r="J240" i="2826"/>
  <c r="J241" i="2826"/>
  <c r="J242" i="2826"/>
  <c r="J243" i="2826"/>
  <c r="J244" i="2826"/>
  <c r="J245" i="2826"/>
  <c r="J246" i="2826"/>
  <c r="J247" i="2826"/>
  <c r="J248" i="2826"/>
  <c r="J249" i="2826"/>
  <c r="J250" i="2826"/>
  <c r="J251" i="2826"/>
  <c r="J252" i="2826"/>
  <c r="J253" i="2826"/>
  <c r="J254" i="2826"/>
  <c r="J255" i="2826"/>
  <c r="J256" i="2826"/>
  <c r="J257" i="2826"/>
  <c r="J258" i="2826"/>
  <c r="J259" i="2826"/>
  <c r="J260" i="2826"/>
  <c r="J261" i="2826"/>
  <c r="J262" i="2826"/>
  <c r="J263" i="2826"/>
  <c r="J264" i="2826"/>
  <c r="J265" i="2826"/>
  <c r="J266" i="2826"/>
  <c r="J267" i="2826"/>
  <c r="J268" i="2826"/>
  <c r="J269" i="2826"/>
  <c r="J270" i="2826"/>
  <c r="J271" i="2826"/>
  <c r="J272" i="2826"/>
  <c r="J273" i="2826"/>
  <c r="J274" i="2826"/>
  <c r="J275" i="2826"/>
  <c r="J276" i="2826"/>
  <c r="J277" i="2826"/>
  <c r="J278" i="2826"/>
  <c r="J279" i="2826"/>
  <c r="J280" i="2826"/>
  <c r="J281" i="2826"/>
  <c r="J282" i="2826"/>
  <c r="J283" i="2826"/>
  <c r="J284" i="2826"/>
  <c r="J285" i="2826"/>
  <c r="J286" i="2826"/>
  <c r="J287" i="2826"/>
  <c r="J288" i="2826"/>
  <c r="J289" i="2826"/>
  <c r="J290" i="2826"/>
  <c r="J291" i="2826"/>
  <c r="J292" i="2826"/>
  <c r="J293" i="2826"/>
  <c r="J294" i="2826"/>
  <c r="J295" i="2826"/>
  <c r="J296" i="2826"/>
  <c r="J297" i="2826"/>
  <c r="J298" i="2826"/>
  <c r="J299" i="2826"/>
  <c r="J300" i="2826"/>
  <c r="J301" i="2826"/>
  <c r="J302" i="2826"/>
  <c r="J303" i="2826"/>
  <c r="J304" i="2826"/>
  <c r="J305" i="2826"/>
  <c r="J306" i="2826"/>
  <c r="J307" i="2826"/>
  <c r="J308" i="2826"/>
  <c r="J309" i="2826"/>
  <c r="J310" i="2826"/>
  <c r="J311" i="2826"/>
  <c r="J312" i="2826"/>
  <c r="J313" i="2826"/>
  <c r="J314" i="2826"/>
  <c r="J315" i="2826"/>
  <c r="J316" i="2826"/>
  <c r="J317" i="2826"/>
  <c r="J318" i="2826"/>
  <c r="J319" i="2826"/>
  <c r="J320" i="2826"/>
  <c r="J321" i="2826"/>
  <c r="J322" i="2826"/>
  <c r="J323" i="2826"/>
  <c r="J324" i="2826"/>
  <c r="J325" i="2826"/>
  <c r="J326" i="2826"/>
  <c r="J327" i="2826"/>
  <c r="J328" i="2826"/>
  <c r="J329" i="2826"/>
  <c r="J330" i="2826"/>
  <c r="J331" i="2826"/>
  <c r="J332" i="2826"/>
  <c r="J333" i="2826"/>
  <c r="J334" i="2826"/>
  <c r="J335" i="2826"/>
  <c r="J336" i="2826"/>
  <c r="J337" i="2826"/>
  <c r="J338" i="2826"/>
  <c r="J339" i="2826"/>
  <c r="J340" i="2826"/>
  <c r="J341" i="2826"/>
  <c r="J342" i="2826"/>
  <c r="J343" i="2826"/>
  <c r="J344" i="2826"/>
  <c r="J345" i="2826"/>
  <c r="J346" i="2826"/>
  <c r="J347" i="2826"/>
  <c r="J348" i="2826"/>
  <c r="J349" i="2826"/>
  <c r="J350" i="2826"/>
  <c r="J351" i="2826"/>
  <c r="J352" i="2826"/>
  <c r="J353" i="2826"/>
  <c r="J354" i="2826"/>
  <c r="J355" i="2826"/>
  <c r="J356" i="2826"/>
  <c r="J357" i="2826"/>
  <c r="J358" i="2826"/>
  <c r="J359" i="2826"/>
  <c r="J360" i="2826"/>
  <c r="J361" i="2826"/>
  <c r="J362" i="2826"/>
  <c r="J363" i="2826"/>
  <c r="J364" i="2826"/>
  <c r="J365" i="2826"/>
  <c r="J366" i="2826"/>
  <c r="J367" i="2826"/>
  <c r="J368" i="2826"/>
  <c r="J369" i="2826"/>
  <c r="J370" i="2826"/>
  <c r="J371" i="2826"/>
  <c r="J372" i="2826"/>
  <c r="J373" i="2826"/>
  <c r="J374" i="2826"/>
  <c r="J375" i="2826"/>
  <c r="J376" i="2826"/>
  <c r="J377" i="2826"/>
  <c r="J378" i="2826"/>
  <c r="J379" i="2826"/>
  <c r="J380" i="2826"/>
  <c r="J381" i="2826"/>
  <c r="J382" i="2826"/>
  <c r="J383" i="2826"/>
  <c r="J384" i="2826"/>
  <c r="J385" i="2826"/>
  <c r="J386" i="2826"/>
  <c r="J387" i="2826"/>
  <c r="J388" i="2826"/>
  <c r="J389" i="2826"/>
  <c r="J390" i="2826"/>
  <c r="J391" i="2826"/>
  <c r="J392" i="2826"/>
  <c r="J393" i="2826"/>
  <c r="J394" i="2826"/>
  <c r="J395" i="2826"/>
  <c r="J396" i="2826"/>
  <c r="J397" i="2826"/>
  <c r="J398" i="2826"/>
  <c r="J399" i="2826"/>
  <c r="J400" i="2826"/>
  <c r="J401" i="2826"/>
  <c r="J402" i="2826"/>
  <c r="J403" i="2826"/>
  <c r="J404" i="2826"/>
  <c r="J405" i="2826"/>
  <c r="J406" i="2826"/>
  <c r="J407" i="2826"/>
  <c r="J408" i="2826"/>
  <c r="J409" i="2826"/>
  <c r="J410" i="2826"/>
  <c r="J411" i="2826"/>
  <c r="J412" i="2826"/>
  <c r="J413" i="2826"/>
  <c r="J414" i="2826"/>
  <c r="H2" i="36"/>
  <c r="I2" i="36"/>
  <c r="J2" i="36"/>
  <c r="K2" i="36"/>
  <c r="L2" i="36"/>
  <c r="R2" i="36"/>
  <c r="R3" i="36"/>
  <c r="H6" i="36"/>
  <c r="I6" i="36"/>
  <c r="J6" i="36"/>
  <c r="K6" i="36"/>
  <c r="L6" i="36"/>
  <c r="I10" i="36"/>
  <c r="AD13" i="36"/>
  <c r="H14" i="36"/>
  <c r="K14" i="36"/>
  <c r="AE15" i="36"/>
  <c r="AL15" i="36"/>
  <c r="AE20" i="36"/>
  <c r="AF20" i="36"/>
  <c r="AG20" i="36"/>
  <c r="AH20" i="36"/>
  <c r="AI20" i="36"/>
  <c r="AL20" i="36"/>
  <c r="AM20" i="36"/>
  <c r="AN20" i="36"/>
  <c r="AO20" i="36"/>
  <c r="AP20" i="36"/>
  <c r="L22" i="36"/>
  <c r="N22" i="36"/>
  <c r="O22" i="36"/>
  <c r="P22" i="36"/>
  <c r="Q22" i="36"/>
  <c r="R22" i="36"/>
  <c r="S22" i="36"/>
  <c r="T22" i="36"/>
  <c r="U22" i="36"/>
  <c r="V22" i="36"/>
  <c r="W22" i="36"/>
  <c r="B25" i="36"/>
  <c r="C25" i="36"/>
  <c r="D25" i="36"/>
  <c r="E25" i="36"/>
  <c r="F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U25" i="36"/>
  <c r="V25" i="36"/>
  <c r="W25" i="36"/>
  <c r="AE25" i="36"/>
  <c r="AF25" i="36"/>
  <c r="AG25" i="36"/>
  <c r="AH25" i="36"/>
  <c r="AI25" i="36"/>
  <c r="AL25" i="36"/>
  <c r="AM25" i="36"/>
  <c r="AN25" i="36"/>
  <c r="AO25" i="36"/>
  <c r="AP25" i="36"/>
  <c r="A26" i="36"/>
  <c r="B26" i="36"/>
  <c r="C26" i="36"/>
  <c r="D26" i="36"/>
  <c r="E26" i="36"/>
  <c r="F26" i="36"/>
  <c r="H26" i="36"/>
  <c r="I26" i="36"/>
  <c r="J26" i="36"/>
  <c r="K26" i="36"/>
  <c r="L26" i="36"/>
  <c r="M26" i="36"/>
  <c r="N26" i="36"/>
  <c r="O26" i="36"/>
  <c r="P26" i="36"/>
  <c r="Q26" i="36"/>
  <c r="R26" i="36"/>
  <c r="S26" i="36"/>
  <c r="T26" i="36"/>
  <c r="U26" i="36"/>
  <c r="V26" i="36"/>
  <c r="W26" i="36"/>
  <c r="AE26" i="36"/>
  <c r="AF26" i="36"/>
  <c r="AG26" i="36"/>
  <c r="AH26" i="36"/>
  <c r="AI26" i="36"/>
  <c r="AL26" i="36"/>
  <c r="AM26" i="36"/>
  <c r="AN26" i="36"/>
  <c r="AO26" i="36"/>
  <c r="AP26" i="36"/>
  <c r="A27" i="36"/>
  <c r="B27" i="36"/>
  <c r="C27" i="36"/>
  <c r="D27" i="36"/>
  <c r="E27" i="36"/>
  <c r="F27" i="36"/>
  <c r="H27" i="36"/>
  <c r="I27" i="36"/>
  <c r="J27" i="36"/>
  <c r="K27" i="36"/>
  <c r="L27" i="36"/>
  <c r="M27" i="36"/>
  <c r="N27" i="36"/>
  <c r="O27" i="36"/>
  <c r="P27" i="36"/>
  <c r="Q27" i="36"/>
  <c r="R27" i="36"/>
  <c r="S27" i="36"/>
  <c r="T27" i="36"/>
  <c r="U27" i="36"/>
  <c r="V27" i="36"/>
  <c r="W27" i="36"/>
  <c r="AE27" i="36"/>
  <c r="AF27" i="36"/>
  <c r="AG27" i="36"/>
  <c r="AH27" i="36"/>
  <c r="AI27" i="36"/>
  <c r="AL27" i="36"/>
  <c r="AM27" i="36"/>
  <c r="AN27" i="36"/>
  <c r="AO27" i="36"/>
  <c r="AP27" i="36"/>
  <c r="A28" i="36"/>
  <c r="B28" i="36"/>
  <c r="C28" i="36"/>
  <c r="D28" i="36"/>
  <c r="E28" i="36"/>
  <c r="F28" i="36"/>
  <c r="H28" i="36"/>
  <c r="I28" i="36"/>
  <c r="J28" i="36"/>
  <c r="K28" i="36"/>
  <c r="L28" i="36"/>
  <c r="M28" i="36"/>
  <c r="N28" i="36"/>
  <c r="O28" i="36"/>
  <c r="P28" i="36"/>
  <c r="Q28" i="36"/>
  <c r="R28" i="36"/>
  <c r="S28" i="36"/>
  <c r="T28" i="36"/>
  <c r="U28" i="36"/>
  <c r="V28" i="36"/>
  <c r="W28" i="36"/>
  <c r="AE28" i="36"/>
  <c r="AF28" i="36"/>
  <c r="AG28" i="36"/>
  <c r="AH28" i="36"/>
  <c r="AI28" i="36"/>
  <c r="AL28" i="36"/>
  <c r="AM28" i="36"/>
  <c r="AN28" i="36"/>
  <c r="AO28" i="36"/>
  <c r="AP28" i="36"/>
  <c r="A29" i="36"/>
  <c r="B29" i="36"/>
  <c r="C29" i="36"/>
  <c r="D29" i="36"/>
  <c r="E29" i="36"/>
  <c r="F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T29" i="36"/>
  <c r="U29" i="36"/>
  <c r="V29" i="36"/>
  <c r="W29" i="36"/>
  <c r="AE29" i="36"/>
  <c r="AF29" i="36"/>
  <c r="AG29" i="36"/>
  <c r="AH29" i="36"/>
  <c r="AI29" i="36"/>
  <c r="AL29" i="36"/>
  <c r="AM29" i="36"/>
  <c r="AN29" i="36"/>
  <c r="AO29" i="36"/>
  <c r="AP29" i="36"/>
  <c r="A30" i="36"/>
  <c r="B30" i="36"/>
  <c r="C30" i="36"/>
  <c r="D30" i="36"/>
  <c r="E30" i="36"/>
  <c r="F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U30" i="36"/>
  <c r="V30" i="36"/>
  <c r="W30" i="36"/>
  <c r="AE30" i="36"/>
  <c r="AF30" i="36"/>
  <c r="AG30" i="36"/>
  <c r="AH30" i="36"/>
  <c r="AI30" i="36"/>
  <c r="AL30" i="36"/>
  <c r="AM30" i="36"/>
  <c r="AN30" i="36"/>
  <c r="AO30" i="36"/>
  <c r="AP30" i="36"/>
  <c r="A31" i="36"/>
  <c r="B31" i="36"/>
  <c r="C31" i="36"/>
  <c r="D31" i="36"/>
  <c r="E31" i="36"/>
  <c r="F31" i="36"/>
  <c r="H31" i="36"/>
  <c r="I31" i="36"/>
  <c r="J31" i="36"/>
  <c r="K31" i="36"/>
  <c r="L31" i="36"/>
  <c r="M31" i="36"/>
  <c r="N31" i="36"/>
  <c r="O31" i="36"/>
  <c r="P31" i="36"/>
  <c r="Q31" i="36"/>
  <c r="R31" i="36"/>
  <c r="S31" i="36"/>
  <c r="T31" i="36"/>
  <c r="U31" i="36"/>
  <c r="V31" i="36"/>
  <c r="W31" i="36"/>
  <c r="AE31" i="36"/>
  <c r="AF31" i="36"/>
  <c r="AG31" i="36"/>
  <c r="AH31" i="36"/>
  <c r="AI31" i="36"/>
  <c r="AL31" i="36"/>
  <c r="AM31" i="36"/>
  <c r="AN31" i="36"/>
  <c r="AO31" i="36"/>
  <c r="AP31" i="36"/>
  <c r="A32" i="36"/>
  <c r="B32" i="36"/>
  <c r="C32" i="36"/>
  <c r="D32" i="36"/>
  <c r="E32" i="36"/>
  <c r="F32" i="36"/>
  <c r="H32" i="36"/>
  <c r="I32" i="36"/>
  <c r="J32" i="36"/>
  <c r="K32" i="36"/>
  <c r="L32" i="36"/>
  <c r="M32" i="36"/>
  <c r="N32" i="36"/>
  <c r="O32" i="36"/>
  <c r="P32" i="36"/>
  <c r="Q32" i="36"/>
  <c r="R32" i="36"/>
  <c r="S32" i="36"/>
  <c r="T32" i="36"/>
  <c r="U32" i="36"/>
  <c r="V32" i="36"/>
  <c r="W32" i="36"/>
  <c r="AE32" i="36"/>
  <c r="AF32" i="36"/>
  <c r="AG32" i="36"/>
  <c r="AH32" i="36"/>
  <c r="AI32" i="36"/>
  <c r="AL32" i="36"/>
  <c r="AM32" i="36"/>
  <c r="AN32" i="36"/>
  <c r="AO32" i="36"/>
  <c r="AP32" i="36"/>
  <c r="A33" i="36"/>
  <c r="B33" i="36"/>
  <c r="C33" i="36"/>
  <c r="D33" i="36"/>
  <c r="E33" i="36"/>
  <c r="F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U33" i="36"/>
  <c r="V33" i="36"/>
  <c r="W33" i="36"/>
  <c r="AE33" i="36"/>
  <c r="AF33" i="36"/>
  <c r="AG33" i="36"/>
  <c r="AH33" i="36"/>
  <c r="AI33" i="36"/>
  <c r="AL33" i="36"/>
  <c r="AM33" i="36"/>
  <c r="AN33" i="36"/>
  <c r="AO33" i="36"/>
  <c r="AP33" i="36"/>
  <c r="A34" i="36"/>
  <c r="B34" i="36"/>
  <c r="C34" i="36"/>
  <c r="D34" i="36"/>
  <c r="E34" i="36"/>
  <c r="F34" i="36"/>
  <c r="H34" i="36"/>
  <c r="I34" i="36"/>
  <c r="J34" i="36"/>
  <c r="K34" i="36"/>
  <c r="L34" i="36"/>
  <c r="M34" i="36"/>
  <c r="N34" i="36"/>
  <c r="O34" i="36"/>
  <c r="P34" i="36"/>
  <c r="Q34" i="36"/>
  <c r="R34" i="36"/>
  <c r="S34" i="36"/>
  <c r="T34" i="36"/>
  <c r="U34" i="36"/>
  <c r="V34" i="36"/>
  <c r="W34" i="36"/>
  <c r="AE34" i="36"/>
  <c r="AF34" i="36"/>
  <c r="AG34" i="36"/>
  <c r="AH34" i="36"/>
  <c r="AI34" i="36"/>
  <c r="AL34" i="36"/>
  <c r="AM34" i="36"/>
  <c r="AN34" i="36"/>
  <c r="AO34" i="36"/>
  <c r="AP34" i="36"/>
  <c r="A35" i="36"/>
  <c r="B35" i="36"/>
  <c r="C35" i="36"/>
  <c r="D35" i="36"/>
  <c r="E35" i="36"/>
  <c r="F35" i="36"/>
  <c r="H35" i="36"/>
  <c r="I35" i="36"/>
  <c r="J35" i="36"/>
  <c r="K35" i="36"/>
  <c r="L35" i="36"/>
  <c r="M35" i="36"/>
  <c r="N35" i="36"/>
  <c r="O35" i="36"/>
  <c r="P35" i="36"/>
  <c r="Q35" i="36"/>
  <c r="R35" i="36"/>
  <c r="S35" i="36"/>
  <c r="T35" i="36"/>
  <c r="U35" i="36"/>
  <c r="V35" i="36"/>
  <c r="W35" i="36"/>
  <c r="AE35" i="36"/>
  <c r="AF35" i="36"/>
  <c r="AG35" i="36"/>
  <c r="AH35" i="36"/>
  <c r="AI35" i="36"/>
  <c r="AL35" i="36"/>
  <c r="AM35" i="36"/>
  <c r="AN35" i="36"/>
  <c r="AO35" i="36"/>
  <c r="AP35" i="36"/>
  <c r="A36" i="36"/>
  <c r="B36" i="36"/>
  <c r="C36" i="36"/>
  <c r="D36" i="36"/>
  <c r="E36" i="36"/>
  <c r="F36" i="36"/>
  <c r="H36" i="36"/>
  <c r="I36" i="36"/>
  <c r="J36" i="36"/>
  <c r="K36" i="36"/>
  <c r="L36" i="36"/>
  <c r="M36" i="36"/>
  <c r="N36" i="36"/>
  <c r="O36" i="36"/>
  <c r="P36" i="36"/>
  <c r="Q36" i="36"/>
  <c r="R36" i="36"/>
  <c r="S36" i="36"/>
  <c r="T36" i="36"/>
  <c r="U36" i="36"/>
  <c r="V36" i="36"/>
  <c r="W36" i="36"/>
  <c r="AE36" i="36"/>
  <c r="AF36" i="36"/>
  <c r="AG36" i="36"/>
  <c r="AH36" i="36"/>
  <c r="AI36" i="36"/>
  <c r="AL36" i="36"/>
  <c r="AM36" i="36"/>
  <c r="AN36" i="36"/>
  <c r="AO36" i="36"/>
  <c r="AP36" i="36"/>
  <c r="A37" i="36"/>
  <c r="B37" i="36"/>
  <c r="C37" i="36"/>
  <c r="D37" i="36"/>
  <c r="E37" i="36"/>
  <c r="F37" i="36"/>
  <c r="H37" i="36"/>
  <c r="I37" i="36"/>
  <c r="J37" i="36"/>
  <c r="K37" i="36"/>
  <c r="L37" i="36"/>
  <c r="M37" i="36"/>
  <c r="N37" i="36"/>
  <c r="O37" i="36"/>
  <c r="P37" i="36"/>
  <c r="Q37" i="36"/>
  <c r="R37" i="36"/>
  <c r="S37" i="36"/>
  <c r="T37" i="36"/>
  <c r="U37" i="36"/>
  <c r="V37" i="36"/>
  <c r="W37" i="36"/>
  <c r="AE37" i="36"/>
  <c r="AF37" i="36"/>
  <c r="AG37" i="36"/>
  <c r="AH37" i="36"/>
  <c r="AI37" i="36"/>
  <c r="AL37" i="36"/>
  <c r="AM37" i="36"/>
  <c r="AN37" i="36"/>
  <c r="AO37" i="36"/>
  <c r="AP37" i="36"/>
  <c r="A38" i="36"/>
  <c r="B38" i="36"/>
  <c r="C38" i="36"/>
  <c r="D38" i="36"/>
  <c r="E38" i="36"/>
  <c r="F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U38" i="36"/>
  <c r="V38" i="36"/>
  <c r="W38" i="36"/>
  <c r="AE38" i="36"/>
  <c r="AF38" i="36"/>
  <c r="AG38" i="36"/>
  <c r="AH38" i="36"/>
  <c r="AI38" i="36"/>
  <c r="AL38" i="36"/>
  <c r="AM38" i="36"/>
  <c r="AN38" i="36"/>
  <c r="AO38" i="36"/>
  <c r="AP38" i="36"/>
  <c r="A39" i="36"/>
  <c r="B39" i="36"/>
  <c r="C39" i="36"/>
  <c r="D39" i="36"/>
  <c r="E39" i="36"/>
  <c r="F39" i="36"/>
  <c r="H39" i="36"/>
  <c r="I39" i="36"/>
  <c r="J39" i="36"/>
  <c r="K39" i="36"/>
  <c r="L39" i="36"/>
  <c r="M39" i="36"/>
  <c r="N39" i="36"/>
  <c r="O39" i="36"/>
  <c r="P39" i="36"/>
  <c r="Q39" i="36"/>
  <c r="R39" i="36"/>
  <c r="S39" i="36"/>
  <c r="T39" i="36"/>
  <c r="U39" i="36"/>
  <c r="V39" i="36"/>
  <c r="W39" i="36"/>
  <c r="AE39" i="36"/>
  <c r="AF39" i="36"/>
  <c r="AG39" i="36"/>
  <c r="AH39" i="36"/>
  <c r="AI39" i="36"/>
  <c r="AL39" i="36"/>
  <c r="AM39" i="36"/>
  <c r="AN39" i="36"/>
  <c r="AO39" i="36"/>
  <c r="AP39" i="36"/>
  <c r="A40" i="36"/>
  <c r="B40" i="36"/>
  <c r="C40" i="36"/>
  <c r="D40" i="36"/>
  <c r="E40" i="36"/>
  <c r="F40" i="36"/>
  <c r="H40" i="36"/>
  <c r="I40" i="36"/>
  <c r="J40" i="36"/>
  <c r="K40" i="36"/>
  <c r="L40" i="36"/>
  <c r="M40" i="36"/>
  <c r="N40" i="36"/>
  <c r="O40" i="36"/>
  <c r="P40" i="36"/>
  <c r="Q40" i="36"/>
  <c r="R40" i="36"/>
  <c r="S40" i="36"/>
  <c r="T40" i="36"/>
  <c r="U40" i="36"/>
  <c r="V40" i="36"/>
  <c r="W40" i="36"/>
  <c r="AE40" i="36"/>
  <c r="AF40" i="36"/>
  <c r="AG40" i="36"/>
  <c r="AH40" i="36"/>
  <c r="AI40" i="36"/>
  <c r="AL40" i="36"/>
  <c r="AM40" i="36"/>
  <c r="AN40" i="36"/>
  <c r="AO40" i="36"/>
  <c r="AP40" i="36"/>
  <c r="A41" i="36"/>
  <c r="B41" i="36"/>
  <c r="C41" i="36"/>
  <c r="D41" i="36"/>
  <c r="E41" i="36"/>
  <c r="F41" i="36"/>
  <c r="H41" i="36"/>
  <c r="I41" i="36"/>
  <c r="J41" i="36"/>
  <c r="K41" i="36"/>
  <c r="L41" i="36"/>
  <c r="M41" i="36"/>
  <c r="N41" i="36"/>
  <c r="O41" i="36"/>
  <c r="P41" i="36"/>
  <c r="Q41" i="36"/>
  <c r="R41" i="36"/>
  <c r="S41" i="36"/>
  <c r="T41" i="36"/>
  <c r="U41" i="36"/>
  <c r="V41" i="36"/>
  <c r="W41" i="36"/>
  <c r="AE41" i="36"/>
  <c r="AF41" i="36"/>
  <c r="AG41" i="36"/>
  <c r="AH41" i="36"/>
  <c r="AI41" i="36"/>
  <c r="AL41" i="36"/>
  <c r="AM41" i="36"/>
  <c r="AN41" i="36"/>
  <c r="AO41" i="36"/>
  <c r="AP41" i="36"/>
  <c r="A42" i="36"/>
  <c r="B42" i="36"/>
  <c r="C42" i="36"/>
  <c r="D42" i="36"/>
  <c r="E42" i="36"/>
  <c r="F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U42" i="36"/>
  <c r="V42" i="36"/>
  <c r="W42" i="36"/>
  <c r="AE42" i="36"/>
  <c r="AF42" i="36"/>
  <c r="AG42" i="36"/>
  <c r="AH42" i="36"/>
  <c r="AI42" i="36"/>
  <c r="AL42" i="36"/>
  <c r="AM42" i="36"/>
  <c r="AN42" i="36"/>
  <c r="AO42" i="36"/>
  <c r="AP42" i="36"/>
  <c r="A43" i="36"/>
  <c r="B43" i="36"/>
  <c r="C43" i="36"/>
  <c r="D43" i="36"/>
  <c r="E43" i="36"/>
  <c r="F43" i="36"/>
  <c r="H43" i="36"/>
  <c r="I43" i="36"/>
  <c r="J43" i="36"/>
  <c r="K43" i="36"/>
  <c r="L43" i="36"/>
  <c r="M43" i="36"/>
  <c r="N43" i="36"/>
  <c r="O43" i="36"/>
  <c r="P43" i="36"/>
  <c r="Q43" i="36"/>
  <c r="R43" i="36"/>
  <c r="S43" i="36"/>
  <c r="T43" i="36"/>
  <c r="U43" i="36"/>
  <c r="V43" i="36"/>
  <c r="W43" i="36"/>
  <c r="AE43" i="36"/>
  <c r="AF43" i="36"/>
  <c r="AG43" i="36"/>
  <c r="AH43" i="36"/>
  <c r="AI43" i="36"/>
  <c r="AL43" i="36"/>
  <c r="AM43" i="36"/>
  <c r="AN43" i="36"/>
  <c r="AO43" i="36"/>
  <c r="AP43" i="36"/>
  <c r="A44" i="36"/>
  <c r="B44" i="36"/>
  <c r="C44" i="36"/>
  <c r="D44" i="36"/>
  <c r="E44" i="36"/>
  <c r="F44" i="36"/>
  <c r="H44" i="36"/>
  <c r="I44" i="36"/>
  <c r="J44" i="36"/>
  <c r="K44" i="36"/>
  <c r="L44" i="36"/>
  <c r="M44" i="36"/>
  <c r="N44" i="36"/>
  <c r="O44" i="36"/>
  <c r="P44" i="36"/>
  <c r="Q44" i="36"/>
  <c r="R44" i="36"/>
  <c r="S44" i="36"/>
  <c r="T44" i="36"/>
  <c r="U44" i="36"/>
  <c r="V44" i="36"/>
  <c r="W44" i="36"/>
  <c r="AE44" i="36"/>
  <c r="AF44" i="36"/>
  <c r="AG44" i="36"/>
  <c r="AH44" i="36"/>
  <c r="AI44" i="36"/>
  <c r="AL44" i="36"/>
  <c r="AM44" i="36"/>
  <c r="AN44" i="36"/>
  <c r="AO44" i="36"/>
  <c r="AP44" i="36"/>
  <c r="A45" i="36"/>
  <c r="B45" i="36"/>
  <c r="C45" i="36"/>
  <c r="D45" i="36"/>
  <c r="E45" i="36"/>
  <c r="F45" i="36"/>
  <c r="H45" i="36"/>
  <c r="I45" i="36"/>
  <c r="J45" i="36"/>
  <c r="K45" i="36"/>
  <c r="L45" i="36"/>
  <c r="M45" i="36"/>
  <c r="N45" i="36"/>
  <c r="O45" i="36"/>
  <c r="P45" i="36"/>
  <c r="Q45" i="36"/>
  <c r="R45" i="36"/>
  <c r="S45" i="36"/>
  <c r="T45" i="36"/>
  <c r="U45" i="36"/>
  <c r="V45" i="36"/>
  <c r="W45" i="36"/>
  <c r="AE45" i="36"/>
  <c r="AF45" i="36"/>
  <c r="AG45" i="36"/>
  <c r="AH45" i="36"/>
  <c r="AI45" i="36"/>
  <c r="AL45" i="36"/>
  <c r="AM45" i="36"/>
  <c r="AN45" i="36"/>
  <c r="AO45" i="36"/>
  <c r="AP45" i="36"/>
  <c r="A46" i="36"/>
  <c r="B46" i="36"/>
  <c r="C46" i="36"/>
  <c r="D46" i="36"/>
  <c r="E46" i="36"/>
  <c r="F46" i="36"/>
  <c r="H46" i="36"/>
  <c r="I46" i="36"/>
  <c r="J46" i="36"/>
  <c r="K46" i="36"/>
  <c r="L46" i="36"/>
  <c r="M46" i="36"/>
  <c r="N46" i="36"/>
  <c r="O46" i="36"/>
  <c r="P46" i="36"/>
  <c r="Q46" i="36"/>
  <c r="R46" i="36"/>
  <c r="S46" i="36"/>
  <c r="T46" i="36"/>
  <c r="U46" i="36"/>
  <c r="V46" i="36"/>
  <c r="W46" i="36"/>
  <c r="AE46" i="36"/>
  <c r="AF46" i="36"/>
  <c r="AG46" i="36"/>
  <c r="AH46" i="36"/>
  <c r="AI46" i="36"/>
  <c r="AL46" i="36"/>
  <c r="AM46" i="36"/>
  <c r="AN46" i="36"/>
  <c r="AO46" i="36"/>
  <c r="AP46" i="36"/>
  <c r="A47" i="36"/>
  <c r="B47" i="36"/>
  <c r="C47" i="36"/>
  <c r="D47" i="36"/>
  <c r="E47" i="36"/>
  <c r="F47" i="36"/>
  <c r="H47" i="36"/>
  <c r="I47" i="36"/>
  <c r="J47" i="36"/>
  <c r="K47" i="36"/>
  <c r="L47" i="36"/>
  <c r="M47" i="36"/>
  <c r="N47" i="36"/>
  <c r="O47" i="36"/>
  <c r="P47" i="36"/>
  <c r="Q47" i="36"/>
  <c r="R47" i="36"/>
  <c r="S47" i="36"/>
  <c r="T47" i="36"/>
  <c r="U47" i="36"/>
  <c r="V47" i="36"/>
  <c r="W47" i="36"/>
  <c r="AE47" i="36"/>
  <c r="AF47" i="36"/>
  <c r="AG47" i="36"/>
  <c r="AH47" i="36"/>
  <c r="AI47" i="36"/>
  <c r="AL47" i="36"/>
  <c r="AM47" i="36"/>
  <c r="AN47" i="36"/>
  <c r="AO47" i="36"/>
  <c r="AP47" i="36"/>
  <c r="A48" i="36"/>
  <c r="B48" i="36"/>
  <c r="C48" i="36"/>
  <c r="D48" i="36"/>
  <c r="E48" i="36"/>
  <c r="F48" i="36"/>
  <c r="H48" i="36"/>
  <c r="I48" i="36"/>
  <c r="J48" i="36"/>
  <c r="K48" i="36"/>
  <c r="L48" i="36"/>
  <c r="M48" i="36"/>
  <c r="N48" i="36"/>
  <c r="O48" i="36"/>
  <c r="P48" i="36"/>
  <c r="Q48" i="36"/>
  <c r="R48" i="36"/>
  <c r="S48" i="36"/>
  <c r="T48" i="36"/>
  <c r="U48" i="36"/>
  <c r="V48" i="36"/>
  <c r="W48" i="36"/>
  <c r="AE48" i="36"/>
  <c r="AF48" i="36"/>
  <c r="AG48" i="36"/>
  <c r="AH48" i="36"/>
  <c r="AI48" i="36"/>
  <c r="AL48" i="36"/>
  <c r="AM48" i="36"/>
  <c r="AN48" i="36"/>
  <c r="AO48" i="36"/>
  <c r="AP48" i="36"/>
  <c r="A49" i="36"/>
  <c r="B49" i="36"/>
  <c r="C49" i="36"/>
  <c r="D49" i="36"/>
  <c r="E49" i="36"/>
  <c r="F49" i="36"/>
  <c r="H49" i="36"/>
  <c r="I49" i="36"/>
  <c r="J49" i="36"/>
  <c r="K49" i="36"/>
  <c r="L49" i="36"/>
  <c r="M49" i="36"/>
  <c r="N49" i="36"/>
  <c r="O49" i="36"/>
  <c r="P49" i="36"/>
  <c r="Q49" i="36"/>
  <c r="R49" i="36"/>
  <c r="S49" i="36"/>
  <c r="T49" i="36"/>
  <c r="U49" i="36"/>
  <c r="V49" i="36"/>
  <c r="W49" i="36"/>
  <c r="AE49" i="36"/>
  <c r="AF49" i="36"/>
  <c r="AG49" i="36"/>
  <c r="AH49" i="36"/>
  <c r="AI49" i="36"/>
  <c r="AL49" i="36"/>
  <c r="AM49" i="36"/>
  <c r="AN49" i="36"/>
  <c r="AO49" i="36"/>
  <c r="AP49" i="36"/>
  <c r="A50" i="36"/>
  <c r="B50" i="36"/>
  <c r="C50" i="36"/>
  <c r="D50" i="36"/>
  <c r="E50" i="36"/>
  <c r="F50" i="36"/>
  <c r="H50" i="36"/>
  <c r="I50" i="36"/>
  <c r="J50" i="36"/>
  <c r="K50" i="36"/>
  <c r="L50" i="36"/>
  <c r="M50" i="36"/>
  <c r="N50" i="36"/>
  <c r="O50" i="36"/>
  <c r="P50" i="36"/>
  <c r="Q50" i="36"/>
  <c r="R50" i="36"/>
  <c r="S50" i="36"/>
  <c r="T50" i="36"/>
  <c r="U50" i="36"/>
  <c r="V50" i="36"/>
  <c r="W50" i="36"/>
  <c r="AE50" i="36"/>
  <c r="AF50" i="36"/>
  <c r="AG50" i="36"/>
  <c r="AH50" i="36"/>
  <c r="AI50" i="36"/>
  <c r="AL50" i="36"/>
  <c r="AM50" i="36"/>
  <c r="AN50" i="36"/>
  <c r="AO50" i="36"/>
  <c r="AP50" i="36"/>
  <c r="A51" i="36"/>
  <c r="B51" i="36"/>
  <c r="C51" i="36"/>
  <c r="D51" i="36"/>
  <c r="E51" i="36"/>
  <c r="F51" i="36"/>
  <c r="H51" i="36"/>
  <c r="I51" i="36"/>
  <c r="J51" i="36"/>
  <c r="K51" i="36"/>
  <c r="L51" i="36"/>
  <c r="M51" i="36"/>
  <c r="N51" i="36"/>
  <c r="O51" i="36"/>
  <c r="P51" i="36"/>
  <c r="Q51" i="36"/>
  <c r="R51" i="36"/>
  <c r="S51" i="36"/>
  <c r="T51" i="36"/>
  <c r="U51" i="36"/>
  <c r="V51" i="36"/>
  <c r="W51" i="36"/>
  <c r="AE51" i="36"/>
  <c r="AF51" i="36"/>
  <c r="AG51" i="36"/>
  <c r="AH51" i="36"/>
  <c r="AI51" i="36"/>
  <c r="AL51" i="36"/>
  <c r="AM51" i="36"/>
  <c r="AN51" i="36"/>
  <c r="AO51" i="36"/>
  <c r="AP51" i="36"/>
  <c r="A52" i="36"/>
  <c r="B52" i="36"/>
  <c r="C52" i="36"/>
  <c r="D52" i="36"/>
  <c r="E52" i="36"/>
  <c r="F52" i="36"/>
  <c r="H52" i="36"/>
  <c r="I52" i="36"/>
  <c r="J52" i="36"/>
  <c r="K52" i="36"/>
  <c r="L52" i="36"/>
  <c r="M52" i="36"/>
  <c r="N52" i="36"/>
  <c r="O52" i="36"/>
  <c r="P52" i="36"/>
  <c r="Q52" i="36"/>
  <c r="R52" i="36"/>
  <c r="S52" i="36"/>
  <c r="T52" i="36"/>
  <c r="U52" i="36"/>
  <c r="V52" i="36"/>
  <c r="W52" i="36"/>
  <c r="AE52" i="36"/>
  <c r="AF52" i="36"/>
  <c r="AG52" i="36"/>
  <c r="AH52" i="36"/>
  <c r="AI52" i="36"/>
  <c r="AL52" i="36"/>
  <c r="AM52" i="36"/>
  <c r="AN52" i="36"/>
  <c r="AO52" i="36"/>
  <c r="AP52" i="36"/>
  <c r="A53" i="36"/>
  <c r="B53" i="36"/>
  <c r="C53" i="36"/>
  <c r="D53" i="36"/>
  <c r="E53" i="36"/>
  <c r="F53" i="36"/>
  <c r="H53" i="36"/>
  <c r="I53" i="36"/>
  <c r="J53" i="36"/>
  <c r="K53" i="36"/>
  <c r="L53" i="36"/>
  <c r="M53" i="36"/>
  <c r="N53" i="36"/>
  <c r="O53" i="36"/>
  <c r="P53" i="36"/>
  <c r="Q53" i="36"/>
  <c r="R53" i="36"/>
  <c r="S53" i="36"/>
  <c r="T53" i="36"/>
  <c r="U53" i="36"/>
  <c r="V53" i="36"/>
  <c r="W53" i="36"/>
  <c r="AE53" i="36"/>
  <c r="AF53" i="36"/>
  <c r="AG53" i="36"/>
  <c r="AH53" i="36"/>
  <c r="AI53" i="36"/>
  <c r="AL53" i="36"/>
  <c r="AM53" i="36"/>
  <c r="AN53" i="36"/>
  <c r="AO53" i="36"/>
  <c r="AP53" i="36"/>
  <c r="A54" i="36"/>
  <c r="B54" i="36"/>
  <c r="C54" i="36"/>
  <c r="D54" i="36"/>
  <c r="E54" i="36"/>
  <c r="F54" i="36"/>
  <c r="H54" i="36"/>
  <c r="I54" i="36"/>
  <c r="J54" i="36"/>
  <c r="K54" i="36"/>
  <c r="L54" i="36"/>
  <c r="M54" i="36"/>
  <c r="N54" i="36"/>
  <c r="O54" i="36"/>
  <c r="P54" i="36"/>
  <c r="Q54" i="36"/>
  <c r="R54" i="36"/>
  <c r="S54" i="36"/>
  <c r="T54" i="36"/>
  <c r="U54" i="36"/>
  <c r="V54" i="36"/>
  <c r="W54" i="36"/>
  <c r="AE54" i="36"/>
  <c r="AF54" i="36"/>
  <c r="AG54" i="36"/>
  <c r="AH54" i="36"/>
  <c r="AI54" i="36"/>
  <c r="AL54" i="36"/>
  <c r="AM54" i="36"/>
  <c r="AN54" i="36"/>
  <c r="AO54" i="36"/>
  <c r="AP54" i="36"/>
  <c r="A55" i="36"/>
  <c r="B55" i="36"/>
  <c r="C55" i="36"/>
  <c r="D55" i="36"/>
  <c r="E55" i="36"/>
  <c r="F55" i="36"/>
  <c r="H55" i="36"/>
  <c r="I55" i="36"/>
  <c r="J55" i="36"/>
  <c r="K55" i="36"/>
  <c r="L55" i="36"/>
  <c r="M55" i="36"/>
  <c r="N55" i="36"/>
  <c r="O55" i="36"/>
  <c r="P55" i="36"/>
  <c r="Q55" i="36"/>
  <c r="R55" i="36"/>
  <c r="S55" i="36"/>
  <c r="T55" i="36"/>
  <c r="U55" i="36"/>
  <c r="V55" i="36"/>
  <c r="W55" i="36"/>
  <c r="AE55" i="36"/>
  <c r="AF55" i="36"/>
  <c r="AG55" i="36"/>
  <c r="AH55" i="36"/>
  <c r="AI55" i="36"/>
  <c r="AL55" i="36"/>
  <c r="AM55" i="36"/>
  <c r="AN55" i="36"/>
  <c r="AO55" i="36"/>
  <c r="AP55" i="36"/>
  <c r="A56" i="36"/>
  <c r="G3" i="39"/>
  <c r="H5" i="39"/>
  <c r="I5" i="39"/>
  <c r="J5" i="39"/>
  <c r="H6" i="39"/>
  <c r="I6" i="39"/>
  <c r="J6" i="39"/>
  <c r="H7" i="39"/>
  <c r="I7" i="39"/>
  <c r="J7" i="39"/>
  <c r="H8" i="39"/>
  <c r="I8" i="39"/>
  <c r="J8" i="39"/>
  <c r="E1" i="35"/>
  <c r="B2" i="35"/>
  <c r="E2" i="35"/>
  <c r="L3" i="35"/>
  <c r="M3" i="35"/>
  <c r="B4" i="35"/>
  <c r="D4" i="35"/>
  <c r="F4" i="35"/>
  <c r="H4" i="35"/>
  <c r="L4" i="35"/>
  <c r="M4" i="35"/>
  <c r="L5" i="35"/>
  <c r="M5" i="35"/>
  <c r="B6" i="35"/>
  <c r="D6" i="35"/>
  <c r="F6" i="35"/>
  <c r="H6" i="35"/>
  <c r="L6" i="35"/>
  <c r="M6" i="35"/>
  <c r="B7" i="35"/>
  <c r="D7" i="35"/>
  <c r="F7" i="35"/>
  <c r="H7" i="35"/>
  <c r="L8" i="35"/>
  <c r="M8" i="35"/>
  <c r="B9" i="35"/>
  <c r="D9" i="35"/>
  <c r="F9" i="35"/>
  <c r="H9" i="35"/>
  <c r="B10" i="35"/>
  <c r="D10" i="35"/>
  <c r="F10" i="35"/>
  <c r="H10" i="35"/>
  <c r="B11" i="35"/>
  <c r="D11" i="35"/>
  <c r="F11" i="35"/>
  <c r="H11" i="35"/>
  <c r="B13" i="35"/>
  <c r="D13" i="35"/>
  <c r="F13" i="35"/>
  <c r="H13" i="35"/>
  <c r="B15" i="35"/>
  <c r="D15" i="35"/>
  <c r="F15" i="35"/>
  <c r="H15" i="35"/>
  <c r="B16" i="35"/>
  <c r="D16" i="35"/>
  <c r="F16" i="35"/>
  <c r="H16" i="35"/>
  <c r="B18" i="35"/>
  <c r="D18" i="35"/>
  <c r="F18" i="35"/>
  <c r="H18" i="35"/>
  <c r="B19" i="35"/>
  <c r="D19" i="35"/>
  <c r="F19" i="35"/>
  <c r="H19" i="35"/>
  <c r="AF20" i="35"/>
  <c r="B21" i="35"/>
  <c r="D21" i="35"/>
  <c r="F21" i="35"/>
  <c r="H21" i="35"/>
  <c r="AI21" i="35"/>
  <c r="B22" i="35"/>
  <c r="D22" i="35"/>
  <c r="F22" i="35"/>
  <c r="H22" i="35"/>
  <c r="A23" i="35"/>
  <c r="B23" i="35"/>
  <c r="D23" i="35"/>
  <c r="F23" i="35"/>
  <c r="H23" i="35"/>
  <c r="AH23" i="35"/>
  <c r="AP24" i="35"/>
  <c r="AQ24" i="35"/>
  <c r="AU24" i="35"/>
  <c r="AV24" i="35"/>
  <c r="AW24" i="35"/>
  <c r="BA24" i="35"/>
  <c r="BB24" i="35"/>
  <c r="BF24" i="35"/>
  <c r="BG24" i="35"/>
  <c r="BH24" i="35"/>
  <c r="BL24" i="35"/>
  <c r="BM24" i="35"/>
  <c r="BQ24" i="35"/>
  <c r="BR24" i="35"/>
  <c r="BS24" i="35"/>
  <c r="BW24" i="35"/>
  <c r="BX24" i="35"/>
  <c r="CB24" i="35"/>
  <c r="CC24" i="35"/>
  <c r="CD24" i="35"/>
  <c r="B25" i="35"/>
  <c r="F25" i="35"/>
  <c r="AO25" i="35"/>
  <c r="AZ25" i="35"/>
  <c r="BK25" i="35"/>
  <c r="BV25" i="35"/>
  <c r="AO26" i="35"/>
  <c r="AP26" i="35"/>
  <c r="AQ26" i="35"/>
  <c r="AU26" i="35"/>
  <c r="AV26" i="35"/>
  <c r="AW26" i="35"/>
  <c r="AZ26" i="35"/>
  <c r="BA26" i="35"/>
  <c r="BB26" i="35"/>
  <c r="BF26" i="35"/>
  <c r="BG26" i="35"/>
  <c r="BH26" i="35"/>
  <c r="BK26" i="35"/>
  <c r="BL26" i="35"/>
  <c r="BM26" i="35"/>
  <c r="BQ26" i="35"/>
  <c r="BR26" i="35"/>
  <c r="BS26" i="35"/>
  <c r="BV26" i="35"/>
  <c r="BW26" i="35"/>
  <c r="BX26" i="35"/>
  <c r="CB26" i="35"/>
  <c r="CC26" i="35"/>
  <c r="CD26" i="35"/>
  <c r="AH27" i="35"/>
  <c r="AS27" i="35"/>
  <c r="BD27" i="35"/>
  <c r="BO27" i="35"/>
  <c r="BZ27" i="35"/>
  <c r="D28" i="35"/>
  <c r="K28" i="35"/>
  <c r="R28" i="35"/>
  <c r="Y28" i="35"/>
  <c r="AH28" i="35"/>
  <c r="AN28" i="35"/>
  <c r="AS28" i="35"/>
  <c r="AY28" i="35"/>
  <c r="BD28" i="35"/>
  <c r="BJ28" i="35"/>
  <c r="BO28" i="35"/>
  <c r="BU28" i="35"/>
  <c r="BZ28" i="35"/>
  <c r="AI29" i="35"/>
  <c r="AT29" i="35"/>
  <c r="AW29" i="35"/>
  <c r="BE29" i="35"/>
  <c r="BH29" i="35"/>
  <c r="BP29" i="35"/>
  <c r="BS29" i="35"/>
  <c r="CA29" i="35"/>
  <c r="CD29" i="35"/>
  <c r="B31" i="35"/>
  <c r="C31" i="35"/>
  <c r="D31" i="35"/>
  <c r="E31" i="35"/>
  <c r="F31" i="35"/>
  <c r="G31" i="35"/>
  <c r="H31" i="35"/>
  <c r="I31" i="35"/>
  <c r="K31" i="35"/>
  <c r="L31" i="35"/>
  <c r="M31" i="35"/>
  <c r="N31" i="35"/>
  <c r="O31" i="35"/>
  <c r="P31" i="35"/>
  <c r="R31" i="35"/>
  <c r="S31" i="35"/>
  <c r="T31" i="35"/>
  <c r="U31" i="35"/>
  <c r="V31" i="35"/>
  <c r="W31" i="35"/>
  <c r="Y31" i="35"/>
  <c r="Z31" i="35"/>
  <c r="AA31" i="35"/>
  <c r="AB31" i="35"/>
  <c r="AC31" i="35"/>
  <c r="AD31" i="35"/>
  <c r="AF31" i="35"/>
  <c r="AG31" i="35"/>
  <c r="AH31" i="35"/>
  <c r="AI31" i="35"/>
  <c r="AN31" i="35"/>
  <c r="AO31" i="35"/>
  <c r="AP31" i="35"/>
  <c r="AQ31" i="35"/>
  <c r="AR31" i="35"/>
  <c r="AS31" i="35"/>
  <c r="AT31" i="35"/>
  <c r="AU31" i="35"/>
  <c r="AV31" i="35"/>
  <c r="AW31" i="35"/>
  <c r="AY31" i="35"/>
  <c r="AZ31" i="35"/>
  <c r="BA31" i="35"/>
  <c r="BB31" i="35"/>
  <c r="BC31" i="35"/>
  <c r="BD31" i="35"/>
  <c r="BE31" i="35"/>
  <c r="BF31" i="35"/>
  <c r="BG31" i="35"/>
  <c r="BH31" i="35"/>
  <c r="BJ31" i="35"/>
  <c r="BK31" i="35"/>
  <c r="BL31" i="35"/>
  <c r="BM31" i="35"/>
  <c r="BN31" i="35"/>
  <c r="BO31" i="35"/>
  <c r="BP31" i="35"/>
  <c r="BQ31" i="35"/>
  <c r="BR31" i="35"/>
  <c r="BS31" i="35"/>
  <c r="BU31" i="35"/>
  <c r="BV31" i="35"/>
  <c r="BW31" i="35"/>
  <c r="BX31" i="35"/>
  <c r="BY31" i="35"/>
  <c r="BZ31" i="35"/>
  <c r="CA31" i="35"/>
  <c r="CB31" i="35"/>
  <c r="CC31" i="35"/>
  <c r="CD31" i="35"/>
  <c r="A32" i="35"/>
  <c r="B32" i="35"/>
  <c r="C32" i="35"/>
  <c r="D32" i="35"/>
  <c r="E32" i="35"/>
  <c r="F32" i="35"/>
  <c r="G32" i="35"/>
  <c r="H32" i="35"/>
  <c r="I32" i="35"/>
  <c r="K32" i="35"/>
  <c r="L32" i="35"/>
  <c r="M32" i="35"/>
  <c r="N32" i="35"/>
  <c r="O32" i="35"/>
  <c r="P32" i="35"/>
  <c r="Q32" i="35"/>
  <c r="R32" i="35"/>
  <c r="S32" i="35"/>
  <c r="T32" i="35"/>
  <c r="U32" i="35"/>
  <c r="V32" i="35"/>
  <c r="W32" i="35"/>
  <c r="Y32" i="35"/>
  <c r="Z32" i="35"/>
  <c r="AA32" i="35"/>
  <c r="AB32" i="35"/>
  <c r="AC32" i="35"/>
  <c r="AD32" i="35"/>
  <c r="AF32" i="35"/>
  <c r="AG32" i="35"/>
  <c r="AH32" i="35"/>
  <c r="AI32" i="35"/>
  <c r="AN32" i="35"/>
  <c r="AO32" i="35"/>
  <c r="AP32" i="35"/>
  <c r="AQ32" i="35"/>
  <c r="AR32" i="35"/>
  <c r="AS32" i="35"/>
  <c r="AT32" i="35"/>
  <c r="AU32" i="35"/>
  <c r="AV32" i="35"/>
  <c r="AW32" i="35"/>
  <c r="AY32" i="35"/>
  <c r="AZ32" i="35"/>
  <c r="BA32" i="35"/>
  <c r="BB32" i="35"/>
  <c r="BC32" i="35"/>
  <c r="BD32" i="35"/>
  <c r="BE32" i="35"/>
  <c r="BF32" i="35"/>
  <c r="BG32" i="35"/>
  <c r="BH32" i="35"/>
  <c r="BJ32" i="35"/>
  <c r="BK32" i="35"/>
  <c r="BL32" i="35"/>
  <c r="BM32" i="35"/>
  <c r="BN32" i="35"/>
  <c r="BO32" i="35"/>
  <c r="BP32" i="35"/>
  <c r="BQ32" i="35"/>
  <c r="BR32" i="35"/>
  <c r="BS32" i="35"/>
  <c r="BU32" i="35"/>
  <c r="BV32" i="35"/>
  <c r="BW32" i="35"/>
  <c r="BX32" i="35"/>
  <c r="BY32" i="35"/>
  <c r="BZ32" i="35"/>
  <c r="CA32" i="35"/>
  <c r="CB32" i="35"/>
  <c r="CC32" i="35"/>
  <c r="CD32" i="35"/>
  <c r="A33" i="35"/>
  <c r="B33" i="35"/>
  <c r="C33" i="35"/>
  <c r="D33" i="35"/>
  <c r="E33" i="35"/>
  <c r="F33" i="35"/>
  <c r="G33" i="35"/>
  <c r="H33" i="35"/>
  <c r="I33" i="35"/>
  <c r="K33" i="35"/>
  <c r="L33" i="35"/>
  <c r="M33" i="35"/>
  <c r="N33" i="35"/>
  <c r="O33" i="35"/>
  <c r="P33" i="35"/>
  <c r="Q33" i="35"/>
  <c r="R33" i="35"/>
  <c r="S33" i="35"/>
  <c r="T33" i="35"/>
  <c r="U33" i="35"/>
  <c r="V33" i="35"/>
  <c r="W33" i="35"/>
  <c r="Y33" i="35"/>
  <c r="Z33" i="35"/>
  <c r="AA33" i="35"/>
  <c r="AB33" i="35"/>
  <c r="AC33" i="35"/>
  <c r="AD33" i="35"/>
  <c r="AF33" i="35"/>
  <c r="AG33" i="35"/>
  <c r="AH33" i="35"/>
  <c r="AI33" i="35"/>
  <c r="AN33" i="35"/>
  <c r="AO33" i="35"/>
  <c r="AP33" i="35"/>
  <c r="AQ33" i="35"/>
  <c r="AR33" i="35"/>
  <c r="AS33" i="35"/>
  <c r="AT33" i="35"/>
  <c r="AU33" i="35"/>
  <c r="AV33" i="35"/>
  <c r="AW33" i="35"/>
  <c r="AY33" i="35"/>
  <c r="AZ33" i="35"/>
  <c r="BA33" i="35"/>
  <c r="BB33" i="35"/>
  <c r="BC33" i="35"/>
  <c r="BD33" i="35"/>
  <c r="BE33" i="35"/>
  <c r="BF33" i="35"/>
  <c r="BG33" i="35"/>
  <c r="BH33" i="35"/>
  <c r="BJ33" i="35"/>
  <c r="BK33" i="35"/>
  <c r="BL33" i="35"/>
  <c r="BM33" i="35"/>
  <c r="BN33" i="35"/>
  <c r="BO33" i="35"/>
  <c r="BP33" i="35"/>
  <c r="BQ33" i="35"/>
  <c r="BR33" i="35"/>
  <c r="BS33" i="35"/>
  <c r="BU33" i="35"/>
  <c r="BV33" i="35"/>
  <c r="BW33" i="35"/>
  <c r="BX33" i="35"/>
  <c r="BY33" i="35"/>
  <c r="BZ33" i="35"/>
  <c r="CA33" i="35"/>
  <c r="CB33" i="35"/>
  <c r="CC33" i="35"/>
  <c r="CD33" i="35"/>
  <c r="A34" i="35"/>
  <c r="B34" i="35"/>
  <c r="C34" i="35"/>
  <c r="D34" i="35"/>
  <c r="E34" i="35"/>
  <c r="F34" i="35"/>
  <c r="G34" i="35"/>
  <c r="H34" i="35"/>
  <c r="I34" i="35"/>
  <c r="K34" i="35"/>
  <c r="L34" i="35"/>
  <c r="M34" i="35"/>
  <c r="N34" i="35"/>
  <c r="O34" i="35"/>
  <c r="P34" i="35"/>
  <c r="Q34" i="35"/>
  <c r="R34" i="35"/>
  <c r="S34" i="35"/>
  <c r="T34" i="35"/>
  <c r="U34" i="35"/>
  <c r="V34" i="35"/>
  <c r="W34" i="35"/>
  <c r="Y34" i="35"/>
  <c r="Z34" i="35"/>
  <c r="AA34" i="35"/>
  <c r="AB34" i="35"/>
  <c r="AC34" i="35"/>
  <c r="AD34" i="35"/>
  <c r="AF34" i="35"/>
  <c r="AG34" i="35"/>
  <c r="AH34" i="35"/>
  <c r="AI34" i="35"/>
  <c r="AN34" i="35"/>
  <c r="AO34" i="35"/>
  <c r="AP34" i="35"/>
  <c r="AQ34" i="35"/>
  <c r="AR34" i="35"/>
  <c r="AS34" i="35"/>
  <c r="AT34" i="35"/>
  <c r="AU34" i="35"/>
  <c r="AV34" i="35"/>
  <c r="AW34" i="35"/>
  <c r="AY34" i="35"/>
  <c r="AZ34" i="35"/>
  <c r="BA34" i="35"/>
  <c r="BB34" i="35"/>
  <c r="BC34" i="35"/>
  <c r="BD34" i="35"/>
  <c r="BE34" i="35"/>
  <c r="BF34" i="35"/>
  <c r="BG34" i="35"/>
  <c r="BH34" i="35"/>
  <c r="BJ34" i="35"/>
  <c r="BK34" i="35"/>
  <c r="BL34" i="35"/>
  <c r="BM34" i="35"/>
  <c r="BN34" i="35"/>
  <c r="BO34" i="35"/>
  <c r="BP34" i="35"/>
  <c r="BQ34" i="35"/>
  <c r="BR34" i="35"/>
  <c r="BS34" i="35"/>
  <c r="BU34" i="35"/>
  <c r="BV34" i="35"/>
  <c r="BW34" i="35"/>
  <c r="BX34" i="35"/>
  <c r="BY34" i="35"/>
  <c r="BZ34" i="35"/>
  <c r="CA34" i="35"/>
  <c r="CB34" i="35"/>
  <c r="CC34" i="35"/>
  <c r="CD34" i="35"/>
  <c r="A35" i="35"/>
  <c r="B35" i="35"/>
  <c r="C35" i="35"/>
  <c r="D35" i="35"/>
  <c r="E35" i="35"/>
  <c r="F35" i="35"/>
  <c r="G35" i="35"/>
  <c r="H35" i="35"/>
  <c r="I35" i="35"/>
  <c r="K35" i="35"/>
  <c r="L35" i="35"/>
  <c r="M35" i="35"/>
  <c r="N35" i="35"/>
  <c r="O35" i="35"/>
  <c r="P35" i="35"/>
  <c r="Q35" i="35"/>
  <c r="R35" i="35"/>
  <c r="S35" i="35"/>
  <c r="T35" i="35"/>
  <c r="U35" i="35"/>
  <c r="V35" i="35"/>
  <c r="W35" i="35"/>
  <c r="Y35" i="35"/>
  <c r="Z35" i="35"/>
  <c r="AA35" i="35"/>
  <c r="AB35" i="35"/>
  <c r="AC35" i="35"/>
  <c r="AD35" i="35"/>
  <c r="AF35" i="35"/>
  <c r="AG35" i="35"/>
  <c r="AH35" i="35"/>
  <c r="AI35" i="35"/>
  <c r="AN35" i="35"/>
  <c r="AO35" i="35"/>
  <c r="AP35" i="35"/>
  <c r="AQ35" i="35"/>
  <c r="AR35" i="35"/>
  <c r="AS35" i="35"/>
  <c r="AT35" i="35"/>
  <c r="AU35" i="35"/>
  <c r="AV35" i="35"/>
  <c r="AW35" i="35"/>
  <c r="AY35" i="35"/>
  <c r="AZ35" i="35"/>
  <c r="BA35" i="35"/>
  <c r="BB35" i="35"/>
  <c r="BC35" i="35"/>
  <c r="BD35" i="35"/>
  <c r="BE35" i="35"/>
  <c r="BF35" i="35"/>
  <c r="BG35" i="35"/>
  <c r="BH35" i="35"/>
  <c r="BJ35" i="35"/>
  <c r="BK35" i="35"/>
  <c r="BL35" i="35"/>
  <c r="BM35" i="35"/>
  <c r="BN35" i="35"/>
  <c r="BO35" i="35"/>
  <c r="BP35" i="35"/>
  <c r="BQ35" i="35"/>
  <c r="BR35" i="35"/>
  <c r="BS35" i="35"/>
  <c r="BU35" i="35"/>
  <c r="BV35" i="35"/>
  <c r="BW35" i="35"/>
  <c r="BX35" i="35"/>
  <c r="BY35" i="35"/>
  <c r="BZ35" i="35"/>
  <c r="CA35" i="35"/>
  <c r="CB35" i="35"/>
  <c r="CC35" i="35"/>
  <c r="CD35" i="35"/>
  <c r="A36" i="35"/>
  <c r="B36" i="35"/>
  <c r="C36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R36" i="35"/>
  <c r="S36" i="35"/>
  <c r="T36" i="35"/>
  <c r="U36" i="35"/>
  <c r="V36" i="35"/>
  <c r="W36" i="35"/>
  <c r="Y36" i="35"/>
  <c r="Z36" i="35"/>
  <c r="AA36" i="35"/>
  <c r="AB36" i="35"/>
  <c r="AC36" i="35"/>
  <c r="AD36" i="35"/>
  <c r="AF36" i="35"/>
  <c r="AG36" i="35"/>
  <c r="AH36" i="35"/>
  <c r="AI36" i="35"/>
  <c r="AN36" i="35"/>
  <c r="AO36" i="35"/>
  <c r="AP36" i="35"/>
  <c r="AQ36" i="35"/>
  <c r="AR36" i="35"/>
  <c r="AS36" i="35"/>
  <c r="AT36" i="35"/>
  <c r="AU36" i="35"/>
  <c r="AV36" i="35"/>
  <c r="AW36" i="35"/>
  <c r="AY36" i="35"/>
  <c r="AZ36" i="35"/>
  <c r="BA36" i="35"/>
  <c r="BB36" i="35"/>
  <c r="BC36" i="35"/>
  <c r="BD36" i="35"/>
  <c r="BE36" i="35"/>
  <c r="BF36" i="35"/>
  <c r="BG36" i="35"/>
  <c r="BH36" i="35"/>
  <c r="BJ36" i="35"/>
  <c r="BK36" i="35"/>
  <c r="BL36" i="35"/>
  <c r="BM36" i="35"/>
  <c r="BN36" i="35"/>
  <c r="BO36" i="35"/>
  <c r="BP36" i="35"/>
  <c r="BQ36" i="35"/>
  <c r="BR36" i="35"/>
  <c r="BS36" i="35"/>
  <c r="BU36" i="35"/>
  <c r="BV36" i="35"/>
  <c r="BW36" i="35"/>
  <c r="BX36" i="35"/>
  <c r="BY36" i="35"/>
  <c r="BZ36" i="35"/>
  <c r="CA36" i="35"/>
  <c r="CB36" i="35"/>
  <c r="CC36" i="35"/>
  <c r="CD36" i="35"/>
  <c r="A37" i="35"/>
  <c r="B37" i="35"/>
  <c r="C37" i="35"/>
  <c r="D37" i="35"/>
  <c r="E37" i="35"/>
  <c r="F37" i="35"/>
  <c r="G37" i="35"/>
  <c r="H37" i="35"/>
  <c r="I37" i="35"/>
  <c r="K37" i="35"/>
  <c r="L37" i="35"/>
  <c r="M37" i="35"/>
  <c r="N37" i="35"/>
  <c r="O37" i="35"/>
  <c r="P37" i="35"/>
  <c r="R37" i="35"/>
  <c r="S37" i="35"/>
  <c r="T37" i="35"/>
  <c r="U37" i="35"/>
  <c r="V37" i="35"/>
  <c r="W37" i="35"/>
  <c r="Y37" i="35"/>
  <c r="Z37" i="35"/>
  <c r="AA37" i="35"/>
  <c r="AB37" i="35"/>
  <c r="AC37" i="35"/>
  <c r="AD37" i="35"/>
  <c r="AF37" i="35"/>
  <c r="AG37" i="35"/>
  <c r="AH37" i="35"/>
  <c r="AI37" i="35"/>
  <c r="AN37" i="35"/>
  <c r="AO37" i="35"/>
  <c r="AP37" i="35"/>
  <c r="AQ37" i="35"/>
  <c r="AR37" i="35"/>
  <c r="AS37" i="35"/>
  <c r="AT37" i="35"/>
  <c r="AU37" i="35"/>
  <c r="AV37" i="35"/>
  <c r="AW37" i="35"/>
  <c r="AY37" i="35"/>
  <c r="AZ37" i="35"/>
  <c r="BA37" i="35"/>
  <c r="BB37" i="35"/>
  <c r="BC37" i="35"/>
  <c r="BD37" i="35"/>
  <c r="BE37" i="35"/>
  <c r="BF37" i="35"/>
  <c r="BG37" i="35"/>
  <c r="BH37" i="35"/>
  <c r="BJ37" i="35"/>
  <c r="BK37" i="35"/>
  <c r="BL37" i="35"/>
  <c r="BM37" i="35"/>
  <c r="BN37" i="35"/>
  <c r="BO37" i="35"/>
  <c r="BP37" i="35"/>
  <c r="BQ37" i="35"/>
  <c r="BR37" i="35"/>
  <c r="BS37" i="35"/>
  <c r="BU37" i="35"/>
  <c r="BV37" i="35"/>
  <c r="BW37" i="35"/>
  <c r="BX37" i="35"/>
  <c r="BY37" i="35"/>
  <c r="BZ37" i="35"/>
  <c r="CA37" i="35"/>
  <c r="CB37" i="35"/>
  <c r="CC37" i="35"/>
  <c r="CD37" i="35"/>
  <c r="A38" i="35"/>
  <c r="B38" i="35"/>
  <c r="C38" i="35"/>
  <c r="D38" i="35"/>
  <c r="E38" i="35"/>
  <c r="F38" i="35"/>
  <c r="G38" i="35"/>
  <c r="H38" i="35"/>
  <c r="I38" i="35"/>
  <c r="K38" i="35"/>
  <c r="L38" i="35"/>
  <c r="M38" i="35"/>
  <c r="N38" i="35"/>
  <c r="O38" i="35"/>
  <c r="P38" i="35"/>
  <c r="R38" i="35"/>
  <c r="S38" i="35"/>
  <c r="T38" i="35"/>
  <c r="U38" i="35"/>
  <c r="V38" i="35"/>
  <c r="W38" i="35"/>
  <c r="Y38" i="35"/>
  <c r="Z38" i="35"/>
  <c r="AA38" i="35"/>
  <c r="AB38" i="35"/>
  <c r="AC38" i="35"/>
  <c r="AD38" i="35"/>
  <c r="AF38" i="35"/>
  <c r="AG38" i="35"/>
  <c r="AH38" i="35"/>
  <c r="AI38" i="35"/>
  <c r="AN38" i="35"/>
  <c r="AO38" i="35"/>
  <c r="AP38" i="35"/>
  <c r="AQ38" i="35"/>
  <c r="AR38" i="35"/>
  <c r="AS38" i="35"/>
  <c r="AT38" i="35"/>
  <c r="AU38" i="35"/>
  <c r="AV38" i="35"/>
  <c r="AW38" i="35"/>
  <c r="AY38" i="35"/>
  <c r="AZ38" i="35"/>
  <c r="BA38" i="35"/>
  <c r="BB38" i="35"/>
  <c r="BC38" i="35"/>
  <c r="BD38" i="35"/>
  <c r="BE38" i="35"/>
  <c r="BF38" i="35"/>
  <c r="BG38" i="35"/>
  <c r="BH38" i="35"/>
  <c r="BJ38" i="35"/>
  <c r="BK38" i="35"/>
  <c r="BL38" i="35"/>
  <c r="BM38" i="35"/>
  <c r="BN38" i="35"/>
  <c r="BO38" i="35"/>
  <c r="BP38" i="35"/>
  <c r="BQ38" i="35"/>
  <c r="BR38" i="35"/>
  <c r="BS38" i="35"/>
  <c r="BU38" i="35"/>
  <c r="BV38" i="35"/>
  <c r="BW38" i="35"/>
  <c r="BX38" i="35"/>
  <c r="BY38" i="35"/>
  <c r="BZ38" i="35"/>
  <c r="CA38" i="35"/>
  <c r="CB38" i="35"/>
  <c r="CC38" i="35"/>
  <c r="CD38" i="35"/>
  <c r="A39" i="35"/>
  <c r="B39" i="35"/>
  <c r="C39" i="35"/>
  <c r="D39" i="35"/>
  <c r="E39" i="35"/>
  <c r="F39" i="35"/>
  <c r="G39" i="35"/>
  <c r="H39" i="35"/>
  <c r="I39" i="35"/>
  <c r="K39" i="35"/>
  <c r="L39" i="35"/>
  <c r="M39" i="35"/>
  <c r="N39" i="35"/>
  <c r="O39" i="35"/>
  <c r="P39" i="35"/>
  <c r="R39" i="35"/>
  <c r="S39" i="35"/>
  <c r="T39" i="35"/>
  <c r="U39" i="35"/>
  <c r="V39" i="35"/>
  <c r="W39" i="35"/>
  <c r="Y39" i="35"/>
  <c r="Z39" i="35"/>
  <c r="AA39" i="35"/>
  <c r="AB39" i="35"/>
  <c r="AC39" i="35"/>
  <c r="AD39" i="35"/>
  <c r="AF39" i="35"/>
  <c r="AG39" i="35"/>
  <c r="AH39" i="35"/>
  <c r="AI39" i="35"/>
  <c r="AN39" i="35"/>
  <c r="AO39" i="35"/>
  <c r="AP39" i="35"/>
  <c r="AQ39" i="35"/>
  <c r="AR39" i="35"/>
  <c r="AS39" i="35"/>
  <c r="AT39" i="35"/>
  <c r="AU39" i="35"/>
  <c r="AV39" i="35"/>
  <c r="AW39" i="35"/>
  <c r="AY39" i="35"/>
  <c r="AZ39" i="35"/>
  <c r="BA39" i="35"/>
  <c r="BB39" i="35"/>
  <c r="BC39" i="35"/>
  <c r="BD39" i="35"/>
  <c r="BE39" i="35"/>
  <c r="BF39" i="35"/>
  <c r="BG39" i="35"/>
  <c r="BH39" i="35"/>
  <c r="BJ39" i="35"/>
  <c r="BK39" i="35"/>
  <c r="BL39" i="35"/>
  <c r="BM39" i="35"/>
  <c r="BN39" i="35"/>
  <c r="BO39" i="35"/>
  <c r="BP39" i="35"/>
  <c r="BQ39" i="35"/>
  <c r="BR39" i="35"/>
  <c r="BS39" i="35"/>
  <c r="BU39" i="35"/>
  <c r="BV39" i="35"/>
  <c r="BW39" i="35"/>
  <c r="BX39" i="35"/>
  <c r="BY39" i="35"/>
  <c r="BZ39" i="35"/>
  <c r="CA39" i="35"/>
  <c r="CB39" i="35"/>
  <c r="CC39" i="35"/>
  <c r="CD39" i="35"/>
  <c r="A40" i="35"/>
  <c r="B40" i="35"/>
  <c r="C40" i="35"/>
  <c r="D40" i="35"/>
  <c r="E40" i="35"/>
  <c r="F40" i="35"/>
  <c r="G40" i="35"/>
  <c r="H40" i="35"/>
  <c r="I40" i="35"/>
  <c r="K40" i="35"/>
  <c r="L40" i="35"/>
  <c r="M40" i="35"/>
  <c r="N40" i="35"/>
  <c r="O40" i="35"/>
  <c r="P40" i="35"/>
  <c r="R40" i="35"/>
  <c r="S40" i="35"/>
  <c r="T40" i="35"/>
  <c r="U40" i="35"/>
  <c r="V40" i="35"/>
  <c r="W40" i="35"/>
  <c r="Y40" i="35"/>
  <c r="Z40" i="35"/>
  <c r="AA40" i="35"/>
  <c r="AB40" i="35"/>
  <c r="AC40" i="35"/>
  <c r="AD40" i="35"/>
  <c r="AF40" i="35"/>
  <c r="AG40" i="35"/>
  <c r="AH40" i="35"/>
  <c r="AI40" i="35"/>
  <c r="AN40" i="35"/>
  <c r="AO40" i="35"/>
  <c r="AP40" i="35"/>
  <c r="AQ40" i="35"/>
  <c r="AR40" i="35"/>
  <c r="AS40" i="35"/>
  <c r="AT40" i="35"/>
  <c r="AU40" i="35"/>
  <c r="AV40" i="35"/>
  <c r="AW40" i="35"/>
  <c r="AY40" i="35"/>
  <c r="AZ40" i="35"/>
  <c r="BA40" i="35"/>
  <c r="BB40" i="35"/>
  <c r="BC40" i="35"/>
  <c r="BD40" i="35"/>
  <c r="BE40" i="35"/>
  <c r="BF40" i="35"/>
  <c r="BG40" i="35"/>
  <c r="BH40" i="35"/>
  <c r="BJ40" i="35"/>
  <c r="BK40" i="35"/>
  <c r="BL40" i="35"/>
  <c r="BM40" i="35"/>
  <c r="BN40" i="35"/>
  <c r="BO40" i="35"/>
  <c r="BP40" i="35"/>
  <c r="BQ40" i="35"/>
  <c r="BR40" i="35"/>
  <c r="BS40" i="35"/>
  <c r="BU40" i="35"/>
  <c r="BV40" i="35"/>
  <c r="BW40" i="35"/>
  <c r="BX40" i="35"/>
  <c r="BY40" i="35"/>
  <c r="BZ40" i="35"/>
  <c r="CA40" i="35"/>
  <c r="CB40" i="35"/>
  <c r="CC40" i="35"/>
  <c r="CD40" i="35"/>
  <c r="A41" i="35"/>
  <c r="B41" i="35"/>
  <c r="C41" i="35"/>
  <c r="D41" i="35"/>
  <c r="E41" i="35"/>
  <c r="F41" i="35"/>
  <c r="G41" i="35"/>
  <c r="H41" i="35"/>
  <c r="I41" i="35"/>
  <c r="K41" i="35"/>
  <c r="L41" i="35"/>
  <c r="M41" i="35"/>
  <c r="N41" i="35"/>
  <c r="O41" i="35"/>
  <c r="P41" i="35"/>
  <c r="R41" i="35"/>
  <c r="S41" i="35"/>
  <c r="T41" i="35"/>
  <c r="U41" i="35"/>
  <c r="V41" i="35"/>
  <c r="W41" i="35"/>
  <c r="Y41" i="35"/>
  <c r="Z41" i="35"/>
  <c r="AA41" i="35"/>
  <c r="AB41" i="35"/>
  <c r="AC41" i="35"/>
  <c r="AD41" i="35"/>
  <c r="AF41" i="35"/>
  <c r="AG41" i="35"/>
  <c r="AH41" i="35"/>
  <c r="AI41" i="35"/>
  <c r="AN41" i="35"/>
  <c r="AO41" i="35"/>
  <c r="AP41" i="35"/>
  <c r="AQ41" i="35"/>
  <c r="AR41" i="35"/>
  <c r="AS41" i="35"/>
  <c r="AT41" i="35"/>
  <c r="AU41" i="35"/>
  <c r="AV41" i="35"/>
  <c r="AW41" i="35"/>
  <c r="AY41" i="35"/>
  <c r="AZ41" i="35"/>
  <c r="BA41" i="35"/>
  <c r="BB41" i="35"/>
  <c r="BC41" i="35"/>
  <c r="BD41" i="35"/>
  <c r="BE41" i="35"/>
  <c r="BF41" i="35"/>
  <c r="BG41" i="35"/>
  <c r="BH41" i="35"/>
  <c r="BJ41" i="35"/>
  <c r="BK41" i="35"/>
  <c r="BL41" i="35"/>
  <c r="BM41" i="35"/>
  <c r="BN41" i="35"/>
  <c r="BO41" i="35"/>
  <c r="BP41" i="35"/>
  <c r="BQ41" i="35"/>
  <c r="BR41" i="35"/>
  <c r="BS41" i="35"/>
  <c r="BU41" i="35"/>
  <c r="BV41" i="35"/>
  <c r="BW41" i="35"/>
  <c r="BX41" i="35"/>
  <c r="BY41" i="35"/>
  <c r="BZ41" i="35"/>
  <c r="CA41" i="35"/>
  <c r="CB41" i="35"/>
  <c r="CC41" i="35"/>
  <c r="CD41" i="35"/>
  <c r="A42" i="35"/>
  <c r="B42" i="35"/>
  <c r="C42" i="35"/>
  <c r="D42" i="35"/>
  <c r="E42" i="35"/>
  <c r="F42" i="35"/>
  <c r="G42" i="35"/>
  <c r="H42" i="35"/>
  <c r="I42" i="35"/>
  <c r="K42" i="35"/>
  <c r="L42" i="35"/>
  <c r="M42" i="35"/>
  <c r="N42" i="35"/>
  <c r="O42" i="35"/>
  <c r="P42" i="35"/>
  <c r="R42" i="35"/>
  <c r="S42" i="35"/>
  <c r="T42" i="35"/>
  <c r="U42" i="35"/>
  <c r="V42" i="35"/>
  <c r="W42" i="35"/>
  <c r="Y42" i="35"/>
  <c r="Z42" i="35"/>
  <c r="AA42" i="35"/>
  <c r="AB42" i="35"/>
  <c r="AC42" i="35"/>
  <c r="AD42" i="35"/>
  <c r="AF42" i="35"/>
  <c r="AG42" i="35"/>
  <c r="AH42" i="35"/>
  <c r="AI42" i="35"/>
  <c r="AN42" i="35"/>
  <c r="AO42" i="35"/>
  <c r="AP42" i="35"/>
  <c r="AQ42" i="35"/>
  <c r="AR42" i="35"/>
  <c r="AS42" i="35"/>
  <c r="AT42" i="35"/>
  <c r="AU42" i="35"/>
  <c r="AV42" i="35"/>
  <c r="AW42" i="35"/>
  <c r="AY42" i="35"/>
  <c r="AZ42" i="35"/>
  <c r="BA42" i="35"/>
  <c r="BB42" i="35"/>
  <c r="BC42" i="35"/>
  <c r="BD42" i="35"/>
  <c r="BE42" i="35"/>
  <c r="BF42" i="35"/>
  <c r="BG42" i="35"/>
  <c r="BH42" i="35"/>
  <c r="BJ42" i="35"/>
  <c r="BK42" i="35"/>
  <c r="BL42" i="35"/>
  <c r="BM42" i="35"/>
  <c r="BN42" i="35"/>
  <c r="BO42" i="35"/>
  <c r="BP42" i="35"/>
  <c r="BQ42" i="35"/>
  <c r="BR42" i="35"/>
  <c r="BS42" i="35"/>
  <c r="BU42" i="35"/>
  <c r="BV42" i="35"/>
  <c r="BW42" i="35"/>
  <c r="BX42" i="35"/>
  <c r="BY42" i="35"/>
  <c r="BZ42" i="35"/>
  <c r="CA42" i="35"/>
  <c r="CB42" i="35"/>
  <c r="CC42" i="35"/>
  <c r="CD42" i="35"/>
  <c r="A43" i="35"/>
  <c r="B43" i="35"/>
  <c r="C43" i="35"/>
  <c r="D43" i="35"/>
  <c r="E43" i="35"/>
  <c r="F43" i="35"/>
  <c r="G43" i="35"/>
  <c r="H43" i="35"/>
  <c r="I43" i="35"/>
  <c r="K43" i="35"/>
  <c r="L43" i="35"/>
  <c r="M43" i="35"/>
  <c r="N43" i="35"/>
  <c r="O43" i="35"/>
  <c r="P43" i="35"/>
  <c r="R43" i="35"/>
  <c r="S43" i="35"/>
  <c r="T43" i="35"/>
  <c r="U43" i="35"/>
  <c r="V43" i="35"/>
  <c r="W43" i="35"/>
  <c r="Y43" i="35"/>
  <c r="Z43" i="35"/>
  <c r="AA43" i="35"/>
  <c r="AB43" i="35"/>
  <c r="AC43" i="35"/>
  <c r="AD43" i="35"/>
  <c r="AF43" i="35"/>
  <c r="AG43" i="35"/>
  <c r="AH43" i="35"/>
  <c r="AI43" i="35"/>
  <c r="AN43" i="35"/>
  <c r="AO43" i="35"/>
  <c r="AP43" i="35"/>
  <c r="AQ43" i="35"/>
  <c r="AR43" i="35"/>
  <c r="AS43" i="35"/>
  <c r="AT43" i="35"/>
  <c r="AU43" i="35"/>
  <c r="AV43" i="35"/>
  <c r="AW43" i="35"/>
  <c r="AY43" i="35"/>
  <c r="AZ43" i="35"/>
  <c r="BA43" i="35"/>
  <c r="BB43" i="35"/>
  <c r="BC43" i="35"/>
  <c r="BD43" i="35"/>
  <c r="BE43" i="35"/>
  <c r="BF43" i="35"/>
  <c r="BG43" i="35"/>
  <c r="BH43" i="35"/>
  <c r="BJ43" i="35"/>
  <c r="BK43" i="35"/>
  <c r="BL43" i="35"/>
  <c r="BM43" i="35"/>
  <c r="BN43" i="35"/>
  <c r="BO43" i="35"/>
  <c r="BP43" i="35"/>
  <c r="BQ43" i="35"/>
  <c r="BR43" i="35"/>
  <c r="BS43" i="35"/>
  <c r="BU43" i="35"/>
  <c r="BV43" i="35"/>
  <c r="BW43" i="35"/>
  <c r="BX43" i="35"/>
  <c r="BY43" i="35"/>
  <c r="BZ43" i="35"/>
  <c r="CA43" i="35"/>
  <c r="CB43" i="35"/>
  <c r="CC43" i="35"/>
  <c r="CD43" i="35"/>
  <c r="A44" i="35"/>
  <c r="B44" i="35"/>
  <c r="C44" i="35"/>
  <c r="D44" i="35"/>
  <c r="E44" i="35"/>
  <c r="F44" i="35"/>
  <c r="G44" i="35"/>
  <c r="H44" i="35"/>
  <c r="I44" i="35"/>
  <c r="K44" i="35"/>
  <c r="L44" i="35"/>
  <c r="M44" i="35"/>
  <c r="N44" i="35"/>
  <c r="O44" i="35"/>
  <c r="P44" i="35"/>
  <c r="R44" i="35"/>
  <c r="S44" i="35"/>
  <c r="T44" i="35"/>
  <c r="U44" i="35"/>
  <c r="V44" i="35"/>
  <c r="W44" i="35"/>
  <c r="Y44" i="35"/>
  <c r="Z44" i="35"/>
  <c r="AA44" i="35"/>
  <c r="AB44" i="35"/>
  <c r="AC44" i="35"/>
  <c r="AD44" i="35"/>
  <c r="AF44" i="35"/>
  <c r="AG44" i="35"/>
  <c r="AH44" i="35"/>
  <c r="AI44" i="35"/>
  <c r="AN44" i="35"/>
  <c r="AO44" i="35"/>
  <c r="AP44" i="35"/>
  <c r="AQ44" i="35"/>
  <c r="AR44" i="35"/>
  <c r="AS44" i="35"/>
  <c r="AT44" i="35"/>
  <c r="AU44" i="35"/>
  <c r="AV44" i="35"/>
  <c r="AW44" i="35"/>
  <c r="AY44" i="35"/>
  <c r="AZ44" i="35"/>
  <c r="BA44" i="35"/>
  <c r="BB44" i="35"/>
  <c r="BC44" i="35"/>
  <c r="BD44" i="35"/>
  <c r="BE44" i="35"/>
  <c r="BF44" i="35"/>
  <c r="BG44" i="35"/>
  <c r="BH44" i="35"/>
  <c r="BJ44" i="35"/>
  <c r="BK44" i="35"/>
  <c r="BL44" i="35"/>
  <c r="BM44" i="35"/>
  <c r="BN44" i="35"/>
  <c r="BO44" i="35"/>
  <c r="BP44" i="35"/>
  <c r="BQ44" i="35"/>
  <c r="BR44" i="35"/>
  <c r="BS44" i="35"/>
  <c r="BU44" i="35"/>
  <c r="BV44" i="35"/>
  <c r="BW44" i="35"/>
  <c r="BX44" i="35"/>
  <c r="BY44" i="35"/>
  <c r="BZ44" i="35"/>
  <c r="CA44" i="35"/>
  <c r="CB44" i="35"/>
  <c r="CC44" i="35"/>
  <c r="CD44" i="35"/>
  <c r="A45" i="35"/>
  <c r="B45" i="35"/>
  <c r="C45" i="35"/>
  <c r="D45" i="35"/>
  <c r="E45" i="35"/>
  <c r="F45" i="35"/>
  <c r="G45" i="35"/>
  <c r="H45" i="35"/>
  <c r="I45" i="35"/>
  <c r="K45" i="35"/>
  <c r="L45" i="35"/>
  <c r="M45" i="35"/>
  <c r="N45" i="35"/>
  <c r="O45" i="35"/>
  <c r="P45" i="35"/>
  <c r="R45" i="35"/>
  <c r="S45" i="35"/>
  <c r="T45" i="35"/>
  <c r="U45" i="35"/>
  <c r="V45" i="35"/>
  <c r="W45" i="35"/>
  <c r="Y45" i="35"/>
  <c r="Z45" i="35"/>
  <c r="AA45" i="35"/>
  <c r="AB45" i="35"/>
  <c r="AC45" i="35"/>
  <c r="AD45" i="35"/>
  <c r="AF45" i="35"/>
  <c r="AG45" i="35"/>
  <c r="AH45" i="35"/>
  <c r="AI45" i="35"/>
  <c r="AN45" i="35"/>
  <c r="AO45" i="35"/>
  <c r="AP45" i="35"/>
  <c r="AQ45" i="35"/>
  <c r="AR45" i="35"/>
  <c r="AS45" i="35"/>
  <c r="AT45" i="35"/>
  <c r="AU45" i="35"/>
  <c r="AV45" i="35"/>
  <c r="AW45" i="35"/>
  <c r="AY45" i="35"/>
  <c r="AZ45" i="35"/>
  <c r="BA45" i="35"/>
  <c r="BB45" i="35"/>
  <c r="BC45" i="35"/>
  <c r="BD45" i="35"/>
  <c r="BE45" i="35"/>
  <c r="BF45" i="35"/>
  <c r="BG45" i="35"/>
  <c r="BH45" i="35"/>
  <c r="BJ45" i="35"/>
  <c r="BK45" i="35"/>
  <c r="BL45" i="35"/>
  <c r="BM45" i="35"/>
  <c r="BN45" i="35"/>
  <c r="BO45" i="35"/>
  <c r="BP45" i="35"/>
  <c r="BQ45" i="35"/>
  <c r="BR45" i="35"/>
  <c r="BS45" i="35"/>
  <c r="BU45" i="35"/>
  <c r="BV45" i="35"/>
  <c r="BW45" i="35"/>
  <c r="BX45" i="35"/>
  <c r="BY45" i="35"/>
  <c r="BZ45" i="35"/>
  <c r="CA45" i="35"/>
  <c r="CB45" i="35"/>
  <c r="CC45" i="35"/>
  <c r="CD45" i="35"/>
  <c r="A46" i="35"/>
  <c r="B46" i="35"/>
  <c r="C46" i="35"/>
  <c r="D46" i="35"/>
  <c r="E46" i="35"/>
  <c r="F46" i="35"/>
  <c r="G46" i="35"/>
  <c r="H46" i="35"/>
  <c r="I46" i="35"/>
  <c r="K46" i="35"/>
  <c r="L46" i="35"/>
  <c r="M46" i="35"/>
  <c r="N46" i="35"/>
  <c r="O46" i="35"/>
  <c r="P46" i="35"/>
  <c r="R46" i="35"/>
  <c r="S46" i="35"/>
  <c r="T46" i="35"/>
  <c r="U46" i="35"/>
  <c r="V46" i="35"/>
  <c r="W46" i="35"/>
  <c r="Y46" i="35"/>
  <c r="Z46" i="35"/>
  <c r="AA46" i="35"/>
  <c r="AB46" i="35"/>
  <c r="AC46" i="35"/>
  <c r="AD46" i="35"/>
  <c r="AF46" i="35"/>
  <c r="AG46" i="35"/>
  <c r="AH46" i="35"/>
  <c r="AI46" i="35"/>
  <c r="AN46" i="35"/>
  <c r="AO46" i="35"/>
  <c r="AP46" i="35"/>
  <c r="AQ46" i="35"/>
  <c r="AR46" i="35"/>
  <c r="AS46" i="35"/>
  <c r="AT46" i="35"/>
  <c r="AU46" i="35"/>
  <c r="AV46" i="35"/>
  <c r="AW46" i="35"/>
  <c r="AY46" i="35"/>
  <c r="AZ46" i="35"/>
  <c r="BA46" i="35"/>
  <c r="BB46" i="35"/>
  <c r="BC46" i="35"/>
  <c r="BD46" i="35"/>
  <c r="BE46" i="35"/>
  <c r="BF46" i="35"/>
  <c r="BG46" i="35"/>
  <c r="BH46" i="35"/>
  <c r="BJ46" i="35"/>
  <c r="BK46" i="35"/>
  <c r="BL46" i="35"/>
  <c r="BM46" i="35"/>
  <c r="BN46" i="35"/>
  <c r="BO46" i="35"/>
  <c r="BP46" i="35"/>
  <c r="BQ46" i="35"/>
  <c r="BR46" i="35"/>
  <c r="BS46" i="35"/>
  <c r="BU46" i="35"/>
  <c r="BV46" i="35"/>
  <c r="BW46" i="35"/>
  <c r="BX46" i="35"/>
  <c r="BY46" i="35"/>
  <c r="BZ46" i="35"/>
  <c r="CA46" i="35"/>
  <c r="CB46" i="35"/>
  <c r="CC46" i="35"/>
  <c r="CD46" i="35"/>
  <c r="A47" i="35"/>
  <c r="B47" i="35"/>
  <c r="C47" i="35"/>
  <c r="D47" i="35"/>
  <c r="E47" i="35"/>
  <c r="F47" i="35"/>
  <c r="G47" i="35"/>
  <c r="H47" i="35"/>
  <c r="I47" i="35"/>
  <c r="K47" i="35"/>
  <c r="L47" i="35"/>
  <c r="M47" i="35"/>
  <c r="N47" i="35"/>
  <c r="O47" i="35"/>
  <c r="P47" i="35"/>
  <c r="R47" i="35"/>
  <c r="S47" i="35"/>
  <c r="T47" i="35"/>
  <c r="U47" i="35"/>
  <c r="V47" i="35"/>
  <c r="W47" i="35"/>
  <c r="Y47" i="35"/>
  <c r="Z47" i="35"/>
  <c r="AA47" i="35"/>
  <c r="AB47" i="35"/>
  <c r="AC47" i="35"/>
  <c r="AD47" i="35"/>
  <c r="AF47" i="35"/>
  <c r="AG47" i="35"/>
  <c r="AH47" i="35"/>
  <c r="AI47" i="35"/>
  <c r="AN47" i="35"/>
  <c r="AO47" i="35"/>
  <c r="AP47" i="35"/>
  <c r="AQ47" i="35"/>
  <c r="AR47" i="35"/>
  <c r="AS47" i="35"/>
  <c r="AT47" i="35"/>
  <c r="AU47" i="35"/>
  <c r="AV47" i="35"/>
  <c r="AW47" i="35"/>
  <c r="AY47" i="35"/>
  <c r="AZ47" i="35"/>
  <c r="BA47" i="35"/>
  <c r="BB47" i="35"/>
  <c r="BC47" i="35"/>
  <c r="BD47" i="35"/>
  <c r="BE47" i="35"/>
  <c r="BF47" i="35"/>
  <c r="BG47" i="35"/>
  <c r="BH47" i="35"/>
  <c r="BJ47" i="35"/>
  <c r="BK47" i="35"/>
  <c r="BL47" i="35"/>
  <c r="BM47" i="35"/>
  <c r="BN47" i="35"/>
  <c r="BO47" i="35"/>
  <c r="BP47" i="35"/>
  <c r="BQ47" i="35"/>
  <c r="BR47" i="35"/>
  <c r="BS47" i="35"/>
  <c r="BU47" i="35"/>
  <c r="BV47" i="35"/>
  <c r="BW47" i="35"/>
  <c r="BX47" i="35"/>
  <c r="BY47" i="35"/>
  <c r="BZ47" i="35"/>
  <c r="CA47" i="35"/>
  <c r="CB47" i="35"/>
  <c r="CC47" i="35"/>
  <c r="CD47" i="35"/>
  <c r="A48" i="35"/>
  <c r="B48" i="35"/>
  <c r="C48" i="35"/>
  <c r="D48" i="35"/>
  <c r="E48" i="35"/>
  <c r="F48" i="35"/>
  <c r="G48" i="35"/>
  <c r="H48" i="35"/>
  <c r="I48" i="35"/>
  <c r="K48" i="35"/>
  <c r="L48" i="35"/>
  <c r="M48" i="35"/>
  <c r="N48" i="35"/>
  <c r="O48" i="35"/>
  <c r="P48" i="35"/>
  <c r="R48" i="35"/>
  <c r="S48" i="35"/>
  <c r="T48" i="35"/>
  <c r="U48" i="35"/>
  <c r="V48" i="35"/>
  <c r="W48" i="35"/>
  <c r="Y48" i="35"/>
  <c r="Z48" i="35"/>
  <c r="AA48" i="35"/>
  <c r="AB48" i="35"/>
  <c r="AC48" i="35"/>
  <c r="AD48" i="35"/>
  <c r="AF48" i="35"/>
  <c r="AG48" i="35"/>
  <c r="AH48" i="35"/>
  <c r="AI48" i="35"/>
  <c r="AN48" i="35"/>
  <c r="AO48" i="35"/>
  <c r="AP48" i="35"/>
  <c r="AQ48" i="35"/>
  <c r="AR48" i="35"/>
  <c r="AS48" i="35"/>
  <c r="AT48" i="35"/>
  <c r="AU48" i="35"/>
  <c r="AV48" i="35"/>
  <c r="AW48" i="35"/>
  <c r="AY48" i="35"/>
  <c r="AZ48" i="35"/>
  <c r="BA48" i="35"/>
  <c r="BB48" i="35"/>
  <c r="BC48" i="35"/>
  <c r="BD48" i="35"/>
  <c r="BE48" i="35"/>
  <c r="BF48" i="35"/>
  <c r="BG48" i="35"/>
  <c r="BH48" i="35"/>
  <c r="BJ48" i="35"/>
  <c r="BK48" i="35"/>
  <c r="BL48" i="35"/>
  <c r="BM48" i="35"/>
  <c r="BN48" i="35"/>
  <c r="BO48" i="35"/>
  <c r="BP48" i="35"/>
  <c r="BQ48" i="35"/>
  <c r="BR48" i="35"/>
  <c r="BS48" i="35"/>
  <c r="BU48" i="35"/>
  <c r="BV48" i="35"/>
  <c r="BW48" i="35"/>
  <c r="BX48" i="35"/>
  <c r="BY48" i="35"/>
  <c r="BZ48" i="35"/>
  <c r="CA48" i="35"/>
  <c r="CB48" i="35"/>
  <c r="CC48" i="35"/>
  <c r="CD48" i="35"/>
  <c r="A49" i="35"/>
  <c r="B49" i="35"/>
  <c r="C49" i="35"/>
  <c r="D49" i="35"/>
  <c r="E49" i="35"/>
  <c r="F49" i="35"/>
  <c r="G49" i="35"/>
  <c r="H49" i="35"/>
  <c r="I49" i="35"/>
  <c r="K49" i="35"/>
  <c r="L49" i="35"/>
  <c r="M49" i="35"/>
  <c r="N49" i="35"/>
  <c r="O49" i="35"/>
  <c r="P49" i="35"/>
  <c r="R49" i="35"/>
  <c r="S49" i="35"/>
  <c r="T49" i="35"/>
  <c r="U49" i="35"/>
  <c r="V49" i="35"/>
  <c r="W49" i="35"/>
  <c r="Y49" i="35"/>
  <c r="Z49" i="35"/>
  <c r="AA49" i="35"/>
  <c r="AB49" i="35"/>
  <c r="AC49" i="35"/>
  <c r="AD49" i="35"/>
  <c r="AF49" i="35"/>
  <c r="AG49" i="35"/>
  <c r="AH49" i="35"/>
  <c r="AI49" i="35"/>
  <c r="AN49" i="35"/>
  <c r="AO49" i="35"/>
  <c r="AP49" i="35"/>
  <c r="AQ49" i="35"/>
  <c r="AR49" i="35"/>
  <c r="AS49" i="35"/>
  <c r="AT49" i="35"/>
  <c r="AU49" i="35"/>
  <c r="AV49" i="35"/>
  <c r="AW49" i="35"/>
  <c r="AY49" i="35"/>
  <c r="AZ49" i="35"/>
  <c r="BA49" i="35"/>
  <c r="BB49" i="35"/>
  <c r="BC49" i="35"/>
  <c r="BD49" i="35"/>
  <c r="BE49" i="35"/>
  <c r="BF49" i="35"/>
  <c r="BG49" i="35"/>
  <c r="BH49" i="35"/>
  <c r="BJ49" i="35"/>
  <c r="BK49" i="35"/>
  <c r="BL49" i="35"/>
  <c r="BM49" i="35"/>
  <c r="BN49" i="35"/>
  <c r="BO49" i="35"/>
  <c r="BP49" i="35"/>
  <c r="BQ49" i="35"/>
  <c r="BR49" i="35"/>
  <c r="BS49" i="35"/>
  <c r="BU49" i="35"/>
  <c r="BV49" i="35"/>
  <c r="BW49" i="35"/>
  <c r="BX49" i="35"/>
  <c r="BY49" i="35"/>
  <c r="BZ49" i="35"/>
  <c r="CA49" i="35"/>
  <c r="CB49" i="35"/>
  <c r="CC49" i="35"/>
  <c r="CD49" i="35"/>
  <c r="A50" i="35"/>
  <c r="B50" i="35"/>
  <c r="C50" i="35"/>
  <c r="D50" i="35"/>
  <c r="E50" i="35"/>
  <c r="F50" i="35"/>
  <c r="G50" i="35"/>
  <c r="H50" i="35"/>
  <c r="I50" i="35"/>
  <c r="K50" i="35"/>
  <c r="L50" i="35"/>
  <c r="M50" i="35"/>
  <c r="N50" i="35"/>
  <c r="O50" i="35"/>
  <c r="P50" i="35"/>
  <c r="R50" i="35"/>
  <c r="S50" i="35"/>
  <c r="T50" i="35"/>
  <c r="U50" i="35"/>
  <c r="V50" i="35"/>
  <c r="W50" i="35"/>
  <c r="Y50" i="35"/>
  <c r="Z50" i="35"/>
  <c r="AA50" i="35"/>
  <c r="AB50" i="35"/>
  <c r="AC50" i="35"/>
  <c r="AD50" i="35"/>
  <c r="AF50" i="35"/>
  <c r="AG50" i="35"/>
  <c r="AH50" i="35"/>
  <c r="AI50" i="35"/>
  <c r="AN50" i="35"/>
  <c r="AO50" i="35"/>
  <c r="AP50" i="35"/>
  <c r="AQ50" i="35"/>
  <c r="AR50" i="35"/>
  <c r="AS50" i="35"/>
  <c r="AT50" i="35"/>
  <c r="AU50" i="35"/>
  <c r="AV50" i="35"/>
  <c r="AW50" i="35"/>
  <c r="AY50" i="35"/>
  <c r="AZ50" i="35"/>
  <c r="BA50" i="35"/>
  <c r="BB50" i="35"/>
  <c r="BC50" i="35"/>
  <c r="BD50" i="35"/>
  <c r="BE50" i="35"/>
  <c r="BF50" i="35"/>
  <c r="BG50" i="35"/>
  <c r="BH50" i="35"/>
  <c r="BJ50" i="35"/>
  <c r="BK50" i="35"/>
  <c r="BL50" i="35"/>
  <c r="BM50" i="35"/>
  <c r="BN50" i="35"/>
  <c r="BO50" i="35"/>
  <c r="BP50" i="35"/>
  <c r="BQ50" i="35"/>
  <c r="BR50" i="35"/>
  <c r="BS50" i="35"/>
  <c r="BU50" i="35"/>
  <c r="BV50" i="35"/>
  <c r="BW50" i="35"/>
  <c r="BX50" i="35"/>
  <c r="BY50" i="35"/>
  <c r="BZ50" i="35"/>
  <c r="CA50" i="35"/>
  <c r="CB50" i="35"/>
  <c r="CC50" i="35"/>
  <c r="CD50" i="35"/>
  <c r="A51" i="35"/>
  <c r="B51" i="35"/>
  <c r="C51" i="35"/>
  <c r="D51" i="35"/>
  <c r="E51" i="35"/>
  <c r="F51" i="35"/>
  <c r="G51" i="35"/>
  <c r="H51" i="35"/>
  <c r="I51" i="35"/>
  <c r="K51" i="35"/>
  <c r="L51" i="35"/>
  <c r="M51" i="35"/>
  <c r="N51" i="35"/>
  <c r="O51" i="35"/>
  <c r="P51" i="35"/>
  <c r="R51" i="35"/>
  <c r="S51" i="35"/>
  <c r="T51" i="35"/>
  <c r="U51" i="35"/>
  <c r="V51" i="35"/>
  <c r="W51" i="35"/>
  <c r="Y51" i="35"/>
  <c r="Z51" i="35"/>
  <c r="AA51" i="35"/>
  <c r="AB51" i="35"/>
  <c r="AC51" i="35"/>
  <c r="AD51" i="35"/>
  <c r="AF51" i="35"/>
  <c r="AG51" i="35"/>
  <c r="AH51" i="35"/>
  <c r="AI51" i="35"/>
  <c r="AN51" i="35"/>
  <c r="AO51" i="35"/>
  <c r="AP51" i="35"/>
  <c r="AQ51" i="35"/>
  <c r="AR51" i="35"/>
  <c r="AS51" i="35"/>
  <c r="AT51" i="35"/>
  <c r="AU51" i="35"/>
  <c r="AV51" i="35"/>
  <c r="AW51" i="35"/>
  <c r="AY51" i="35"/>
  <c r="AZ51" i="35"/>
  <c r="BA51" i="35"/>
  <c r="BB51" i="35"/>
  <c r="BC51" i="35"/>
  <c r="BD51" i="35"/>
  <c r="BE51" i="35"/>
  <c r="BF51" i="35"/>
  <c r="BG51" i="35"/>
  <c r="BH51" i="35"/>
  <c r="BJ51" i="35"/>
  <c r="BK51" i="35"/>
  <c r="BL51" i="35"/>
  <c r="BM51" i="35"/>
  <c r="BN51" i="35"/>
  <c r="BO51" i="35"/>
  <c r="BP51" i="35"/>
  <c r="BQ51" i="35"/>
  <c r="BR51" i="35"/>
  <c r="BS51" i="35"/>
  <c r="BU51" i="35"/>
  <c r="BV51" i="35"/>
  <c r="BW51" i="35"/>
  <c r="BX51" i="35"/>
  <c r="BY51" i="35"/>
  <c r="BZ51" i="35"/>
  <c r="CA51" i="35"/>
  <c r="CB51" i="35"/>
  <c r="CC51" i="35"/>
  <c r="CD51" i="35"/>
  <c r="A52" i="35"/>
  <c r="B52" i="35"/>
  <c r="C52" i="35"/>
  <c r="D52" i="35"/>
  <c r="E52" i="35"/>
  <c r="F52" i="35"/>
  <c r="G52" i="35"/>
  <c r="H52" i="35"/>
  <c r="I52" i="35"/>
  <c r="K52" i="35"/>
  <c r="L52" i="35"/>
  <c r="M52" i="35"/>
  <c r="N52" i="35"/>
  <c r="O52" i="35"/>
  <c r="P52" i="35"/>
  <c r="R52" i="35"/>
  <c r="S52" i="35"/>
  <c r="T52" i="35"/>
  <c r="U52" i="35"/>
  <c r="V52" i="35"/>
  <c r="W52" i="35"/>
  <c r="Y52" i="35"/>
  <c r="Z52" i="35"/>
  <c r="AA52" i="35"/>
  <c r="AB52" i="35"/>
  <c r="AC52" i="35"/>
  <c r="AD52" i="35"/>
  <c r="AF52" i="35"/>
  <c r="AG52" i="35"/>
  <c r="AH52" i="35"/>
  <c r="AI52" i="35"/>
  <c r="AN52" i="35"/>
  <c r="AO52" i="35"/>
  <c r="AP52" i="35"/>
  <c r="AQ52" i="35"/>
  <c r="AR52" i="35"/>
  <c r="AS52" i="35"/>
  <c r="AT52" i="35"/>
  <c r="AU52" i="35"/>
  <c r="AV52" i="35"/>
  <c r="AW52" i="35"/>
  <c r="AY52" i="35"/>
  <c r="AZ52" i="35"/>
  <c r="BA52" i="35"/>
  <c r="BB52" i="35"/>
  <c r="BC52" i="35"/>
  <c r="BD52" i="35"/>
  <c r="BE52" i="35"/>
  <c r="BF52" i="35"/>
  <c r="BG52" i="35"/>
  <c r="BH52" i="35"/>
  <c r="BJ52" i="35"/>
  <c r="BK52" i="35"/>
  <c r="BL52" i="35"/>
  <c r="BM52" i="35"/>
  <c r="BN52" i="35"/>
  <c r="BO52" i="35"/>
  <c r="BP52" i="35"/>
  <c r="BQ52" i="35"/>
  <c r="BR52" i="35"/>
  <c r="BS52" i="35"/>
  <c r="BU52" i="35"/>
  <c r="BV52" i="35"/>
  <c r="BW52" i="35"/>
  <c r="BX52" i="35"/>
  <c r="BY52" i="35"/>
  <c r="BZ52" i="35"/>
  <c r="CA52" i="35"/>
  <c r="CB52" i="35"/>
  <c r="CC52" i="35"/>
  <c r="CD52" i="35"/>
  <c r="A53" i="35"/>
  <c r="B53" i="35"/>
  <c r="C53" i="35"/>
  <c r="D53" i="35"/>
  <c r="E53" i="35"/>
  <c r="F53" i="35"/>
  <c r="G53" i="35"/>
  <c r="H53" i="35"/>
  <c r="I53" i="35"/>
  <c r="K53" i="35"/>
  <c r="L53" i="35"/>
  <c r="M53" i="35"/>
  <c r="N53" i="35"/>
  <c r="O53" i="35"/>
  <c r="P53" i="35"/>
  <c r="R53" i="35"/>
  <c r="S53" i="35"/>
  <c r="T53" i="35"/>
  <c r="U53" i="35"/>
  <c r="V53" i="35"/>
  <c r="W53" i="35"/>
  <c r="Y53" i="35"/>
  <c r="Z53" i="35"/>
  <c r="AA53" i="35"/>
  <c r="AB53" i="35"/>
  <c r="AC53" i="35"/>
  <c r="AD53" i="35"/>
  <c r="AF53" i="35"/>
  <c r="AG53" i="35"/>
  <c r="AH53" i="35"/>
  <c r="AI53" i="35"/>
  <c r="AN53" i="35"/>
  <c r="AO53" i="35"/>
  <c r="AP53" i="35"/>
  <c r="AQ53" i="35"/>
  <c r="AR53" i="35"/>
  <c r="AS53" i="35"/>
  <c r="AT53" i="35"/>
  <c r="AU53" i="35"/>
  <c r="AV53" i="35"/>
  <c r="AW53" i="35"/>
  <c r="AY53" i="35"/>
  <c r="AZ53" i="35"/>
  <c r="BA53" i="35"/>
  <c r="BB53" i="35"/>
  <c r="BC53" i="35"/>
  <c r="BD53" i="35"/>
  <c r="BE53" i="35"/>
  <c r="BF53" i="35"/>
  <c r="BG53" i="35"/>
  <c r="BH53" i="35"/>
  <c r="BJ53" i="35"/>
  <c r="BK53" i="35"/>
  <c r="BL53" i="35"/>
  <c r="BM53" i="35"/>
  <c r="BN53" i="35"/>
  <c r="BO53" i="35"/>
  <c r="BP53" i="35"/>
  <c r="BQ53" i="35"/>
  <c r="BR53" i="35"/>
  <c r="BS53" i="35"/>
  <c r="BU53" i="35"/>
  <c r="BV53" i="35"/>
  <c r="BW53" i="35"/>
  <c r="BX53" i="35"/>
  <c r="BY53" i="35"/>
  <c r="BZ53" i="35"/>
  <c r="CA53" i="35"/>
  <c r="CB53" i="35"/>
  <c r="CC53" i="35"/>
  <c r="CD53" i="35"/>
  <c r="A54" i="35"/>
  <c r="B54" i="35"/>
  <c r="C54" i="35"/>
  <c r="D54" i="35"/>
  <c r="E54" i="35"/>
  <c r="F54" i="35"/>
  <c r="G54" i="35"/>
  <c r="H54" i="35"/>
  <c r="I54" i="35"/>
  <c r="K54" i="35"/>
  <c r="L54" i="35"/>
  <c r="M54" i="35"/>
  <c r="N54" i="35"/>
  <c r="O54" i="35"/>
  <c r="P54" i="35"/>
  <c r="R54" i="35"/>
  <c r="S54" i="35"/>
  <c r="T54" i="35"/>
  <c r="U54" i="35"/>
  <c r="V54" i="35"/>
  <c r="W54" i="35"/>
  <c r="Y54" i="35"/>
  <c r="Z54" i="35"/>
  <c r="AA54" i="35"/>
  <c r="AB54" i="35"/>
  <c r="AC54" i="35"/>
  <c r="AD54" i="35"/>
  <c r="AF54" i="35"/>
  <c r="AG54" i="35"/>
  <c r="AH54" i="35"/>
  <c r="AI54" i="35"/>
  <c r="AN54" i="35"/>
  <c r="AO54" i="35"/>
  <c r="AP54" i="35"/>
  <c r="AQ54" i="35"/>
  <c r="AR54" i="35"/>
  <c r="AS54" i="35"/>
  <c r="AT54" i="35"/>
  <c r="AU54" i="35"/>
  <c r="AV54" i="35"/>
  <c r="AW54" i="35"/>
  <c r="AY54" i="35"/>
  <c r="AZ54" i="35"/>
  <c r="BA54" i="35"/>
  <c r="BB54" i="35"/>
  <c r="BC54" i="35"/>
  <c r="BD54" i="35"/>
  <c r="BE54" i="35"/>
  <c r="BF54" i="35"/>
  <c r="BG54" i="35"/>
  <c r="BH54" i="35"/>
  <c r="BJ54" i="35"/>
  <c r="BK54" i="35"/>
  <c r="BL54" i="35"/>
  <c r="BM54" i="35"/>
  <c r="BN54" i="35"/>
  <c r="BO54" i="35"/>
  <c r="BP54" i="35"/>
  <c r="BQ54" i="35"/>
  <c r="BR54" i="35"/>
  <c r="BS54" i="35"/>
  <c r="BU54" i="35"/>
  <c r="BV54" i="35"/>
  <c r="BW54" i="35"/>
  <c r="BX54" i="35"/>
  <c r="BY54" i="35"/>
  <c r="BZ54" i="35"/>
  <c r="CA54" i="35"/>
  <c r="CB54" i="35"/>
  <c r="CC54" i="35"/>
  <c r="CD54" i="35"/>
  <c r="A55" i="35"/>
  <c r="B55" i="35"/>
  <c r="C55" i="35"/>
  <c r="D55" i="35"/>
  <c r="E55" i="35"/>
  <c r="F55" i="35"/>
  <c r="G55" i="35"/>
  <c r="H55" i="35"/>
  <c r="I55" i="35"/>
  <c r="K55" i="35"/>
  <c r="L55" i="35"/>
  <c r="M55" i="35"/>
  <c r="N55" i="35"/>
  <c r="O55" i="35"/>
  <c r="P55" i="35"/>
  <c r="R55" i="35"/>
  <c r="S55" i="35"/>
  <c r="T55" i="35"/>
  <c r="U55" i="35"/>
  <c r="V55" i="35"/>
  <c r="W55" i="35"/>
  <c r="Y55" i="35"/>
  <c r="Z55" i="35"/>
  <c r="AA55" i="35"/>
  <c r="AB55" i="35"/>
  <c r="AC55" i="35"/>
  <c r="AD55" i="35"/>
  <c r="AF55" i="35"/>
  <c r="AG55" i="35"/>
  <c r="AH55" i="35"/>
  <c r="AI55" i="35"/>
  <c r="AN55" i="35"/>
  <c r="AO55" i="35"/>
  <c r="AP55" i="35"/>
  <c r="AQ55" i="35"/>
  <c r="AR55" i="35"/>
  <c r="AS55" i="35"/>
  <c r="AT55" i="35"/>
  <c r="AU55" i="35"/>
  <c r="AV55" i="35"/>
  <c r="AW55" i="35"/>
  <c r="AY55" i="35"/>
  <c r="AZ55" i="35"/>
  <c r="BA55" i="35"/>
  <c r="BB55" i="35"/>
  <c r="BC55" i="35"/>
  <c r="BD55" i="35"/>
  <c r="BE55" i="35"/>
  <c r="BF55" i="35"/>
  <c r="BG55" i="35"/>
  <c r="BH55" i="35"/>
  <c r="BJ55" i="35"/>
  <c r="BK55" i="35"/>
  <c r="BL55" i="35"/>
  <c r="BM55" i="35"/>
  <c r="BN55" i="35"/>
  <c r="BO55" i="35"/>
  <c r="BP55" i="35"/>
  <c r="BQ55" i="35"/>
  <c r="BR55" i="35"/>
  <c r="BS55" i="35"/>
  <c r="BU55" i="35"/>
  <c r="BV55" i="35"/>
  <c r="BW55" i="35"/>
  <c r="BX55" i="35"/>
  <c r="BY55" i="35"/>
  <c r="BZ55" i="35"/>
  <c r="CA55" i="35"/>
  <c r="CB55" i="35"/>
  <c r="CC55" i="35"/>
  <c r="CD55" i="35"/>
  <c r="A56" i="35"/>
  <c r="B56" i="35"/>
  <c r="C56" i="35"/>
  <c r="D56" i="35"/>
  <c r="E56" i="35"/>
  <c r="F56" i="35"/>
  <c r="G56" i="35"/>
  <c r="H56" i="35"/>
  <c r="I56" i="35"/>
  <c r="K56" i="35"/>
  <c r="L56" i="35"/>
  <c r="M56" i="35"/>
  <c r="N56" i="35"/>
  <c r="O56" i="35"/>
  <c r="P56" i="35"/>
  <c r="R56" i="35"/>
  <c r="S56" i="35"/>
  <c r="T56" i="35"/>
  <c r="U56" i="35"/>
  <c r="V56" i="35"/>
  <c r="W56" i="35"/>
  <c r="Y56" i="35"/>
  <c r="Z56" i="35"/>
  <c r="AA56" i="35"/>
  <c r="AB56" i="35"/>
  <c r="AC56" i="35"/>
  <c r="AD56" i="35"/>
  <c r="AF56" i="35"/>
  <c r="AG56" i="35"/>
  <c r="AH56" i="35"/>
  <c r="AI56" i="35"/>
  <c r="AN56" i="35"/>
  <c r="AO56" i="35"/>
  <c r="AP56" i="35"/>
  <c r="AQ56" i="35"/>
  <c r="AR56" i="35"/>
  <c r="AS56" i="35"/>
  <c r="AT56" i="35"/>
  <c r="AU56" i="35"/>
  <c r="AV56" i="35"/>
  <c r="AW56" i="35"/>
  <c r="AY56" i="35"/>
  <c r="AZ56" i="35"/>
  <c r="BA56" i="35"/>
  <c r="BB56" i="35"/>
  <c r="BC56" i="35"/>
  <c r="BD56" i="35"/>
  <c r="BE56" i="35"/>
  <c r="BF56" i="35"/>
  <c r="BG56" i="35"/>
  <c r="BH56" i="35"/>
  <c r="BJ56" i="35"/>
  <c r="BK56" i="35"/>
  <c r="BL56" i="35"/>
  <c r="BM56" i="35"/>
  <c r="BN56" i="35"/>
  <c r="BO56" i="35"/>
  <c r="BP56" i="35"/>
  <c r="BQ56" i="35"/>
  <c r="BR56" i="35"/>
  <c r="BS56" i="35"/>
  <c r="BU56" i="35"/>
  <c r="BV56" i="35"/>
  <c r="BW56" i="35"/>
  <c r="BX56" i="35"/>
  <c r="BY56" i="35"/>
  <c r="BZ56" i="35"/>
  <c r="CA56" i="35"/>
  <c r="CB56" i="35"/>
  <c r="CC56" i="35"/>
  <c r="CD56" i="35"/>
  <c r="A57" i="35"/>
  <c r="B57" i="35"/>
  <c r="C57" i="35"/>
  <c r="D57" i="35"/>
  <c r="E57" i="35"/>
  <c r="F57" i="35"/>
  <c r="G57" i="35"/>
  <c r="H57" i="35"/>
  <c r="I57" i="35"/>
  <c r="K57" i="35"/>
  <c r="L57" i="35"/>
  <c r="M57" i="35"/>
  <c r="N57" i="35"/>
  <c r="O57" i="35"/>
  <c r="P57" i="35"/>
  <c r="R57" i="35"/>
  <c r="S57" i="35"/>
  <c r="T57" i="35"/>
  <c r="U57" i="35"/>
  <c r="V57" i="35"/>
  <c r="W57" i="35"/>
  <c r="Y57" i="35"/>
  <c r="Z57" i="35"/>
  <c r="AA57" i="35"/>
  <c r="AB57" i="35"/>
  <c r="AC57" i="35"/>
  <c r="AD57" i="35"/>
  <c r="AF57" i="35"/>
  <c r="AG57" i="35"/>
  <c r="AH57" i="35"/>
  <c r="AI57" i="35"/>
  <c r="AN57" i="35"/>
  <c r="AO57" i="35"/>
  <c r="AP57" i="35"/>
  <c r="AQ57" i="35"/>
  <c r="AR57" i="35"/>
  <c r="AS57" i="35"/>
  <c r="AT57" i="35"/>
  <c r="AU57" i="35"/>
  <c r="AV57" i="35"/>
  <c r="AW57" i="35"/>
  <c r="AY57" i="35"/>
  <c r="AZ57" i="35"/>
  <c r="BA57" i="35"/>
  <c r="BB57" i="35"/>
  <c r="BC57" i="35"/>
  <c r="BD57" i="35"/>
  <c r="BE57" i="35"/>
  <c r="BF57" i="35"/>
  <c r="BG57" i="35"/>
  <c r="BH57" i="35"/>
  <c r="BJ57" i="35"/>
  <c r="BK57" i="35"/>
  <c r="BL57" i="35"/>
  <c r="BM57" i="35"/>
  <c r="BN57" i="35"/>
  <c r="BO57" i="35"/>
  <c r="BP57" i="35"/>
  <c r="BQ57" i="35"/>
  <c r="BR57" i="35"/>
  <c r="BS57" i="35"/>
  <c r="BU57" i="35"/>
  <c r="BV57" i="35"/>
  <c r="BW57" i="35"/>
  <c r="BX57" i="35"/>
  <c r="BY57" i="35"/>
  <c r="BZ57" i="35"/>
  <c r="CA57" i="35"/>
  <c r="CB57" i="35"/>
  <c r="CC57" i="35"/>
  <c r="CD57" i="35"/>
  <c r="A58" i="35"/>
  <c r="B58" i="35"/>
  <c r="C58" i="35"/>
  <c r="D58" i="35"/>
  <c r="E58" i="35"/>
  <c r="F58" i="35"/>
  <c r="G58" i="35"/>
  <c r="H58" i="35"/>
  <c r="I58" i="35"/>
  <c r="K58" i="35"/>
  <c r="L58" i="35"/>
  <c r="M58" i="35"/>
  <c r="N58" i="35"/>
  <c r="O58" i="35"/>
  <c r="P58" i="35"/>
  <c r="R58" i="35"/>
  <c r="S58" i="35"/>
  <c r="T58" i="35"/>
  <c r="U58" i="35"/>
  <c r="V58" i="35"/>
  <c r="W58" i="35"/>
  <c r="Y58" i="35"/>
  <c r="Z58" i="35"/>
  <c r="AA58" i="35"/>
  <c r="AB58" i="35"/>
  <c r="AC58" i="35"/>
  <c r="AD58" i="35"/>
  <c r="AF58" i="35"/>
  <c r="AG58" i="35"/>
  <c r="AH58" i="35"/>
  <c r="AI58" i="35"/>
  <c r="AN58" i="35"/>
  <c r="AO58" i="35"/>
  <c r="AP58" i="35"/>
  <c r="AQ58" i="35"/>
  <c r="AR58" i="35"/>
  <c r="AS58" i="35"/>
  <c r="AT58" i="35"/>
  <c r="AU58" i="35"/>
  <c r="AV58" i="35"/>
  <c r="AW58" i="35"/>
  <c r="AY58" i="35"/>
  <c r="AZ58" i="35"/>
  <c r="BA58" i="35"/>
  <c r="BB58" i="35"/>
  <c r="BC58" i="35"/>
  <c r="BD58" i="35"/>
  <c r="BE58" i="35"/>
  <c r="BF58" i="35"/>
  <c r="BG58" i="35"/>
  <c r="BH58" i="35"/>
  <c r="BJ58" i="35"/>
  <c r="BK58" i="35"/>
  <c r="BL58" i="35"/>
  <c r="BM58" i="35"/>
  <c r="BN58" i="35"/>
  <c r="BO58" i="35"/>
  <c r="BP58" i="35"/>
  <c r="BQ58" i="35"/>
  <c r="BR58" i="35"/>
  <c r="BS58" i="35"/>
  <c r="BU58" i="35"/>
  <c r="BV58" i="35"/>
  <c r="BW58" i="35"/>
  <c r="BX58" i="35"/>
  <c r="BY58" i="35"/>
  <c r="BZ58" i="35"/>
  <c r="CA58" i="35"/>
  <c r="CB58" i="35"/>
  <c r="CC58" i="35"/>
  <c r="CD58" i="35"/>
  <c r="A59" i="35"/>
  <c r="B59" i="35"/>
  <c r="C59" i="35"/>
  <c r="D59" i="35"/>
  <c r="E59" i="35"/>
  <c r="F59" i="35"/>
  <c r="G59" i="35"/>
  <c r="H59" i="35"/>
  <c r="I59" i="35"/>
  <c r="K59" i="35"/>
  <c r="L59" i="35"/>
  <c r="M59" i="35"/>
  <c r="N59" i="35"/>
  <c r="O59" i="35"/>
  <c r="P59" i="35"/>
  <c r="R59" i="35"/>
  <c r="S59" i="35"/>
  <c r="T59" i="35"/>
  <c r="U59" i="35"/>
  <c r="V59" i="35"/>
  <c r="W59" i="35"/>
  <c r="Y59" i="35"/>
  <c r="Z59" i="35"/>
  <c r="AA59" i="35"/>
  <c r="AB59" i="35"/>
  <c r="AC59" i="35"/>
  <c r="AD59" i="35"/>
  <c r="AF59" i="35"/>
  <c r="AG59" i="35"/>
  <c r="AH59" i="35"/>
  <c r="AI59" i="35"/>
  <c r="AN59" i="35"/>
  <c r="AO59" i="35"/>
  <c r="AP59" i="35"/>
  <c r="AQ59" i="35"/>
  <c r="AR59" i="35"/>
  <c r="AS59" i="35"/>
  <c r="AT59" i="35"/>
  <c r="AU59" i="35"/>
  <c r="AV59" i="35"/>
  <c r="AW59" i="35"/>
  <c r="AY59" i="35"/>
  <c r="AZ59" i="35"/>
  <c r="BA59" i="35"/>
  <c r="BB59" i="35"/>
  <c r="BC59" i="35"/>
  <c r="BD59" i="35"/>
  <c r="BE59" i="35"/>
  <c r="BF59" i="35"/>
  <c r="BG59" i="35"/>
  <c r="BH59" i="35"/>
  <c r="BJ59" i="35"/>
  <c r="BK59" i="35"/>
  <c r="BL59" i="35"/>
  <c r="BM59" i="35"/>
  <c r="BN59" i="35"/>
  <c r="BO59" i="35"/>
  <c r="BP59" i="35"/>
  <c r="BQ59" i="35"/>
  <c r="BR59" i="35"/>
  <c r="BS59" i="35"/>
  <c r="BU59" i="35"/>
  <c r="BV59" i="35"/>
  <c r="BW59" i="35"/>
  <c r="BX59" i="35"/>
  <c r="BY59" i="35"/>
  <c r="BZ59" i="35"/>
  <c r="CA59" i="35"/>
  <c r="CB59" i="35"/>
  <c r="CC59" i="35"/>
  <c r="CD59" i="35"/>
  <c r="A60" i="35"/>
  <c r="B60" i="35"/>
  <c r="C60" i="35"/>
  <c r="D60" i="35"/>
  <c r="E60" i="35"/>
  <c r="F60" i="35"/>
  <c r="G60" i="35"/>
  <c r="H60" i="35"/>
  <c r="I60" i="35"/>
  <c r="K60" i="35"/>
  <c r="L60" i="35"/>
  <c r="M60" i="35"/>
  <c r="N60" i="35"/>
  <c r="O60" i="35"/>
  <c r="P60" i="35"/>
  <c r="R60" i="35"/>
  <c r="S60" i="35"/>
  <c r="T60" i="35"/>
  <c r="U60" i="35"/>
  <c r="V60" i="35"/>
  <c r="W60" i="35"/>
  <c r="Y60" i="35"/>
  <c r="Z60" i="35"/>
  <c r="AA60" i="35"/>
  <c r="AB60" i="35"/>
  <c r="AC60" i="35"/>
  <c r="AD60" i="35"/>
  <c r="AF60" i="35"/>
  <c r="AG60" i="35"/>
  <c r="AH60" i="35"/>
  <c r="AI60" i="35"/>
  <c r="AN60" i="35"/>
  <c r="AO60" i="35"/>
  <c r="AP60" i="35"/>
  <c r="AQ60" i="35"/>
  <c r="AR60" i="35"/>
  <c r="AS60" i="35"/>
  <c r="AT60" i="35"/>
  <c r="AU60" i="35"/>
  <c r="AV60" i="35"/>
  <c r="AW60" i="35"/>
  <c r="AY60" i="35"/>
  <c r="AZ60" i="35"/>
  <c r="BA60" i="35"/>
  <c r="BB60" i="35"/>
  <c r="BC60" i="35"/>
  <c r="BD60" i="35"/>
  <c r="BE60" i="35"/>
  <c r="BF60" i="35"/>
  <c r="BG60" i="35"/>
  <c r="BH60" i="35"/>
  <c r="BJ60" i="35"/>
  <c r="BK60" i="35"/>
  <c r="BL60" i="35"/>
  <c r="BM60" i="35"/>
  <c r="BN60" i="35"/>
  <c r="BO60" i="35"/>
  <c r="BP60" i="35"/>
  <c r="BQ60" i="35"/>
  <c r="BR60" i="35"/>
  <c r="BS60" i="35"/>
  <c r="BU60" i="35"/>
  <c r="BV60" i="35"/>
  <c r="BW60" i="35"/>
  <c r="BX60" i="35"/>
  <c r="BY60" i="35"/>
  <c r="BZ60" i="35"/>
  <c r="CA60" i="35"/>
  <c r="CB60" i="35"/>
  <c r="CC60" i="35"/>
  <c r="CD60" i="35"/>
  <c r="A61" i="35"/>
  <c r="B61" i="35"/>
  <c r="C61" i="35"/>
  <c r="D61" i="35"/>
  <c r="E61" i="35"/>
  <c r="F61" i="35"/>
  <c r="G61" i="35"/>
  <c r="H61" i="35"/>
  <c r="I61" i="35"/>
  <c r="K61" i="35"/>
  <c r="L61" i="35"/>
  <c r="M61" i="35"/>
  <c r="N61" i="35"/>
  <c r="O61" i="35"/>
  <c r="P61" i="35"/>
  <c r="R61" i="35"/>
  <c r="S61" i="35"/>
  <c r="T61" i="35"/>
  <c r="U61" i="35"/>
  <c r="V61" i="35"/>
  <c r="W61" i="35"/>
  <c r="Y61" i="35"/>
  <c r="Z61" i="35"/>
  <c r="AA61" i="35"/>
  <c r="AB61" i="35"/>
  <c r="AC61" i="35"/>
  <c r="AD61" i="35"/>
  <c r="AF61" i="35"/>
  <c r="AG61" i="35"/>
  <c r="AH61" i="35"/>
  <c r="AI61" i="35"/>
  <c r="AN61" i="35"/>
  <c r="AO61" i="35"/>
  <c r="AP61" i="35"/>
  <c r="AQ61" i="35"/>
  <c r="AR61" i="35"/>
  <c r="AS61" i="35"/>
  <c r="AT61" i="35"/>
  <c r="AU61" i="35"/>
  <c r="AV61" i="35"/>
  <c r="AW61" i="35"/>
  <c r="AY61" i="35"/>
  <c r="AZ61" i="35"/>
  <c r="BA61" i="35"/>
  <c r="BB61" i="35"/>
  <c r="BC61" i="35"/>
  <c r="BD61" i="35"/>
  <c r="BE61" i="35"/>
  <c r="BF61" i="35"/>
  <c r="BG61" i="35"/>
  <c r="BH61" i="35"/>
  <c r="BJ61" i="35"/>
  <c r="BK61" i="35"/>
  <c r="BL61" i="35"/>
  <c r="BM61" i="35"/>
  <c r="BN61" i="35"/>
  <c r="BO61" i="35"/>
  <c r="BP61" i="35"/>
  <c r="BQ61" i="35"/>
  <c r="BR61" i="35"/>
  <c r="BS61" i="35"/>
  <c r="BU61" i="35"/>
  <c r="BV61" i="35"/>
  <c r="BW61" i="35"/>
  <c r="BX61" i="35"/>
  <c r="BY61" i="35"/>
  <c r="BZ61" i="35"/>
  <c r="CA61" i="35"/>
  <c r="CB61" i="35"/>
  <c r="CC61" i="35"/>
  <c r="CD61" i="35"/>
  <c r="A62" i="35"/>
  <c r="B62" i="35"/>
  <c r="C62" i="35"/>
  <c r="D62" i="35"/>
  <c r="E62" i="35"/>
  <c r="F62" i="35"/>
  <c r="G62" i="35"/>
  <c r="H62" i="35"/>
  <c r="I62" i="35"/>
  <c r="K62" i="35"/>
  <c r="L62" i="35"/>
  <c r="M62" i="35"/>
  <c r="N62" i="35"/>
  <c r="O62" i="35"/>
  <c r="P62" i="35"/>
  <c r="R62" i="35"/>
  <c r="S62" i="35"/>
  <c r="T62" i="35"/>
  <c r="U62" i="35"/>
  <c r="V62" i="35"/>
  <c r="W62" i="35"/>
  <c r="Y62" i="35"/>
  <c r="Z62" i="35"/>
  <c r="AA62" i="35"/>
  <c r="AB62" i="35"/>
  <c r="AC62" i="35"/>
  <c r="AD62" i="35"/>
  <c r="AF62" i="35"/>
  <c r="AG62" i="35"/>
  <c r="AH62" i="35"/>
  <c r="AI62" i="35"/>
  <c r="AN62" i="35"/>
  <c r="AO62" i="35"/>
  <c r="AP62" i="35"/>
  <c r="AQ62" i="35"/>
  <c r="AR62" i="35"/>
  <c r="AS62" i="35"/>
  <c r="AT62" i="35"/>
  <c r="AU62" i="35"/>
  <c r="AV62" i="35"/>
  <c r="AW62" i="35"/>
  <c r="AY62" i="35"/>
  <c r="AZ62" i="35"/>
  <c r="BA62" i="35"/>
  <c r="BB62" i="35"/>
  <c r="BC62" i="35"/>
  <c r="BD62" i="35"/>
  <c r="BE62" i="35"/>
  <c r="BF62" i="35"/>
  <c r="BG62" i="35"/>
  <c r="BH62" i="35"/>
  <c r="BJ62" i="35"/>
  <c r="BK62" i="35"/>
  <c r="BL62" i="35"/>
  <c r="BM62" i="35"/>
  <c r="BN62" i="35"/>
  <c r="BO62" i="35"/>
  <c r="BP62" i="35"/>
  <c r="BQ62" i="35"/>
  <c r="BR62" i="35"/>
  <c r="BS62" i="35"/>
  <c r="BU62" i="35"/>
  <c r="BV62" i="35"/>
  <c r="BW62" i="35"/>
  <c r="BX62" i="35"/>
  <c r="BY62" i="35"/>
  <c r="BZ62" i="35"/>
  <c r="CA62" i="35"/>
  <c r="CB62" i="35"/>
  <c r="CC62" i="35"/>
  <c r="CD62" i="35"/>
  <c r="A63" i="35"/>
  <c r="B63" i="35"/>
  <c r="C63" i="35"/>
  <c r="D63" i="35"/>
  <c r="E63" i="35"/>
  <c r="F63" i="35"/>
  <c r="G63" i="35"/>
  <c r="H63" i="35"/>
  <c r="I63" i="35"/>
  <c r="K63" i="35"/>
  <c r="L63" i="35"/>
  <c r="M63" i="35"/>
  <c r="N63" i="35"/>
  <c r="O63" i="35"/>
  <c r="P63" i="35"/>
  <c r="R63" i="35"/>
  <c r="S63" i="35"/>
  <c r="T63" i="35"/>
  <c r="U63" i="35"/>
  <c r="V63" i="35"/>
  <c r="W63" i="35"/>
  <c r="Y63" i="35"/>
  <c r="Z63" i="35"/>
  <c r="AA63" i="35"/>
  <c r="AB63" i="35"/>
  <c r="AC63" i="35"/>
  <c r="AD63" i="35"/>
  <c r="AF63" i="35"/>
  <c r="AG63" i="35"/>
  <c r="AH63" i="35"/>
  <c r="AI63" i="35"/>
  <c r="AN63" i="35"/>
  <c r="AO63" i="35"/>
  <c r="AP63" i="35"/>
  <c r="AQ63" i="35"/>
  <c r="AR63" i="35"/>
  <c r="AS63" i="35"/>
  <c r="AT63" i="35"/>
  <c r="AU63" i="35"/>
  <c r="AV63" i="35"/>
  <c r="AW63" i="35"/>
  <c r="AY63" i="35"/>
  <c r="AZ63" i="35"/>
  <c r="BA63" i="35"/>
  <c r="BB63" i="35"/>
  <c r="BC63" i="35"/>
  <c r="BD63" i="35"/>
  <c r="BE63" i="35"/>
  <c r="BF63" i="35"/>
  <c r="BG63" i="35"/>
  <c r="BH63" i="35"/>
  <c r="BJ63" i="35"/>
  <c r="BK63" i="35"/>
  <c r="BL63" i="35"/>
  <c r="BM63" i="35"/>
  <c r="BN63" i="35"/>
  <c r="BO63" i="35"/>
  <c r="BP63" i="35"/>
  <c r="BQ63" i="35"/>
  <c r="BR63" i="35"/>
  <c r="BS63" i="35"/>
  <c r="BU63" i="35"/>
  <c r="BV63" i="35"/>
  <c r="BW63" i="35"/>
  <c r="BX63" i="35"/>
  <c r="BY63" i="35"/>
  <c r="BZ63" i="35"/>
  <c r="CA63" i="35"/>
  <c r="CB63" i="35"/>
  <c r="CC63" i="35"/>
  <c r="CD63" i="35"/>
  <c r="A64" i="35"/>
  <c r="B64" i="35"/>
  <c r="C64" i="35"/>
  <c r="D64" i="35"/>
  <c r="E64" i="35"/>
  <c r="F64" i="35"/>
  <c r="G64" i="35"/>
  <c r="H64" i="35"/>
  <c r="I64" i="35"/>
  <c r="K64" i="35"/>
  <c r="L64" i="35"/>
  <c r="M64" i="35"/>
  <c r="N64" i="35"/>
  <c r="O64" i="35"/>
  <c r="P64" i="35"/>
  <c r="R64" i="35"/>
  <c r="S64" i="35"/>
  <c r="T64" i="35"/>
  <c r="U64" i="35"/>
  <c r="V64" i="35"/>
  <c r="W64" i="35"/>
  <c r="Y64" i="35"/>
  <c r="Z64" i="35"/>
  <c r="AA64" i="35"/>
  <c r="AB64" i="35"/>
  <c r="AC64" i="35"/>
  <c r="AD64" i="35"/>
  <c r="AF64" i="35"/>
  <c r="AG64" i="35"/>
  <c r="AH64" i="35"/>
  <c r="AI64" i="35"/>
  <c r="AN64" i="35"/>
  <c r="AO64" i="35"/>
  <c r="AP64" i="35"/>
  <c r="AQ64" i="35"/>
  <c r="AR64" i="35"/>
  <c r="AS64" i="35"/>
  <c r="AT64" i="35"/>
  <c r="AU64" i="35"/>
  <c r="AV64" i="35"/>
  <c r="AW64" i="35"/>
  <c r="AY64" i="35"/>
  <c r="AZ64" i="35"/>
  <c r="BA64" i="35"/>
  <c r="BB64" i="35"/>
  <c r="BC64" i="35"/>
  <c r="BD64" i="35"/>
  <c r="BE64" i="35"/>
  <c r="BF64" i="35"/>
  <c r="BG64" i="35"/>
  <c r="BH64" i="35"/>
  <c r="BJ64" i="35"/>
  <c r="BK64" i="35"/>
  <c r="BL64" i="35"/>
  <c r="BM64" i="35"/>
  <c r="BN64" i="35"/>
  <c r="BO64" i="35"/>
  <c r="BP64" i="35"/>
  <c r="BQ64" i="35"/>
  <c r="BR64" i="35"/>
  <c r="BS64" i="35"/>
  <c r="BU64" i="35"/>
  <c r="BV64" i="35"/>
  <c r="BW64" i="35"/>
  <c r="BX64" i="35"/>
  <c r="BY64" i="35"/>
  <c r="BZ64" i="35"/>
  <c r="CA64" i="35"/>
  <c r="CB64" i="35"/>
  <c r="CC64" i="35"/>
  <c r="CD64" i="35"/>
  <c r="A65" i="35"/>
  <c r="B65" i="35"/>
  <c r="C65" i="35"/>
  <c r="D65" i="35"/>
  <c r="E65" i="35"/>
  <c r="F65" i="35"/>
  <c r="G65" i="35"/>
  <c r="H65" i="35"/>
  <c r="I65" i="35"/>
  <c r="K65" i="35"/>
  <c r="L65" i="35"/>
  <c r="M65" i="35"/>
  <c r="N65" i="35"/>
  <c r="O65" i="35"/>
  <c r="P65" i="35"/>
  <c r="R65" i="35"/>
  <c r="S65" i="35"/>
  <c r="T65" i="35"/>
  <c r="U65" i="35"/>
  <c r="V65" i="35"/>
  <c r="W65" i="35"/>
  <c r="Y65" i="35"/>
  <c r="Z65" i="35"/>
  <c r="AA65" i="35"/>
  <c r="AB65" i="35"/>
  <c r="AC65" i="35"/>
  <c r="AD65" i="35"/>
  <c r="AF65" i="35"/>
  <c r="AG65" i="35"/>
  <c r="AH65" i="35"/>
  <c r="AI65" i="35"/>
  <c r="AN65" i="35"/>
  <c r="AO65" i="35"/>
  <c r="AP65" i="35"/>
  <c r="AQ65" i="35"/>
  <c r="AR65" i="35"/>
  <c r="AS65" i="35"/>
  <c r="AT65" i="35"/>
  <c r="AU65" i="35"/>
  <c r="AV65" i="35"/>
  <c r="AW65" i="35"/>
  <c r="AY65" i="35"/>
  <c r="AZ65" i="35"/>
  <c r="BA65" i="35"/>
  <c r="BB65" i="35"/>
  <c r="BC65" i="35"/>
  <c r="BD65" i="35"/>
  <c r="BE65" i="35"/>
  <c r="BF65" i="35"/>
  <c r="BG65" i="35"/>
  <c r="BH65" i="35"/>
  <c r="BJ65" i="35"/>
  <c r="BK65" i="35"/>
  <c r="BL65" i="35"/>
  <c r="BM65" i="35"/>
  <c r="BN65" i="35"/>
  <c r="BO65" i="35"/>
  <c r="BP65" i="35"/>
  <c r="BQ65" i="35"/>
  <c r="BR65" i="35"/>
  <c r="BS65" i="35"/>
  <c r="BU65" i="35"/>
  <c r="BV65" i="35"/>
  <c r="BW65" i="35"/>
  <c r="BX65" i="35"/>
  <c r="BY65" i="35"/>
  <c r="BZ65" i="35"/>
  <c r="CA65" i="35"/>
  <c r="CB65" i="35"/>
  <c r="CC65" i="35"/>
  <c r="CD65" i="35"/>
  <c r="A66" i="35"/>
  <c r="B66" i="35"/>
  <c r="C66" i="35"/>
  <c r="D66" i="35"/>
  <c r="E66" i="35"/>
  <c r="F66" i="35"/>
  <c r="G66" i="35"/>
  <c r="H66" i="35"/>
  <c r="I66" i="35"/>
  <c r="K66" i="35"/>
  <c r="L66" i="35"/>
  <c r="M66" i="35"/>
  <c r="N66" i="35"/>
  <c r="O66" i="35"/>
  <c r="P66" i="35"/>
  <c r="R66" i="35"/>
  <c r="S66" i="35"/>
  <c r="T66" i="35"/>
  <c r="U66" i="35"/>
  <c r="V66" i="35"/>
  <c r="W66" i="35"/>
  <c r="Y66" i="35"/>
  <c r="Z66" i="35"/>
  <c r="AA66" i="35"/>
  <c r="AB66" i="35"/>
  <c r="AC66" i="35"/>
  <c r="AD66" i="35"/>
  <c r="AF66" i="35"/>
  <c r="AG66" i="35"/>
  <c r="AH66" i="35"/>
  <c r="AI66" i="35"/>
  <c r="AN66" i="35"/>
  <c r="AO66" i="35"/>
  <c r="AP66" i="35"/>
  <c r="AQ66" i="35"/>
  <c r="AR66" i="35"/>
  <c r="AS66" i="35"/>
  <c r="AT66" i="35"/>
  <c r="AU66" i="35"/>
  <c r="AV66" i="35"/>
  <c r="AW66" i="35"/>
  <c r="AY66" i="35"/>
  <c r="AZ66" i="35"/>
  <c r="BA66" i="35"/>
  <c r="BB66" i="35"/>
  <c r="BC66" i="35"/>
  <c r="BD66" i="35"/>
  <c r="BE66" i="35"/>
  <c r="BF66" i="35"/>
  <c r="BG66" i="35"/>
  <c r="BH66" i="35"/>
  <c r="BJ66" i="35"/>
  <c r="BK66" i="35"/>
  <c r="BL66" i="35"/>
  <c r="BM66" i="35"/>
  <c r="BN66" i="35"/>
  <c r="BO66" i="35"/>
  <c r="BP66" i="35"/>
  <c r="BQ66" i="35"/>
  <c r="BR66" i="35"/>
  <c r="BS66" i="35"/>
  <c r="BU66" i="35"/>
  <c r="BV66" i="35"/>
  <c r="BW66" i="35"/>
  <c r="BX66" i="35"/>
  <c r="BY66" i="35"/>
  <c r="BZ66" i="35"/>
  <c r="CA66" i="35"/>
  <c r="CB66" i="35"/>
  <c r="CC66" i="35"/>
  <c r="CD66" i="35"/>
  <c r="A67" i="35"/>
  <c r="B67" i="35"/>
  <c r="C67" i="35"/>
  <c r="D67" i="35"/>
  <c r="E67" i="35"/>
  <c r="F67" i="35"/>
  <c r="G67" i="35"/>
  <c r="H67" i="35"/>
  <c r="I67" i="35"/>
  <c r="K67" i="35"/>
  <c r="L67" i="35"/>
  <c r="M67" i="35"/>
  <c r="N67" i="35"/>
  <c r="O67" i="35"/>
  <c r="P67" i="35"/>
  <c r="R67" i="35"/>
  <c r="S67" i="35"/>
  <c r="T67" i="35"/>
  <c r="U67" i="35"/>
  <c r="V67" i="35"/>
  <c r="W67" i="35"/>
  <c r="Y67" i="35"/>
  <c r="Z67" i="35"/>
  <c r="AA67" i="35"/>
  <c r="AB67" i="35"/>
  <c r="AC67" i="35"/>
  <c r="AD67" i="35"/>
  <c r="AF67" i="35"/>
  <c r="AG67" i="35"/>
  <c r="AH67" i="35"/>
  <c r="AI67" i="35"/>
  <c r="AN67" i="35"/>
  <c r="AO67" i="35"/>
  <c r="AP67" i="35"/>
  <c r="AQ67" i="35"/>
  <c r="AR67" i="35"/>
  <c r="AS67" i="35"/>
  <c r="AT67" i="35"/>
  <c r="AU67" i="35"/>
  <c r="AV67" i="35"/>
  <c r="AW67" i="35"/>
  <c r="AY67" i="35"/>
  <c r="AZ67" i="35"/>
  <c r="BA67" i="35"/>
  <c r="BB67" i="35"/>
  <c r="BC67" i="35"/>
  <c r="BD67" i="35"/>
  <c r="BE67" i="35"/>
  <c r="BF67" i="35"/>
  <c r="BG67" i="35"/>
  <c r="BH67" i="35"/>
  <c r="BJ67" i="35"/>
  <c r="BK67" i="35"/>
  <c r="BL67" i="35"/>
  <c r="BM67" i="35"/>
  <c r="BN67" i="35"/>
  <c r="BO67" i="35"/>
  <c r="BP67" i="35"/>
  <c r="BQ67" i="35"/>
  <c r="BR67" i="35"/>
  <c r="BS67" i="35"/>
  <c r="BU67" i="35"/>
  <c r="BV67" i="35"/>
  <c r="BW67" i="35"/>
  <c r="BX67" i="35"/>
  <c r="BY67" i="35"/>
  <c r="BZ67" i="35"/>
  <c r="CA67" i="35"/>
  <c r="CB67" i="35"/>
  <c r="CC67" i="35"/>
  <c r="CD67" i="35"/>
  <c r="A68" i="35"/>
  <c r="B68" i="35"/>
  <c r="C68" i="35"/>
  <c r="D68" i="35"/>
  <c r="E68" i="35"/>
  <c r="F68" i="35"/>
  <c r="G68" i="35"/>
  <c r="H68" i="35"/>
  <c r="I68" i="35"/>
  <c r="K68" i="35"/>
  <c r="L68" i="35"/>
  <c r="M68" i="35"/>
  <c r="N68" i="35"/>
  <c r="O68" i="35"/>
  <c r="P68" i="35"/>
  <c r="R68" i="35"/>
  <c r="S68" i="35"/>
  <c r="T68" i="35"/>
  <c r="U68" i="35"/>
  <c r="V68" i="35"/>
  <c r="W68" i="35"/>
  <c r="Y68" i="35"/>
  <c r="Z68" i="35"/>
  <c r="AA68" i="35"/>
  <c r="AB68" i="35"/>
  <c r="AC68" i="35"/>
  <c r="AD68" i="35"/>
  <c r="AF68" i="35"/>
  <c r="AG68" i="35"/>
  <c r="AH68" i="35"/>
  <c r="AI68" i="35"/>
  <c r="AN68" i="35"/>
  <c r="AO68" i="35"/>
  <c r="AP68" i="35"/>
  <c r="AQ68" i="35"/>
  <c r="AR68" i="35"/>
  <c r="AS68" i="35"/>
  <c r="AT68" i="35"/>
  <c r="AU68" i="35"/>
  <c r="AV68" i="35"/>
  <c r="AW68" i="35"/>
  <c r="AY68" i="35"/>
  <c r="AZ68" i="35"/>
  <c r="BA68" i="35"/>
  <c r="BB68" i="35"/>
  <c r="BC68" i="35"/>
  <c r="BD68" i="35"/>
  <c r="BE68" i="35"/>
  <c r="BF68" i="35"/>
  <c r="BG68" i="35"/>
  <c r="BH68" i="35"/>
  <c r="BJ68" i="35"/>
  <c r="BK68" i="35"/>
  <c r="BL68" i="35"/>
  <c r="BM68" i="35"/>
  <c r="BN68" i="35"/>
  <c r="BO68" i="35"/>
  <c r="BP68" i="35"/>
  <c r="BQ68" i="35"/>
  <c r="BR68" i="35"/>
  <c r="BS68" i="35"/>
  <c r="BU68" i="35"/>
  <c r="BV68" i="35"/>
  <c r="BW68" i="35"/>
  <c r="BX68" i="35"/>
  <c r="BY68" i="35"/>
  <c r="BZ68" i="35"/>
  <c r="CA68" i="35"/>
  <c r="CB68" i="35"/>
  <c r="CC68" i="35"/>
  <c r="CD68" i="35"/>
  <c r="A69" i="35"/>
  <c r="B69" i="35"/>
  <c r="C69" i="35"/>
  <c r="D69" i="35"/>
  <c r="E69" i="35"/>
  <c r="F69" i="35"/>
  <c r="G69" i="35"/>
  <c r="H69" i="35"/>
  <c r="I69" i="35"/>
  <c r="K69" i="35"/>
  <c r="L69" i="35"/>
  <c r="M69" i="35"/>
  <c r="N69" i="35"/>
  <c r="O69" i="35"/>
  <c r="P69" i="35"/>
  <c r="R69" i="35"/>
  <c r="S69" i="35"/>
  <c r="T69" i="35"/>
  <c r="U69" i="35"/>
  <c r="V69" i="35"/>
  <c r="W69" i="35"/>
  <c r="Y69" i="35"/>
  <c r="Z69" i="35"/>
  <c r="AA69" i="35"/>
  <c r="AB69" i="35"/>
  <c r="AC69" i="35"/>
  <c r="AD69" i="35"/>
  <c r="AF69" i="35"/>
  <c r="AG69" i="35"/>
  <c r="AH69" i="35"/>
  <c r="AI69" i="35"/>
  <c r="AN69" i="35"/>
  <c r="AO69" i="35"/>
  <c r="AP69" i="35"/>
  <c r="AQ69" i="35"/>
  <c r="AR69" i="35"/>
  <c r="AS69" i="35"/>
  <c r="AT69" i="35"/>
  <c r="AU69" i="35"/>
  <c r="AV69" i="35"/>
  <c r="AW69" i="35"/>
  <c r="AY69" i="35"/>
  <c r="AZ69" i="35"/>
  <c r="BA69" i="35"/>
  <c r="BB69" i="35"/>
  <c r="BC69" i="35"/>
  <c r="BD69" i="35"/>
  <c r="BE69" i="35"/>
  <c r="BF69" i="35"/>
  <c r="BG69" i="35"/>
  <c r="BH69" i="35"/>
  <c r="BJ69" i="35"/>
  <c r="BK69" i="35"/>
  <c r="BL69" i="35"/>
  <c r="BM69" i="35"/>
  <c r="BN69" i="35"/>
  <c r="BO69" i="35"/>
  <c r="BP69" i="35"/>
  <c r="BQ69" i="35"/>
  <c r="BR69" i="35"/>
  <c r="BS69" i="35"/>
  <c r="BU69" i="35"/>
  <c r="BV69" i="35"/>
  <c r="BW69" i="35"/>
  <c r="BX69" i="35"/>
  <c r="BY69" i="35"/>
  <c r="BZ69" i="35"/>
  <c r="CA69" i="35"/>
  <c r="CB69" i="35"/>
  <c r="CC69" i="35"/>
  <c r="CD69" i="35"/>
  <c r="A70" i="35"/>
  <c r="B70" i="35"/>
  <c r="C70" i="35"/>
  <c r="D70" i="35"/>
  <c r="E70" i="35"/>
  <c r="F70" i="35"/>
  <c r="G70" i="35"/>
  <c r="H70" i="35"/>
  <c r="I70" i="35"/>
  <c r="K70" i="35"/>
  <c r="L70" i="35"/>
  <c r="M70" i="35"/>
  <c r="N70" i="35"/>
  <c r="O70" i="35"/>
  <c r="P70" i="35"/>
  <c r="R70" i="35"/>
  <c r="S70" i="35"/>
  <c r="T70" i="35"/>
  <c r="U70" i="35"/>
  <c r="V70" i="35"/>
  <c r="W70" i="35"/>
  <c r="Y70" i="35"/>
  <c r="Z70" i="35"/>
  <c r="AA70" i="35"/>
  <c r="AB70" i="35"/>
  <c r="AC70" i="35"/>
  <c r="AD70" i="35"/>
  <c r="AF70" i="35"/>
  <c r="AG70" i="35"/>
  <c r="AH70" i="35"/>
  <c r="AI70" i="35"/>
  <c r="AN70" i="35"/>
  <c r="AO70" i="35"/>
  <c r="AP70" i="35"/>
  <c r="AQ70" i="35"/>
  <c r="AR70" i="35"/>
  <c r="AS70" i="35"/>
  <c r="AT70" i="35"/>
  <c r="AU70" i="35"/>
  <c r="AV70" i="35"/>
  <c r="AW70" i="35"/>
  <c r="AY70" i="35"/>
  <c r="AZ70" i="35"/>
  <c r="BA70" i="35"/>
  <c r="BB70" i="35"/>
  <c r="BC70" i="35"/>
  <c r="BD70" i="35"/>
  <c r="BE70" i="35"/>
  <c r="BF70" i="35"/>
  <c r="BG70" i="35"/>
  <c r="BH70" i="35"/>
  <c r="BJ70" i="35"/>
  <c r="BK70" i="35"/>
  <c r="BL70" i="35"/>
  <c r="BM70" i="35"/>
  <c r="BN70" i="35"/>
  <c r="BO70" i="35"/>
  <c r="BP70" i="35"/>
  <c r="BQ70" i="35"/>
  <c r="BR70" i="35"/>
  <c r="BS70" i="35"/>
  <c r="BU70" i="35"/>
  <c r="BV70" i="35"/>
  <c r="BW70" i="35"/>
  <c r="BX70" i="35"/>
  <c r="BY70" i="35"/>
  <c r="BZ70" i="35"/>
  <c r="CA70" i="35"/>
  <c r="CB70" i="35"/>
  <c r="CC70" i="35"/>
  <c r="CD70" i="35"/>
  <c r="A71" i="35"/>
  <c r="B71" i="35"/>
  <c r="C71" i="35"/>
  <c r="D71" i="35"/>
  <c r="E71" i="35"/>
  <c r="F71" i="35"/>
  <c r="G71" i="35"/>
  <c r="H71" i="35"/>
  <c r="I71" i="35"/>
  <c r="K71" i="35"/>
  <c r="L71" i="35"/>
  <c r="M71" i="35"/>
  <c r="N71" i="35"/>
  <c r="O71" i="35"/>
  <c r="P71" i="35"/>
  <c r="R71" i="35"/>
  <c r="S71" i="35"/>
  <c r="T71" i="35"/>
  <c r="U71" i="35"/>
  <c r="V71" i="35"/>
  <c r="W71" i="35"/>
  <c r="Y71" i="35"/>
  <c r="Z71" i="35"/>
  <c r="AA71" i="35"/>
  <c r="AB71" i="35"/>
  <c r="AC71" i="35"/>
  <c r="AD71" i="35"/>
  <c r="AF71" i="35"/>
  <c r="AG71" i="35"/>
  <c r="AH71" i="35"/>
  <c r="AI71" i="35"/>
  <c r="AN71" i="35"/>
  <c r="AO71" i="35"/>
  <c r="AP71" i="35"/>
  <c r="AQ71" i="35"/>
  <c r="AR71" i="35"/>
  <c r="AS71" i="35"/>
  <c r="AT71" i="35"/>
  <c r="AU71" i="35"/>
  <c r="AV71" i="35"/>
  <c r="AW71" i="35"/>
  <c r="AY71" i="35"/>
  <c r="AZ71" i="35"/>
  <c r="BA71" i="35"/>
  <c r="BB71" i="35"/>
  <c r="BC71" i="35"/>
  <c r="BD71" i="35"/>
  <c r="BE71" i="35"/>
  <c r="BF71" i="35"/>
  <c r="BG71" i="35"/>
  <c r="BH71" i="35"/>
  <c r="BJ71" i="35"/>
  <c r="BK71" i="35"/>
  <c r="BL71" i="35"/>
  <c r="BM71" i="35"/>
  <c r="BN71" i="35"/>
  <c r="BO71" i="35"/>
  <c r="BP71" i="35"/>
  <c r="BQ71" i="35"/>
  <c r="BR71" i="35"/>
  <c r="BS71" i="35"/>
  <c r="BU71" i="35"/>
  <c r="BV71" i="35"/>
  <c r="BW71" i="35"/>
  <c r="BX71" i="35"/>
  <c r="BY71" i="35"/>
  <c r="BZ71" i="35"/>
  <c r="CA71" i="35"/>
  <c r="CB71" i="35"/>
  <c r="CC71" i="35"/>
  <c r="CD71" i="35"/>
  <c r="A72" i="35"/>
  <c r="B72" i="35"/>
  <c r="C72" i="35"/>
  <c r="D72" i="35"/>
  <c r="E72" i="35"/>
  <c r="F72" i="35"/>
  <c r="G72" i="35"/>
  <c r="H72" i="35"/>
  <c r="I72" i="35"/>
  <c r="K72" i="35"/>
  <c r="L72" i="35"/>
  <c r="M72" i="35"/>
  <c r="N72" i="35"/>
  <c r="O72" i="35"/>
  <c r="P72" i="35"/>
  <c r="R72" i="35"/>
  <c r="S72" i="35"/>
  <c r="T72" i="35"/>
  <c r="U72" i="35"/>
  <c r="V72" i="35"/>
  <c r="W72" i="35"/>
  <c r="Y72" i="35"/>
  <c r="Z72" i="35"/>
  <c r="AA72" i="35"/>
  <c r="AB72" i="35"/>
  <c r="AC72" i="35"/>
  <c r="AD72" i="35"/>
  <c r="AF72" i="35"/>
  <c r="AG72" i="35"/>
  <c r="AH72" i="35"/>
  <c r="AI72" i="35"/>
  <c r="AN72" i="35"/>
  <c r="AO72" i="35"/>
  <c r="AP72" i="35"/>
  <c r="AQ72" i="35"/>
  <c r="AR72" i="35"/>
  <c r="AS72" i="35"/>
  <c r="AT72" i="35"/>
  <c r="AU72" i="35"/>
  <c r="AV72" i="35"/>
  <c r="AW72" i="35"/>
  <c r="AY72" i="35"/>
  <c r="AZ72" i="35"/>
  <c r="BA72" i="35"/>
  <c r="BB72" i="35"/>
  <c r="BC72" i="35"/>
  <c r="BD72" i="35"/>
  <c r="BE72" i="35"/>
  <c r="BF72" i="35"/>
  <c r="BG72" i="35"/>
  <c r="BH72" i="35"/>
  <c r="BJ72" i="35"/>
  <c r="BK72" i="35"/>
  <c r="BL72" i="35"/>
  <c r="BM72" i="35"/>
  <c r="BN72" i="35"/>
  <c r="BO72" i="35"/>
  <c r="BP72" i="35"/>
  <c r="BQ72" i="35"/>
  <c r="BR72" i="35"/>
  <c r="BS72" i="35"/>
  <c r="BU72" i="35"/>
  <c r="BV72" i="35"/>
  <c r="BW72" i="35"/>
  <c r="BX72" i="35"/>
  <c r="BY72" i="35"/>
  <c r="BZ72" i="35"/>
  <c r="CA72" i="35"/>
  <c r="CB72" i="35"/>
  <c r="CC72" i="35"/>
  <c r="CD72" i="35"/>
  <c r="A73" i="35"/>
  <c r="B73" i="35"/>
  <c r="C73" i="35"/>
  <c r="D73" i="35"/>
  <c r="E73" i="35"/>
  <c r="F73" i="35"/>
  <c r="G73" i="35"/>
  <c r="H73" i="35"/>
  <c r="I73" i="35"/>
  <c r="K73" i="35"/>
  <c r="L73" i="35"/>
  <c r="M73" i="35"/>
  <c r="N73" i="35"/>
  <c r="O73" i="35"/>
  <c r="P73" i="35"/>
  <c r="R73" i="35"/>
  <c r="S73" i="35"/>
  <c r="T73" i="35"/>
  <c r="U73" i="35"/>
  <c r="V73" i="35"/>
  <c r="W73" i="35"/>
  <c r="Y73" i="35"/>
  <c r="Z73" i="35"/>
  <c r="AA73" i="35"/>
  <c r="AB73" i="35"/>
  <c r="AC73" i="35"/>
  <c r="AD73" i="35"/>
  <c r="AF73" i="35"/>
  <c r="AG73" i="35"/>
  <c r="AH73" i="35"/>
  <c r="AI73" i="35"/>
  <c r="AN73" i="35"/>
  <c r="AO73" i="35"/>
  <c r="AP73" i="35"/>
  <c r="AQ73" i="35"/>
  <c r="AR73" i="35"/>
  <c r="AS73" i="35"/>
  <c r="AT73" i="35"/>
  <c r="AU73" i="35"/>
  <c r="AV73" i="35"/>
  <c r="AW73" i="35"/>
  <c r="AY73" i="35"/>
  <c r="AZ73" i="35"/>
  <c r="BA73" i="35"/>
  <c r="BB73" i="35"/>
  <c r="BC73" i="35"/>
  <c r="BD73" i="35"/>
  <c r="BE73" i="35"/>
  <c r="BF73" i="35"/>
  <c r="BG73" i="35"/>
  <c r="BH73" i="35"/>
  <c r="BJ73" i="35"/>
  <c r="BK73" i="35"/>
  <c r="BL73" i="35"/>
  <c r="BM73" i="35"/>
  <c r="BN73" i="35"/>
  <c r="BO73" i="35"/>
  <c r="BP73" i="35"/>
  <c r="BQ73" i="35"/>
  <c r="BR73" i="35"/>
  <c r="BS73" i="35"/>
  <c r="BU73" i="35"/>
  <c r="BV73" i="35"/>
  <c r="BW73" i="35"/>
  <c r="BX73" i="35"/>
  <c r="BY73" i="35"/>
  <c r="BZ73" i="35"/>
  <c r="CA73" i="35"/>
  <c r="CB73" i="35"/>
  <c r="CC73" i="35"/>
  <c r="CD73" i="35"/>
  <c r="A74" i="35"/>
  <c r="B74" i="35"/>
  <c r="C74" i="35"/>
  <c r="D74" i="35"/>
  <c r="E74" i="35"/>
  <c r="F74" i="35"/>
  <c r="G74" i="35"/>
  <c r="H74" i="35"/>
  <c r="I74" i="35"/>
  <c r="K74" i="35"/>
  <c r="L74" i="35"/>
  <c r="M74" i="35"/>
  <c r="N74" i="35"/>
  <c r="O74" i="35"/>
  <c r="P74" i="35"/>
  <c r="R74" i="35"/>
  <c r="S74" i="35"/>
  <c r="T74" i="35"/>
  <c r="U74" i="35"/>
  <c r="V74" i="35"/>
  <c r="W74" i="35"/>
  <c r="Y74" i="35"/>
  <c r="Z74" i="35"/>
  <c r="AA74" i="35"/>
  <c r="AB74" i="35"/>
  <c r="AC74" i="35"/>
  <c r="AD74" i="35"/>
  <c r="AF74" i="35"/>
  <c r="AG74" i="35"/>
  <c r="AH74" i="35"/>
  <c r="AI74" i="35"/>
  <c r="AN74" i="35"/>
  <c r="AO74" i="35"/>
  <c r="AP74" i="35"/>
  <c r="AQ74" i="35"/>
  <c r="AR74" i="35"/>
  <c r="AS74" i="35"/>
  <c r="AT74" i="35"/>
  <c r="AU74" i="35"/>
  <c r="AV74" i="35"/>
  <c r="AW74" i="35"/>
  <c r="AY74" i="35"/>
  <c r="AZ74" i="35"/>
  <c r="BA74" i="35"/>
  <c r="BB74" i="35"/>
  <c r="BC74" i="35"/>
  <c r="BD74" i="35"/>
  <c r="BE74" i="35"/>
  <c r="BF74" i="35"/>
  <c r="BG74" i="35"/>
  <c r="BH74" i="35"/>
  <c r="BJ74" i="35"/>
  <c r="BK74" i="35"/>
  <c r="BL74" i="35"/>
  <c r="BM74" i="35"/>
  <c r="BN74" i="35"/>
  <c r="BO74" i="35"/>
  <c r="BP74" i="35"/>
  <c r="BQ74" i="35"/>
  <c r="BR74" i="35"/>
  <c r="BS74" i="35"/>
  <c r="BU74" i="35"/>
  <c r="BV74" i="35"/>
  <c r="BW74" i="35"/>
  <c r="BX74" i="35"/>
  <c r="BY74" i="35"/>
  <c r="BZ74" i="35"/>
  <c r="CA74" i="35"/>
  <c r="CB74" i="35"/>
  <c r="CC74" i="35"/>
  <c r="CD74" i="35"/>
  <c r="A75" i="35"/>
  <c r="B75" i="35"/>
  <c r="C75" i="35"/>
  <c r="D75" i="35"/>
  <c r="E75" i="35"/>
  <c r="F75" i="35"/>
  <c r="G75" i="35"/>
  <c r="H75" i="35"/>
  <c r="I75" i="35"/>
  <c r="K75" i="35"/>
  <c r="L75" i="35"/>
  <c r="M75" i="35"/>
  <c r="N75" i="35"/>
  <c r="O75" i="35"/>
  <c r="P75" i="35"/>
  <c r="R75" i="35"/>
  <c r="S75" i="35"/>
  <c r="T75" i="35"/>
  <c r="U75" i="35"/>
  <c r="V75" i="35"/>
  <c r="W75" i="35"/>
  <c r="Y75" i="35"/>
  <c r="Z75" i="35"/>
  <c r="AA75" i="35"/>
  <c r="AB75" i="35"/>
  <c r="AC75" i="35"/>
  <c r="AD75" i="35"/>
  <c r="AF75" i="35"/>
  <c r="AG75" i="35"/>
  <c r="AH75" i="35"/>
  <c r="AI75" i="35"/>
  <c r="AN75" i="35"/>
  <c r="AO75" i="35"/>
  <c r="AP75" i="35"/>
  <c r="AQ75" i="35"/>
  <c r="AR75" i="35"/>
  <c r="AS75" i="35"/>
  <c r="AT75" i="35"/>
  <c r="AU75" i="35"/>
  <c r="AV75" i="35"/>
  <c r="AW75" i="35"/>
  <c r="AY75" i="35"/>
  <c r="AZ75" i="35"/>
  <c r="BA75" i="35"/>
  <c r="BB75" i="35"/>
  <c r="BC75" i="35"/>
  <c r="BD75" i="35"/>
  <c r="BE75" i="35"/>
  <c r="BF75" i="35"/>
  <c r="BG75" i="35"/>
  <c r="BH75" i="35"/>
  <c r="BJ75" i="35"/>
  <c r="BK75" i="35"/>
  <c r="BL75" i="35"/>
  <c r="BM75" i="35"/>
  <c r="BN75" i="35"/>
  <c r="BO75" i="35"/>
  <c r="BP75" i="35"/>
  <c r="BQ75" i="35"/>
  <c r="BR75" i="35"/>
  <c r="BS75" i="35"/>
  <c r="BU75" i="35"/>
  <c r="BV75" i="35"/>
  <c r="BW75" i="35"/>
  <c r="BX75" i="35"/>
  <c r="BY75" i="35"/>
  <c r="BZ75" i="35"/>
  <c r="CA75" i="35"/>
  <c r="CB75" i="35"/>
  <c r="CC75" i="35"/>
  <c r="CD75" i="35"/>
  <c r="A76" i="35"/>
  <c r="B76" i="35"/>
  <c r="C76" i="35"/>
  <c r="D76" i="35"/>
  <c r="E76" i="35"/>
  <c r="F76" i="35"/>
  <c r="G76" i="35"/>
  <c r="H76" i="35"/>
  <c r="I76" i="35"/>
  <c r="K76" i="35"/>
  <c r="L76" i="35"/>
  <c r="M76" i="35"/>
  <c r="N76" i="35"/>
  <c r="O76" i="35"/>
  <c r="P76" i="35"/>
  <c r="R76" i="35"/>
  <c r="S76" i="35"/>
  <c r="T76" i="35"/>
  <c r="U76" i="35"/>
  <c r="V76" i="35"/>
  <c r="W76" i="35"/>
  <c r="Y76" i="35"/>
  <c r="Z76" i="35"/>
  <c r="AA76" i="35"/>
  <c r="AB76" i="35"/>
  <c r="AC76" i="35"/>
  <c r="AD76" i="35"/>
  <c r="AF76" i="35"/>
  <c r="AG76" i="35"/>
  <c r="AH76" i="35"/>
  <c r="AI76" i="35"/>
  <c r="AN76" i="35"/>
  <c r="AO76" i="35"/>
  <c r="AP76" i="35"/>
  <c r="AQ76" i="35"/>
  <c r="AR76" i="35"/>
  <c r="AS76" i="35"/>
  <c r="AT76" i="35"/>
  <c r="AU76" i="35"/>
  <c r="AV76" i="35"/>
  <c r="AW76" i="35"/>
  <c r="AY76" i="35"/>
  <c r="AZ76" i="35"/>
  <c r="BA76" i="35"/>
  <c r="BB76" i="35"/>
  <c r="BC76" i="35"/>
  <c r="BD76" i="35"/>
  <c r="BE76" i="35"/>
  <c r="BF76" i="35"/>
  <c r="BG76" i="35"/>
  <c r="BH76" i="35"/>
  <c r="BJ76" i="35"/>
  <c r="BK76" i="35"/>
  <c r="BL76" i="35"/>
  <c r="BM76" i="35"/>
  <c r="BN76" i="35"/>
  <c r="BO76" i="35"/>
  <c r="BP76" i="35"/>
  <c r="BQ76" i="35"/>
  <c r="BR76" i="35"/>
  <c r="BS76" i="35"/>
  <c r="BU76" i="35"/>
  <c r="BV76" i="35"/>
  <c r="BW76" i="35"/>
  <c r="BX76" i="35"/>
  <c r="BY76" i="35"/>
  <c r="BZ76" i="35"/>
  <c r="CA76" i="35"/>
  <c r="CB76" i="35"/>
  <c r="CC76" i="35"/>
  <c r="CD76" i="35"/>
  <c r="A77" i="35"/>
  <c r="B77" i="35"/>
  <c r="C77" i="35"/>
  <c r="D77" i="35"/>
  <c r="E77" i="35"/>
  <c r="F77" i="35"/>
  <c r="G77" i="35"/>
  <c r="H77" i="35"/>
  <c r="I77" i="35"/>
  <c r="K77" i="35"/>
  <c r="L77" i="35"/>
  <c r="M77" i="35"/>
  <c r="N77" i="35"/>
  <c r="O77" i="35"/>
  <c r="P77" i="35"/>
  <c r="R77" i="35"/>
  <c r="S77" i="35"/>
  <c r="T77" i="35"/>
  <c r="U77" i="35"/>
  <c r="V77" i="35"/>
  <c r="W77" i="35"/>
  <c r="Y77" i="35"/>
  <c r="Z77" i="35"/>
  <c r="AA77" i="35"/>
  <c r="AB77" i="35"/>
  <c r="AC77" i="35"/>
  <c r="AD77" i="35"/>
  <c r="AF77" i="35"/>
  <c r="AG77" i="35"/>
  <c r="AH77" i="35"/>
  <c r="AI77" i="35"/>
  <c r="AN77" i="35"/>
  <c r="AO77" i="35"/>
  <c r="AP77" i="35"/>
  <c r="AQ77" i="35"/>
  <c r="AR77" i="35"/>
  <c r="AS77" i="35"/>
  <c r="AT77" i="35"/>
  <c r="AU77" i="35"/>
  <c r="AV77" i="35"/>
  <c r="AW77" i="35"/>
  <c r="AY77" i="35"/>
  <c r="AZ77" i="35"/>
  <c r="BA77" i="35"/>
  <c r="BB77" i="35"/>
  <c r="BC77" i="35"/>
  <c r="BD77" i="35"/>
  <c r="BE77" i="35"/>
  <c r="BF77" i="35"/>
  <c r="BG77" i="35"/>
  <c r="BH77" i="35"/>
  <c r="BJ77" i="35"/>
  <c r="BK77" i="35"/>
  <c r="BL77" i="35"/>
  <c r="BM77" i="35"/>
  <c r="BN77" i="35"/>
  <c r="BO77" i="35"/>
  <c r="BP77" i="35"/>
  <c r="BQ77" i="35"/>
  <c r="BR77" i="35"/>
  <c r="BS77" i="35"/>
  <c r="BU77" i="35"/>
  <c r="BV77" i="35"/>
  <c r="BW77" i="35"/>
  <c r="BX77" i="35"/>
  <c r="BY77" i="35"/>
  <c r="BZ77" i="35"/>
  <c r="CA77" i="35"/>
  <c r="CB77" i="35"/>
  <c r="CC77" i="35"/>
  <c r="CD77" i="35"/>
  <c r="A78" i="35"/>
  <c r="B78" i="35"/>
  <c r="C78" i="35"/>
  <c r="D78" i="35"/>
  <c r="E78" i="35"/>
  <c r="F78" i="35"/>
  <c r="G78" i="35"/>
  <c r="H78" i="35"/>
  <c r="I78" i="35"/>
  <c r="K78" i="35"/>
  <c r="L78" i="35"/>
  <c r="M78" i="35"/>
  <c r="N78" i="35"/>
  <c r="O78" i="35"/>
  <c r="P78" i="35"/>
  <c r="R78" i="35"/>
  <c r="S78" i="35"/>
  <c r="T78" i="35"/>
  <c r="U78" i="35"/>
  <c r="V78" i="35"/>
  <c r="W78" i="35"/>
  <c r="Y78" i="35"/>
  <c r="Z78" i="35"/>
  <c r="AA78" i="35"/>
  <c r="AB78" i="35"/>
  <c r="AC78" i="35"/>
  <c r="AD78" i="35"/>
  <c r="AF78" i="35"/>
  <c r="AG78" i="35"/>
  <c r="AH78" i="35"/>
  <c r="AI78" i="35"/>
  <c r="AN78" i="35"/>
  <c r="AO78" i="35"/>
  <c r="AP78" i="35"/>
  <c r="AQ78" i="35"/>
  <c r="AR78" i="35"/>
  <c r="AS78" i="35"/>
  <c r="AT78" i="35"/>
  <c r="AU78" i="35"/>
  <c r="AV78" i="35"/>
  <c r="AW78" i="35"/>
  <c r="AY78" i="35"/>
  <c r="AZ78" i="35"/>
  <c r="BA78" i="35"/>
  <c r="BB78" i="35"/>
  <c r="BC78" i="35"/>
  <c r="BD78" i="35"/>
  <c r="BE78" i="35"/>
  <c r="BF78" i="35"/>
  <c r="BG78" i="35"/>
  <c r="BH78" i="35"/>
  <c r="BJ78" i="35"/>
  <c r="BK78" i="35"/>
  <c r="BL78" i="35"/>
  <c r="BM78" i="35"/>
  <c r="BN78" i="35"/>
  <c r="BO78" i="35"/>
  <c r="BP78" i="35"/>
  <c r="BQ78" i="35"/>
  <c r="BR78" i="35"/>
  <c r="BS78" i="35"/>
  <c r="BU78" i="35"/>
  <c r="BV78" i="35"/>
  <c r="BW78" i="35"/>
  <c r="BX78" i="35"/>
  <c r="BY78" i="35"/>
  <c r="BZ78" i="35"/>
  <c r="CA78" i="35"/>
  <c r="CB78" i="35"/>
  <c r="CC78" i="35"/>
  <c r="CD78" i="35"/>
  <c r="A79" i="35"/>
  <c r="B79" i="35"/>
  <c r="C79" i="35"/>
  <c r="D79" i="35"/>
  <c r="E79" i="35"/>
  <c r="F79" i="35"/>
  <c r="G79" i="35"/>
  <c r="H79" i="35"/>
  <c r="I79" i="35"/>
  <c r="K79" i="35"/>
  <c r="L79" i="35"/>
  <c r="M79" i="35"/>
  <c r="N79" i="35"/>
  <c r="O79" i="35"/>
  <c r="P79" i="35"/>
  <c r="R79" i="35"/>
  <c r="S79" i="35"/>
  <c r="T79" i="35"/>
  <c r="U79" i="35"/>
  <c r="V79" i="35"/>
  <c r="W79" i="35"/>
  <c r="Y79" i="35"/>
  <c r="Z79" i="35"/>
  <c r="AA79" i="35"/>
  <c r="AB79" i="35"/>
  <c r="AC79" i="35"/>
  <c r="AD79" i="35"/>
  <c r="AF79" i="35"/>
  <c r="AG79" i="35"/>
  <c r="AH79" i="35"/>
  <c r="AI79" i="35"/>
  <c r="AN79" i="35"/>
  <c r="AO79" i="35"/>
  <c r="AP79" i="35"/>
  <c r="AQ79" i="35"/>
  <c r="AR79" i="35"/>
  <c r="AS79" i="35"/>
  <c r="AT79" i="35"/>
  <c r="AU79" i="35"/>
  <c r="AV79" i="35"/>
  <c r="AW79" i="35"/>
  <c r="AY79" i="35"/>
  <c r="AZ79" i="35"/>
  <c r="BA79" i="35"/>
  <c r="BB79" i="35"/>
  <c r="BC79" i="35"/>
  <c r="BD79" i="35"/>
  <c r="BE79" i="35"/>
  <c r="BF79" i="35"/>
  <c r="BG79" i="35"/>
  <c r="BH79" i="35"/>
  <c r="BJ79" i="35"/>
  <c r="BK79" i="35"/>
  <c r="BL79" i="35"/>
  <c r="BM79" i="35"/>
  <c r="BN79" i="35"/>
  <c r="BO79" i="35"/>
  <c r="BP79" i="35"/>
  <c r="BQ79" i="35"/>
  <c r="BR79" i="35"/>
  <c r="BS79" i="35"/>
  <c r="BU79" i="35"/>
  <c r="BV79" i="35"/>
  <c r="BW79" i="35"/>
  <c r="BX79" i="35"/>
  <c r="BY79" i="35"/>
  <c r="BZ79" i="35"/>
  <c r="CA79" i="35"/>
  <c r="CB79" i="35"/>
  <c r="CC79" i="35"/>
  <c r="CD79" i="35"/>
  <c r="A80" i="35"/>
  <c r="B80" i="35"/>
  <c r="C80" i="35"/>
  <c r="D80" i="35"/>
  <c r="E80" i="35"/>
  <c r="F80" i="35"/>
  <c r="G80" i="35"/>
  <c r="H80" i="35"/>
  <c r="I80" i="35"/>
  <c r="K80" i="35"/>
  <c r="L80" i="35"/>
  <c r="M80" i="35"/>
  <c r="N80" i="35"/>
  <c r="O80" i="35"/>
  <c r="P80" i="35"/>
  <c r="R80" i="35"/>
  <c r="S80" i="35"/>
  <c r="T80" i="35"/>
  <c r="U80" i="35"/>
  <c r="V80" i="35"/>
  <c r="W80" i="35"/>
  <c r="Y80" i="35"/>
  <c r="Z80" i="35"/>
  <c r="AA80" i="35"/>
  <c r="AB80" i="35"/>
  <c r="AC80" i="35"/>
  <c r="AD80" i="35"/>
  <c r="AF80" i="35"/>
  <c r="AG80" i="35"/>
  <c r="AH80" i="35"/>
  <c r="AI80" i="35"/>
  <c r="AN80" i="35"/>
  <c r="AO80" i="35"/>
  <c r="AP80" i="35"/>
  <c r="AQ80" i="35"/>
  <c r="AR80" i="35"/>
  <c r="AS80" i="35"/>
  <c r="AT80" i="35"/>
  <c r="AU80" i="35"/>
  <c r="AV80" i="35"/>
  <c r="AW80" i="35"/>
  <c r="AY80" i="35"/>
  <c r="AZ80" i="35"/>
  <c r="BA80" i="35"/>
  <c r="BB80" i="35"/>
  <c r="BC80" i="35"/>
  <c r="BD80" i="35"/>
  <c r="BE80" i="35"/>
  <c r="BF80" i="35"/>
  <c r="BG80" i="35"/>
  <c r="BH80" i="35"/>
  <c r="BJ80" i="35"/>
  <c r="BK80" i="35"/>
  <c r="BL80" i="35"/>
  <c r="BM80" i="35"/>
  <c r="BN80" i="35"/>
  <c r="BO80" i="35"/>
  <c r="BP80" i="35"/>
  <c r="BQ80" i="35"/>
  <c r="BR80" i="35"/>
  <c r="BS80" i="35"/>
  <c r="BU80" i="35"/>
  <c r="BV80" i="35"/>
  <c r="BW80" i="35"/>
  <c r="BX80" i="35"/>
  <c r="BY80" i="35"/>
  <c r="BZ80" i="35"/>
  <c r="CA80" i="35"/>
  <c r="CB80" i="35"/>
  <c r="CC80" i="35"/>
  <c r="CD80" i="35"/>
  <c r="A81" i="35"/>
  <c r="B81" i="35"/>
  <c r="C81" i="35"/>
  <c r="D81" i="35"/>
  <c r="E81" i="35"/>
  <c r="F81" i="35"/>
  <c r="G81" i="35"/>
  <c r="H81" i="35"/>
  <c r="I81" i="35"/>
  <c r="K81" i="35"/>
  <c r="L81" i="35"/>
  <c r="M81" i="35"/>
  <c r="N81" i="35"/>
  <c r="O81" i="35"/>
  <c r="P81" i="35"/>
  <c r="R81" i="35"/>
  <c r="S81" i="35"/>
  <c r="T81" i="35"/>
  <c r="U81" i="35"/>
  <c r="V81" i="35"/>
  <c r="W81" i="35"/>
  <c r="Y81" i="35"/>
  <c r="Z81" i="35"/>
  <c r="AA81" i="35"/>
  <c r="AB81" i="35"/>
  <c r="AC81" i="35"/>
  <c r="AD81" i="35"/>
  <c r="AF81" i="35"/>
  <c r="AG81" i="35"/>
  <c r="AH81" i="35"/>
  <c r="AI81" i="35"/>
  <c r="AN81" i="35"/>
  <c r="AO81" i="35"/>
  <c r="AP81" i="35"/>
  <c r="AQ81" i="35"/>
  <c r="AR81" i="35"/>
  <c r="AS81" i="35"/>
  <c r="AT81" i="35"/>
  <c r="AU81" i="35"/>
  <c r="AV81" i="35"/>
  <c r="AW81" i="35"/>
  <c r="AY81" i="35"/>
  <c r="AZ81" i="35"/>
  <c r="BA81" i="35"/>
  <c r="BB81" i="35"/>
  <c r="BC81" i="35"/>
  <c r="BD81" i="35"/>
  <c r="BE81" i="35"/>
  <c r="BF81" i="35"/>
  <c r="BG81" i="35"/>
  <c r="BH81" i="35"/>
  <c r="BJ81" i="35"/>
  <c r="BK81" i="35"/>
  <c r="BL81" i="35"/>
  <c r="BM81" i="35"/>
  <c r="BN81" i="35"/>
  <c r="BO81" i="35"/>
  <c r="BP81" i="35"/>
  <c r="BQ81" i="35"/>
  <c r="BR81" i="35"/>
  <c r="BS81" i="35"/>
  <c r="BU81" i="35"/>
  <c r="BV81" i="35"/>
  <c r="BW81" i="35"/>
  <c r="BX81" i="35"/>
  <c r="BY81" i="35"/>
  <c r="BZ81" i="35"/>
  <c r="CA81" i="35"/>
  <c r="CB81" i="35"/>
  <c r="CC81" i="35"/>
  <c r="CD81" i="35"/>
  <c r="A82" i="35"/>
  <c r="B82" i="35"/>
  <c r="C82" i="35"/>
  <c r="D82" i="35"/>
  <c r="E82" i="35"/>
  <c r="F82" i="35"/>
  <c r="G82" i="35"/>
  <c r="H82" i="35"/>
  <c r="I82" i="35"/>
  <c r="K82" i="35"/>
  <c r="L82" i="35"/>
  <c r="M82" i="35"/>
  <c r="N82" i="35"/>
  <c r="O82" i="35"/>
  <c r="P82" i="35"/>
  <c r="R82" i="35"/>
  <c r="S82" i="35"/>
  <c r="T82" i="35"/>
  <c r="U82" i="35"/>
  <c r="V82" i="35"/>
  <c r="W82" i="35"/>
  <c r="Y82" i="35"/>
  <c r="Z82" i="35"/>
  <c r="AA82" i="35"/>
  <c r="AB82" i="35"/>
  <c r="AC82" i="35"/>
  <c r="AD82" i="35"/>
  <c r="AF82" i="35"/>
  <c r="AG82" i="35"/>
  <c r="AH82" i="35"/>
  <c r="AI82" i="35"/>
  <c r="AN82" i="35"/>
  <c r="AO82" i="35"/>
  <c r="AP82" i="35"/>
  <c r="AQ82" i="35"/>
  <c r="AR82" i="35"/>
  <c r="AS82" i="35"/>
  <c r="AT82" i="35"/>
  <c r="AU82" i="35"/>
  <c r="AV82" i="35"/>
  <c r="AW82" i="35"/>
  <c r="AY82" i="35"/>
  <c r="AZ82" i="35"/>
  <c r="BA82" i="35"/>
  <c r="BB82" i="35"/>
  <c r="BC82" i="35"/>
  <c r="BD82" i="35"/>
  <c r="BE82" i="35"/>
  <c r="BF82" i="35"/>
  <c r="BG82" i="35"/>
  <c r="BH82" i="35"/>
  <c r="BJ82" i="35"/>
  <c r="BK82" i="35"/>
  <c r="BL82" i="35"/>
  <c r="BM82" i="35"/>
  <c r="BN82" i="35"/>
  <c r="BO82" i="35"/>
  <c r="BP82" i="35"/>
  <c r="BQ82" i="35"/>
  <c r="BR82" i="35"/>
  <c r="BS82" i="35"/>
  <c r="BU82" i="35"/>
  <c r="BV82" i="35"/>
  <c r="BW82" i="35"/>
  <c r="BX82" i="35"/>
  <c r="BY82" i="35"/>
  <c r="BZ82" i="35"/>
  <c r="CA82" i="35"/>
  <c r="CB82" i="35"/>
  <c r="CC82" i="35"/>
  <c r="CD82" i="35"/>
  <c r="A83" i="35"/>
  <c r="B83" i="35"/>
  <c r="C83" i="35"/>
  <c r="D83" i="35"/>
  <c r="E83" i="35"/>
  <c r="F83" i="35"/>
  <c r="G83" i="35"/>
  <c r="H83" i="35"/>
  <c r="I83" i="35"/>
  <c r="K83" i="35"/>
  <c r="L83" i="35"/>
  <c r="M83" i="35"/>
  <c r="N83" i="35"/>
  <c r="O83" i="35"/>
  <c r="P83" i="35"/>
  <c r="R83" i="35"/>
  <c r="S83" i="35"/>
  <c r="T83" i="35"/>
  <c r="U83" i="35"/>
  <c r="V83" i="35"/>
  <c r="W83" i="35"/>
  <c r="Y83" i="35"/>
  <c r="Z83" i="35"/>
  <c r="AA83" i="35"/>
  <c r="AB83" i="35"/>
  <c r="AC83" i="35"/>
  <c r="AD83" i="35"/>
  <c r="AF83" i="35"/>
  <c r="AG83" i="35"/>
  <c r="AH83" i="35"/>
  <c r="AI83" i="35"/>
  <c r="AN83" i="35"/>
  <c r="AO83" i="35"/>
  <c r="AP83" i="35"/>
  <c r="AQ83" i="35"/>
  <c r="AR83" i="35"/>
  <c r="AS83" i="35"/>
  <c r="AT83" i="35"/>
  <c r="AU83" i="35"/>
  <c r="AV83" i="35"/>
  <c r="AW83" i="35"/>
  <c r="AY83" i="35"/>
  <c r="AZ83" i="35"/>
  <c r="BA83" i="35"/>
  <c r="BB83" i="35"/>
  <c r="BC83" i="35"/>
  <c r="BD83" i="35"/>
  <c r="BE83" i="35"/>
  <c r="BF83" i="35"/>
  <c r="BG83" i="35"/>
  <c r="BH83" i="35"/>
  <c r="BJ83" i="35"/>
  <c r="BK83" i="35"/>
  <c r="BL83" i="35"/>
  <c r="BM83" i="35"/>
  <c r="BN83" i="35"/>
  <c r="BO83" i="35"/>
  <c r="BP83" i="35"/>
  <c r="BQ83" i="35"/>
  <c r="BR83" i="35"/>
  <c r="BS83" i="35"/>
  <c r="BU83" i="35"/>
  <c r="BV83" i="35"/>
  <c r="BW83" i="35"/>
  <c r="BX83" i="35"/>
  <c r="BY83" i="35"/>
  <c r="BZ83" i="35"/>
  <c r="CA83" i="35"/>
  <c r="CB83" i="35"/>
  <c r="CC83" i="35"/>
  <c r="CD83" i="35"/>
  <c r="A84" i="35"/>
  <c r="B84" i="35"/>
  <c r="C84" i="35"/>
  <c r="D84" i="35"/>
  <c r="E84" i="35"/>
  <c r="F84" i="35"/>
  <c r="G84" i="35"/>
  <c r="H84" i="35"/>
  <c r="I84" i="35"/>
  <c r="K84" i="35"/>
  <c r="L84" i="35"/>
  <c r="M84" i="35"/>
  <c r="N84" i="35"/>
  <c r="O84" i="35"/>
  <c r="P84" i="35"/>
  <c r="R84" i="35"/>
  <c r="S84" i="35"/>
  <c r="T84" i="35"/>
  <c r="U84" i="35"/>
  <c r="V84" i="35"/>
  <c r="W84" i="35"/>
  <c r="Y84" i="35"/>
  <c r="Z84" i="35"/>
  <c r="AA84" i="35"/>
  <c r="AB84" i="35"/>
  <c r="AC84" i="35"/>
  <c r="AD84" i="35"/>
  <c r="AF84" i="35"/>
  <c r="AG84" i="35"/>
  <c r="AH84" i="35"/>
  <c r="AI84" i="35"/>
  <c r="AN84" i="35"/>
  <c r="AO84" i="35"/>
  <c r="AP84" i="35"/>
  <c r="AQ84" i="35"/>
  <c r="AR84" i="35"/>
  <c r="AS84" i="35"/>
  <c r="AT84" i="35"/>
  <c r="AU84" i="35"/>
  <c r="AV84" i="35"/>
  <c r="AW84" i="35"/>
  <c r="AY84" i="35"/>
  <c r="AZ84" i="35"/>
  <c r="BA84" i="35"/>
  <c r="BB84" i="35"/>
  <c r="BC84" i="35"/>
  <c r="BD84" i="35"/>
  <c r="BE84" i="35"/>
  <c r="BF84" i="35"/>
  <c r="BG84" i="35"/>
  <c r="BH84" i="35"/>
  <c r="BJ84" i="35"/>
  <c r="BK84" i="35"/>
  <c r="BL84" i="35"/>
  <c r="BM84" i="35"/>
  <c r="BN84" i="35"/>
  <c r="BO84" i="35"/>
  <c r="BP84" i="35"/>
  <c r="BQ84" i="35"/>
  <c r="BR84" i="35"/>
  <c r="BS84" i="35"/>
  <c r="BU84" i="35"/>
  <c r="BV84" i="35"/>
  <c r="BW84" i="35"/>
  <c r="BX84" i="35"/>
  <c r="BY84" i="35"/>
  <c r="BZ84" i="35"/>
  <c r="CA84" i="35"/>
  <c r="CB84" i="35"/>
  <c r="CC84" i="35"/>
  <c r="CD84" i="35"/>
  <c r="A85" i="35"/>
  <c r="B85" i="35"/>
  <c r="C85" i="35"/>
  <c r="D85" i="35"/>
  <c r="E85" i="35"/>
  <c r="F85" i="35"/>
  <c r="G85" i="35"/>
  <c r="H85" i="35"/>
  <c r="I85" i="35"/>
  <c r="K85" i="35"/>
  <c r="L85" i="35"/>
  <c r="M85" i="35"/>
  <c r="N85" i="35"/>
  <c r="O85" i="35"/>
  <c r="P85" i="35"/>
  <c r="R85" i="35"/>
  <c r="S85" i="35"/>
  <c r="T85" i="35"/>
  <c r="U85" i="35"/>
  <c r="V85" i="35"/>
  <c r="W85" i="35"/>
  <c r="Y85" i="35"/>
  <c r="Z85" i="35"/>
  <c r="AA85" i="35"/>
  <c r="AB85" i="35"/>
  <c r="AC85" i="35"/>
  <c r="AD85" i="35"/>
  <c r="AF85" i="35"/>
  <c r="AG85" i="35"/>
  <c r="AH85" i="35"/>
  <c r="AI85" i="35"/>
  <c r="AN85" i="35"/>
  <c r="AO85" i="35"/>
  <c r="AP85" i="35"/>
  <c r="AQ85" i="35"/>
  <c r="AR85" i="35"/>
  <c r="AS85" i="35"/>
  <c r="AT85" i="35"/>
  <c r="AU85" i="35"/>
  <c r="AV85" i="35"/>
  <c r="AW85" i="35"/>
  <c r="AY85" i="35"/>
  <c r="AZ85" i="35"/>
  <c r="BA85" i="35"/>
  <c r="BB85" i="35"/>
  <c r="BC85" i="35"/>
  <c r="BD85" i="35"/>
  <c r="BE85" i="35"/>
  <c r="BF85" i="35"/>
  <c r="BG85" i="35"/>
  <c r="BH85" i="35"/>
  <c r="BJ85" i="35"/>
  <c r="BK85" i="35"/>
  <c r="BL85" i="35"/>
  <c r="BM85" i="35"/>
  <c r="BN85" i="35"/>
  <c r="BO85" i="35"/>
  <c r="BP85" i="35"/>
  <c r="BQ85" i="35"/>
  <c r="BR85" i="35"/>
  <c r="BS85" i="35"/>
  <c r="BU85" i="35"/>
  <c r="BV85" i="35"/>
  <c r="BW85" i="35"/>
  <c r="BX85" i="35"/>
  <c r="BY85" i="35"/>
  <c r="BZ85" i="35"/>
  <c r="CA85" i="35"/>
  <c r="CB85" i="35"/>
  <c r="CC85" i="35"/>
  <c r="CD85" i="35"/>
  <c r="A86" i="35"/>
  <c r="B86" i="35"/>
  <c r="C86" i="35"/>
  <c r="D86" i="35"/>
  <c r="E86" i="35"/>
  <c r="F86" i="35"/>
  <c r="G86" i="35"/>
  <c r="H86" i="35"/>
  <c r="I86" i="35"/>
  <c r="K86" i="35"/>
  <c r="L86" i="35"/>
  <c r="M86" i="35"/>
  <c r="N86" i="35"/>
  <c r="O86" i="35"/>
  <c r="P86" i="35"/>
  <c r="R86" i="35"/>
  <c r="S86" i="35"/>
  <c r="T86" i="35"/>
  <c r="U86" i="35"/>
  <c r="V86" i="35"/>
  <c r="W86" i="35"/>
  <c r="Y86" i="35"/>
  <c r="Z86" i="35"/>
  <c r="AA86" i="35"/>
  <c r="AB86" i="35"/>
  <c r="AC86" i="35"/>
  <c r="AD86" i="35"/>
  <c r="AF86" i="35"/>
  <c r="AG86" i="35"/>
  <c r="AH86" i="35"/>
  <c r="AI86" i="35"/>
  <c r="AN86" i="35"/>
  <c r="AO86" i="35"/>
  <c r="AP86" i="35"/>
  <c r="AQ86" i="35"/>
  <c r="AR86" i="35"/>
  <c r="AS86" i="35"/>
  <c r="AT86" i="35"/>
  <c r="AU86" i="35"/>
  <c r="AV86" i="35"/>
  <c r="AW86" i="35"/>
  <c r="AY86" i="35"/>
  <c r="AZ86" i="35"/>
  <c r="BA86" i="35"/>
  <c r="BB86" i="35"/>
  <c r="BC86" i="35"/>
  <c r="BD86" i="35"/>
  <c r="BE86" i="35"/>
  <c r="BF86" i="35"/>
  <c r="BG86" i="35"/>
  <c r="BH86" i="35"/>
  <c r="BJ86" i="35"/>
  <c r="BK86" i="35"/>
  <c r="BL86" i="35"/>
  <c r="BM86" i="35"/>
  <c r="BN86" i="35"/>
  <c r="BO86" i="35"/>
  <c r="BP86" i="35"/>
  <c r="BQ86" i="35"/>
  <c r="BR86" i="35"/>
  <c r="BS86" i="35"/>
  <c r="BU86" i="35"/>
  <c r="BV86" i="35"/>
  <c r="BW86" i="35"/>
  <c r="BX86" i="35"/>
  <c r="BY86" i="35"/>
  <c r="BZ86" i="35"/>
  <c r="CA86" i="35"/>
  <c r="CB86" i="35"/>
  <c r="CC86" i="35"/>
  <c r="CD86" i="35"/>
  <c r="A87" i="35"/>
  <c r="B87" i="35"/>
  <c r="C87" i="35"/>
  <c r="D87" i="35"/>
  <c r="E87" i="35"/>
  <c r="F87" i="35"/>
  <c r="G87" i="35"/>
  <c r="H87" i="35"/>
  <c r="I87" i="35"/>
  <c r="K87" i="35"/>
  <c r="L87" i="35"/>
  <c r="M87" i="35"/>
  <c r="N87" i="35"/>
  <c r="O87" i="35"/>
  <c r="P87" i="35"/>
  <c r="R87" i="35"/>
  <c r="S87" i="35"/>
  <c r="T87" i="35"/>
  <c r="U87" i="35"/>
  <c r="V87" i="35"/>
  <c r="W87" i="35"/>
  <c r="Y87" i="35"/>
  <c r="Z87" i="35"/>
  <c r="AA87" i="35"/>
  <c r="AB87" i="35"/>
  <c r="AC87" i="35"/>
  <c r="AD87" i="35"/>
  <c r="AF87" i="35"/>
  <c r="AG87" i="35"/>
  <c r="AH87" i="35"/>
  <c r="AI87" i="35"/>
  <c r="AN87" i="35"/>
  <c r="AO87" i="35"/>
  <c r="AP87" i="35"/>
  <c r="AQ87" i="35"/>
  <c r="AR87" i="35"/>
  <c r="AS87" i="35"/>
  <c r="AT87" i="35"/>
  <c r="AU87" i="35"/>
  <c r="AV87" i="35"/>
  <c r="AW87" i="35"/>
  <c r="AY87" i="35"/>
  <c r="AZ87" i="35"/>
  <c r="BA87" i="35"/>
  <c r="BB87" i="35"/>
  <c r="BC87" i="35"/>
  <c r="BD87" i="35"/>
  <c r="BE87" i="35"/>
  <c r="BF87" i="35"/>
  <c r="BG87" i="35"/>
  <c r="BH87" i="35"/>
  <c r="BJ87" i="35"/>
  <c r="BK87" i="35"/>
  <c r="BL87" i="35"/>
  <c r="BM87" i="35"/>
  <c r="BN87" i="35"/>
  <c r="BO87" i="35"/>
  <c r="BP87" i="35"/>
  <c r="BQ87" i="35"/>
  <c r="BR87" i="35"/>
  <c r="BS87" i="35"/>
  <c r="BU87" i="35"/>
  <c r="BV87" i="35"/>
  <c r="BW87" i="35"/>
  <c r="BX87" i="35"/>
  <c r="BY87" i="35"/>
  <c r="BZ87" i="35"/>
  <c r="CA87" i="35"/>
  <c r="CB87" i="35"/>
  <c r="CC87" i="35"/>
  <c r="CD87" i="35"/>
  <c r="A88" i="35"/>
  <c r="B88" i="35"/>
  <c r="C88" i="35"/>
  <c r="D88" i="35"/>
  <c r="E88" i="35"/>
  <c r="F88" i="35"/>
  <c r="G88" i="35"/>
  <c r="H88" i="35"/>
  <c r="I88" i="35"/>
  <c r="K88" i="35"/>
  <c r="L88" i="35"/>
  <c r="M88" i="35"/>
  <c r="N88" i="35"/>
  <c r="O88" i="35"/>
  <c r="P88" i="35"/>
  <c r="R88" i="35"/>
  <c r="S88" i="35"/>
  <c r="T88" i="35"/>
  <c r="U88" i="35"/>
  <c r="V88" i="35"/>
  <c r="W88" i="35"/>
  <c r="Y88" i="35"/>
  <c r="Z88" i="35"/>
  <c r="AA88" i="35"/>
  <c r="AB88" i="35"/>
  <c r="AC88" i="35"/>
  <c r="AD88" i="35"/>
  <c r="AF88" i="35"/>
  <c r="AG88" i="35"/>
  <c r="AH88" i="35"/>
  <c r="AI88" i="35"/>
  <c r="AN88" i="35"/>
  <c r="AO88" i="35"/>
  <c r="AP88" i="35"/>
  <c r="AQ88" i="35"/>
  <c r="AR88" i="35"/>
  <c r="AS88" i="35"/>
  <c r="AT88" i="35"/>
  <c r="AU88" i="35"/>
  <c r="AV88" i="35"/>
  <c r="AW88" i="35"/>
  <c r="AY88" i="35"/>
  <c r="AZ88" i="35"/>
  <c r="BA88" i="35"/>
  <c r="BB88" i="35"/>
  <c r="BC88" i="35"/>
  <c r="BD88" i="35"/>
  <c r="BE88" i="35"/>
  <c r="BF88" i="35"/>
  <c r="BG88" i="35"/>
  <c r="BH88" i="35"/>
  <c r="BJ88" i="35"/>
  <c r="BK88" i="35"/>
  <c r="BL88" i="35"/>
  <c r="BM88" i="35"/>
  <c r="BN88" i="35"/>
  <c r="BO88" i="35"/>
  <c r="BP88" i="35"/>
  <c r="BQ88" i="35"/>
  <c r="BR88" i="35"/>
  <c r="BS88" i="35"/>
  <c r="BU88" i="35"/>
  <c r="BV88" i="35"/>
  <c r="BW88" i="35"/>
  <c r="BX88" i="35"/>
  <c r="BY88" i="35"/>
  <c r="BZ88" i="35"/>
  <c r="CA88" i="35"/>
  <c r="CB88" i="35"/>
  <c r="CC88" i="35"/>
  <c r="CD88" i="35"/>
  <c r="A89" i="35"/>
  <c r="B89" i="35"/>
  <c r="C89" i="35"/>
  <c r="D89" i="35"/>
  <c r="E89" i="35"/>
  <c r="F89" i="35"/>
  <c r="G89" i="35"/>
  <c r="H89" i="35"/>
  <c r="I89" i="35"/>
  <c r="K89" i="35"/>
  <c r="L89" i="35"/>
  <c r="M89" i="35"/>
  <c r="N89" i="35"/>
  <c r="O89" i="35"/>
  <c r="P89" i="35"/>
  <c r="R89" i="35"/>
  <c r="S89" i="35"/>
  <c r="T89" i="35"/>
  <c r="U89" i="35"/>
  <c r="V89" i="35"/>
  <c r="W89" i="35"/>
  <c r="Y89" i="35"/>
  <c r="Z89" i="35"/>
  <c r="AA89" i="35"/>
  <c r="AB89" i="35"/>
  <c r="AC89" i="35"/>
  <c r="AD89" i="35"/>
  <c r="AF89" i="35"/>
  <c r="AG89" i="35"/>
  <c r="AH89" i="35"/>
  <c r="AI89" i="35"/>
  <c r="AN89" i="35"/>
  <c r="AO89" i="35"/>
  <c r="AP89" i="35"/>
  <c r="AQ89" i="35"/>
  <c r="AR89" i="35"/>
  <c r="AS89" i="35"/>
  <c r="AT89" i="35"/>
  <c r="AU89" i="35"/>
  <c r="AV89" i="35"/>
  <c r="AW89" i="35"/>
  <c r="AY89" i="35"/>
  <c r="AZ89" i="35"/>
  <c r="BA89" i="35"/>
  <c r="BB89" i="35"/>
  <c r="BC89" i="35"/>
  <c r="BD89" i="35"/>
  <c r="BE89" i="35"/>
  <c r="BF89" i="35"/>
  <c r="BG89" i="35"/>
  <c r="BH89" i="35"/>
  <c r="BJ89" i="35"/>
  <c r="BK89" i="35"/>
  <c r="BL89" i="35"/>
  <c r="BM89" i="35"/>
  <c r="BN89" i="35"/>
  <c r="BO89" i="35"/>
  <c r="BP89" i="35"/>
  <c r="BQ89" i="35"/>
  <c r="BR89" i="35"/>
  <c r="BS89" i="35"/>
  <c r="BU89" i="35"/>
  <c r="BV89" i="35"/>
  <c r="BW89" i="35"/>
  <c r="BX89" i="35"/>
  <c r="BY89" i="35"/>
  <c r="BZ89" i="35"/>
  <c r="CA89" i="35"/>
  <c r="CB89" i="35"/>
  <c r="CC89" i="35"/>
  <c r="CD89" i="35"/>
  <c r="A90" i="35"/>
  <c r="B90" i="35"/>
  <c r="C90" i="35"/>
  <c r="D90" i="35"/>
  <c r="E90" i="35"/>
  <c r="F90" i="35"/>
  <c r="G90" i="35"/>
  <c r="H90" i="35"/>
  <c r="I90" i="35"/>
  <c r="K90" i="35"/>
  <c r="L90" i="35"/>
  <c r="M90" i="35"/>
  <c r="N90" i="35"/>
  <c r="O90" i="35"/>
  <c r="P90" i="35"/>
  <c r="R90" i="35"/>
  <c r="S90" i="35"/>
  <c r="T90" i="35"/>
  <c r="U90" i="35"/>
  <c r="V90" i="35"/>
  <c r="W90" i="35"/>
  <c r="Y90" i="35"/>
  <c r="Z90" i="35"/>
  <c r="AA90" i="35"/>
  <c r="AB90" i="35"/>
  <c r="AC90" i="35"/>
  <c r="AD90" i="35"/>
  <c r="AF90" i="35"/>
  <c r="AG90" i="35"/>
  <c r="AH90" i="35"/>
  <c r="AI90" i="35"/>
  <c r="AN90" i="35"/>
  <c r="AO90" i="35"/>
  <c r="AP90" i="35"/>
  <c r="AQ90" i="35"/>
  <c r="AR90" i="35"/>
  <c r="AS90" i="35"/>
  <c r="AT90" i="35"/>
  <c r="AU90" i="35"/>
  <c r="AV90" i="35"/>
  <c r="AW90" i="35"/>
  <c r="AY90" i="35"/>
  <c r="AZ90" i="35"/>
  <c r="BA90" i="35"/>
  <c r="BB90" i="35"/>
  <c r="BC90" i="35"/>
  <c r="BD90" i="35"/>
  <c r="BE90" i="35"/>
  <c r="BF90" i="35"/>
  <c r="BG90" i="35"/>
  <c r="BH90" i="35"/>
  <c r="BJ90" i="35"/>
  <c r="BK90" i="35"/>
  <c r="BL90" i="35"/>
  <c r="BM90" i="35"/>
  <c r="BN90" i="35"/>
  <c r="BO90" i="35"/>
  <c r="BP90" i="35"/>
  <c r="BQ90" i="35"/>
  <c r="BR90" i="35"/>
  <c r="BS90" i="35"/>
  <c r="BU90" i="35"/>
  <c r="BV90" i="35"/>
  <c r="BW90" i="35"/>
  <c r="BX90" i="35"/>
  <c r="BY90" i="35"/>
  <c r="BZ90" i="35"/>
  <c r="CA90" i="35"/>
  <c r="CB90" i="35"/>
  <c r="CC90" i="35"/>
  <c r="CD90" i="35"/>
  <c r="A91" i="35"/>
  <c r="B91" i="35"/>
  <c r="C91" i="35"/>
  <c r="D91" i="35"/>
  <c r="E91" i="35"/>
  <c r="F91" i="35"/>
  <c r="G91" i="35"/>
  <c r="H91" i="35"/>
  <c r="I91" i="35"/>
  <c r="K91" i="35"/>
  <c r="L91" i="35"/>
  <c r="M91" i="35"/>
  <c r="N91" i="35"/>
  <c r="O91" i="35"/>
  <c r="P91" i="35"/>
  <c r="R91" i="35"/>
  <c r="S91" i="35"/>
  <c r="T91" i="35"/>
  <c r="U91" i="35"/>
  <c r="V91" i="35"/>
  <c r="W91" i="35"/>
  <c r="Y91" i="35"/>
  <c r="Z91" i="35"/>
  <c r="AA91" i="35"/>
  <c r="AB91" i="35"/>
  <c r="AC91" i="35"/>
  <c r="AD91" i="35"/>
  <c r="AF91" i="35"/>
  <c r="AG91" i="35"/>
  <c r="AH91" i="35"/>
  <c r="AI91" i="35"/>
  <c r="AN91" i="35"/>
  <c r="AO91" i="35"/>
  <c r="AP91" i="35"/>
  <c r="AQ91" i="35"/>
  <c r="AR91" i="35"/>
  <c r="AS91" i="35"/>
  <c r="AT91" i="35"/>
  <c r="AU91" i="35"/>
  <c r="AV91" i="35"/>
  <c r="AW91" i="35"/>
  <c r="AY91" i="35"/>
  <c r="AZ91" i="35"/>
  <c r="BA91" i="35"/>
  <c r="BB91" i="35"/>
  <c r="BC91" i="35"/>
  <c r="BD91" i="35"/>
  <c r="BE91" i="35"/>
  <c r="BF91" i="35"/>
  <c r="BG91" i="35"/>
  <c r="BH91" i="35"/>
  <c r="BJ91" i="35"/>
  <c r="BK91" i="35"/>
  <c r="BL91" i="35"/>
  <c r="BM91" i="35"/>
  <c r="BN91" i="35"/>
  <c r="BO91" i="35"/>
  <c r="BP91" i="35"/>
  <c r="BQ91" i="35"/>
  <c r="BR91" i="35"/>
  <c r="BS91" i="35"/>
  <c r="BU91" i="35"/>
  <c r="BV91" i="35"/>
  <c r="BW91" i="35"/>
  <c r="BX91" i="35"/>
  <c r="BY91" i="35"/>
  <c r="BZ91" i="35"/>
  <c r="CA91" i="35"/>
  <c r="CB91" i="35"/>
  <c r="CC91" i="35"/>
  <c r="CD91" i="35"/>
  <c r="A92" i="35"/>
  <c r="B92" i="35"/>
  <c r="C92" i="35"/>
  <c r="D92" i="35"/>
  <c r="E92" i="35"/>
  <c r="F92" i="35"/>
  <c r="G92" i="35"/>
  <c r="H92" i="35"/>
  <c r="I92" i="35"/>
  <c r="K92" i="35"/>
  <c r="L92" i="35"/>
  <c r="M92" i="35"/>
  <c r="N92" i="35"/>
  <c r="O92" i="35"/>
  <c r="P92" i="35"/>
  <c r="R92" i="35"/>
  <c r="S92" i="35"/>
  <c r="T92" i="35"/>
  <c r="U92" i="35"/>
  <c r="V92" i="35"/>
  <c r="W92" i="35"/>
  <c r="Y92" i="35"/>
  <c r="Z92" i="35"/>
  <c r="AA92" i="35"/>
  <c r="AB92" i="35"/>
  <c r="AC92" i="35"/>
  <c r="AD92" i="35"/>
  <c r="AF92" i="35"/>
  <c r="AG92" i="35"/>
  <c r="AH92" i="35"/>
  <c r="AI92" i="35"/>
  <c r="AN92" i="35"/>
  <c r="AO92" i="35"/>
  <c r="AP92" i="35"/>
  <c r="AQ92" i="35"/>
  <c r="AR92" i="35"/>
  <c r="AS92" i="35"/>
  <c r="AT92" i="35"/>
  <c r="AU92" i="35"/>
  <c r="AV92" i="35"/>
  <c r="AW92" i="35"/>
  <c r="AY92" i="35"/>
  <c r="AZ92" i="35"/>
  <c r="BA92" i="35"/>
  <c r="BB92" i="35"/>
  <c r="BC92" i="35"/>
  <c r="BD92" i="35"/>
  <c r="BE92" i="35"/>
  <c r="BF92" i="35"/>
  <c r="BG92" i="35"/>
  <c r="BH92" i="35"/>
  <c r="BJ92" i="35"/>
  <c r="BK92" i="35"/>
  <c r="BL92" i="35"/>
  <c r="BM92" i="35"/>
  <c r="BN92" i="35"/>
  <c r="BO92" i="35"/>
  <c r="BP92" i="35"/>
  <c r="BQ92" i="35"/>
  <c r="BR92" i="35"/>
  <c r="BS92" i="35"/>
  <c r="BU92" i="35"/>
  <c r="BV92" i="35"/>
  <c r="BW92" i="35"/>
  <c r="BX92" i="35"/>
  <c r="BY92" i="35"/>
  <c r="BZ92" i="35"/>
  <c r="CA92" i="35"/>
  <c r="CB92" i="35"/>
  <c r="CC92" i="35"/>
  <c r="CD92" i="35"/>
  <c r="A93" i="35"/>
  <c r="B93" i="35"/>
  <c r="C93" i="35"/>
  <c r="D93" i="35"/>
  <c r="E93" i="35"/>
  <c r="F93" i="35"/>
  <c r="G93" i="35"/>
  <c r="H93" i="35"/>
  <c r="I93" i="35"/>
  <c r="K93" i="35"/>
  <c r="L93" i="35"/>
  <c r="M93" i="35"/>
  <c r="N93" i="35"/>
  <c r="O93" i="35"/>
  <c r="P93" i="35"/>
  <c r="R93" i="35"/>
  <c r="S93" i="35"/>
  <c r="T93" i="35"/>
  <c r="U93" i="35"/>
  <c r="V93" i="35"/>
  <c r="W93" i="35"/>
  <c r="Y93" i="35"/>
  <c r="Z93" i="35"/>
  <c r="AA93" i="35"/>
  <c r="AB93" i="35"/>
  <c r="AC93" i="35"/>
  <c r="AD93" i="35"/>
  <c r="AF93" i="35"/>
  <c r="AG93" i="35"/>
  <c r="AH93" i="35"/>
  <c r="AI93" i="35"/>
  <c r="AN93" i="35"/>
  <c r="AO93" i="35"/>
  <c r="AP93" i="35"/>
  <c r="AQ93" i="35"/>
  <c r="AR93" i="35"/>
  <c r="AS93" i="35"/>
  <c r="AT93" i="35"/>
  <c r="AU93" i="35"/>
  <c r="AV93" i="35"/>
  <c r="AW93" i="35"/>
  <c r="AY93" i="35"/>
  <c r="AZ93" i="35"/>
  <c r="BA93" i="35"/>
  <c r="BB93" i="35"/>
  <c r="BC93" i="35"/>
  <c r="BD93" i="35"/>
  <c r="BE93" i="35"/>
  <c r="BF93" i="35"/>
  <c r="BG93" i="35"/>
  <c r="BH93" i="35"/>
  <c r="BJ93" i="35"/>
  <c r="BK93" i="35"/>
  <c r="BL93" i="35"/>
  <c r="BM93" i="35"/>
  <c r="BN93" i="35"/>
  <c r="BO93" i="35"/>
  <c r="BP93" i="35"/>
  <c r="BQ93" i="35"/>
  <c r="BR93" i="35"/>
  <c r="BS93" i="35"/>
  <c r="BU93" i="35"/>
  <c r="BV93" i="35"/>
  <c r="BW93" i="35"/>
  <c r="BX93" i="35"/>
  <c r="BY93" i="35"/>
  <c r="BZ93" i="35"/>
  <c r="CA93" i="35"/>
  <c r="CB93" i="35"/>
  <c r="CC93" i="35"/>
  <c r="CD93" i="35"/>
  <c r="A94" i="35"/>
  <c r="B94" i="35"/>
  <c r="C94" i="35"/>
  <c r="D94" i="35"/>
  <c r="E94" i="35"/>
  <c r="F94" i="35"/>
  <c r="G94" i="35"/>
  <c r="H94" i="35"/>
  <c r="I94" i="35"/>
  <c r="K94" i="35"/>
  <c r="L94" i="35"/>
  <c r="M94" i="35"/>
  <c r="N94" i="35"/>
  <c r="O94" i="35"/>
  <c r="P94" i="35"/>
  <c r="R94" i="35"/>
  <c r="S94" i="35"/>
  <c r="T94" i="35"/>
  <c r="U94" i="35"/>
  <c r="V94" i="35"/>
  <c r="W94" i="35"/>
  <c r="Y94" i="35"/>
  <c r="Z94" i="35"/>
  <c r="AA94" i="35"/>
  <c r="AB94" i="35"/>
  <c r="AC94" i="35"/>
  <c r="AD94" i="35"/>
  <c r="AF94" i="35"/>
  <c r="AG94" i="35"/>
  <c r="AH94" i="35"/>
  <c r="AI94" i="35"/>
  <c r="AN94" i="35"/>
  <c r="AO94" i="35"/>
  <c r="AP94" i="35"/>
  <c r="AQ94" i="35"/>
  <c r="AR94" i="35"/>
  <c r="AS94" i="35"/>
  <c r="AT94" i="35"/>
  <c r="AU94" i="35"/>
  <c r="AV94" i="35"/>
  <c r="AW94" i="35"/>
  <c r="AY94" i="35"/>
  <c r="AZ94" i="35"/>
  <c r="BA94" i="35"/>
  <c r="BB94" i="35"/>
  <c r="BC94" i="35"/>
  <c r="BD94" i="35"/>
  <c r="BE94" i="35"/>
  <c r="BF94" i="35"/>
  <c r="BG94" i="35"/>
  <c r="BH94" i="35"/>
  <c r="BJ94" i="35"/>
  <c r="BK94" i="35"/>
  <c r="BL94" i="35"/>
  <c r="BM94" i="35"/>
  <c r="BN94" i="35"/>
  <c r="BO94" i="35"/>
  <c r="BP94" i="35"/>
  <c r="BQ94" i="35"/>
  <c r="BR94" i="35"/>
  <c r="BS94" i="35"/>
  <c r="BU94" i="35"/>
  <c r="BV94" i="35"/>
  <c r="BW94" i="35"/>
  <c r="BX94" i="35"/>
  <c r="BY94" i="35"/>
  <c r="BZ94" i="35"/>
  <c r="CA94" i="35"/>
  <c r="CB94" i="35"/>
  <c r="CC94" i="35"/>
  <c r="CD94" i="35"/>
  <c r="A95" i="35"/>
  <c r="B95" i="35"/>
  <c r="C95" i="35"/>
  <c r="D95" i="35"/>
  <c r="E95" i="35"/>
  <c r="F95" i="35"/>
  <c r="G95" i="35"/>
  <c r="H95" i="35"/>
  <c r="I95" i="35"/>
  <c r="K95" i="35"/>
  <c r="L95" i="35"/>
  <c r="M95" i="35"/>
  <c r="N95" i="35"/>
  <c r="O95" i="35"/>
  <c r="P95" i="35"/>
  <c r="R95" i="35"/>
  <c r="S95" i="35"/>
  <c r="T95" i="35"/>
  <c r="U95" i="35"/>
  <c r="V95" i="35"/>
  <c r="W95" i="35"/>
  <c r="Y95" i="35"/>
  <c r="Z95" i="35"/>
  <c r="AA95" i="35"/>
  <c r="AB95" i="35"/>
  <c r="AC95" i="35"/>
  <c r="AD95" i="35"/>
  <c r="AF95" i="35"/>
  <c r="AG95" i="35"/>
  <c r="AH95" i="35"/>
  <c r="AI95" i="35"/>
  <c r="AN95" i="35"/>
  <c r="AO95" i="35"/>
  <c r="AP95" i="35"/>
  <c r="AQ95" i="35"/>
  <c r="AR95" i="35"/>
  <c r="AS95" i="35"/>
  <c r="AT95" i="35"/>
  <c r="AU95" i="35"/>
  <c r="AV95" i="35"/>
  <c r="AW95" i="35"/>
  <c r="AY95" i="35"/>
  <c r="AZ95" i="35"/>
  <c r="BA95" i="35"/>
  <c r="BB95" i="35"/>
  <c r="BC95" i="35"/>
  <c r="BD95" i="35"/>
  <c r="BE95" i="35"/>
  <c r="BF95" i="35"/>
  <c r="BG95" i="35"/>
  <c r="BH95" i="35"/>
  <c r="BJ95" i="35"/>
  <c r="BK95" i="35"/>
  <c r="BL95" i="35"/>
  <c r="BM95" i="35"/>
  <c r="BN95" i="35"/>
  <c r="BO95" i="35"/>
  <c r="BP95" i="35"/>
  <c r="BQ95" i="35"/>
  <c r="BR95" i="35"/>
  <c r="BS95" i="35"/>
  <c r="BU95" i="35"/>
  <c r="BV95" i="35"/>
  <c r="BW95" i="35"/>
  <c r="BX95" i="35"/>
  <c r="BY95" i="35"/>
  <c r="BZ95" i="35"/>
  <c r="CA95" i="35"/>
  <c r="CB95" i="35"/>
  <c r="CC95" i="35"/>
  <c r="CD95" i="35"/>
  <c r="A96" i="35"/>
  <c r="B96" i="35"/>
  <c r="C96" i="35"/>
  <c r="D96" i="35"/>
  <c r="E96" i="35"/>
  <c r="F96" i="35"/>
  <c r="G96" i="35"/>
  <c r="H96" i="35"/>
  <c r="I96" i="35"/>
  <c r="K96" i="35"/>
  <c r="L96" i="35"/>
  <c r="M96" i="35"/>
  <c r="N96" i="35"/>
  <c r="O96" i="35"/>
  <c r="P96" i="35"/>
  <c r="R96" i="35"/>
  <c r="S96" i="35"/>
  <c r="T96" i="35"/>
  <c r="U96" i="35"/>
  <c r="V96" i="35"/>
  <c r="W96" i="35"/>
  <c r="Y96" i="35"/>
  <c r="Z96" i="35"/>
  <c r="AA96" i="35"/>
  <c r="AB96" i="35"/>
  <c r="AC96" i="35"/>
  <c r="AD96" i="35"/>
  <c r="AF96" i="35"/>
  <c r="AG96" i="35"/>
  <c r="AH96" i="35"/>
  <c r="AI96" i="35"/>
  <c r="AN96" i="35"/>
  <c r="AO96" i="35"/>
  <c r="AP96" i="35"/>
  <c r="AQ96" i="35"/>
  <c r="AR96" i="35"/>
  <c r="AS96" i="35"/>
  <c r="AT96" i="35"/>
  <c r="AU96" i="35"/>
  <c r="AV96" i="35"/>
  <c r="AW96" i="35"/>
  <c r="AY96" i="35"/>
  <c r="AZ96" i="35"/>
  <c r="BA96" i="35"/>
  <c r="BB96" i="35"/>
  <c r="BC96" i="35"/>
  <c r="BD96" i="35"/>
  <c r="BE96" i="35"/>
  <c r="BF96" i="35"/>
  <c r="BG96" i="35"/>
  <c r="BH96" i="35"/>
  <c r="BJ96" i="35"/>
  <c r="BK96" i="35"/>
  <c r="BL96" i="35"/>
  <c r="BM96" i="35"/>
  <c r="BN96" i="35"/>
  <c r="BO96" i="35"/>
  <c r="BP96" i="35"/>
  <c r="BQ96" i="35"/>
  <c r="BR96" i="35"/>
  <c r="BS96" i="35"/>
  <c r="BU96" i="35"/>
  <c r="BV96" i="35"/>
  <c r="BW96" i="35"/>
  <c r="BX96" i="35"/>
  <c r="BY96" i="35"/>
  <c r="BZ96" i="35"/>
  <c r="CA96" i="35"/>
  <c r="CB96" i="35"/>
  <c r="CC96" i="35"/>
  <c r="CD96" i="35"/>
  <c r="A97" i="35"/>
  <c r="B97" i="35"/>
  <c r="C97" i="35"/>
  <c r="D97" i="35"/>
  <c r="E97" i="35"/>
  <c r="F97" i="35"/>
  <c r="G97" i="35"/>
  <c r="H97" i="35"/>
  <c r="I97" i="35"/>
  <c r="K97" i="35"/>
  <c r="L97" i="35"/>
  <c r="M97" i="35"/>
  <c r="N97" i="35"/>
  <c r="O97" i="35"/>
  <c r="P97" i="35"/>
  <c r="R97" i="35"/>
  <c r="S97" i="35"/>
  <c r="T97" i="35"/>
  <c r="U97" i="35"/>
  <c r="V97" i="35"/>
  <c r="W97" i="35"/>
  <c r="Y97" i="35"/>
  <c r="Z97" i="35"/>
  <c r="AA97" i="35"/>
  <c r="AB97" i="35"/>
  <c r="AC97" i="35"/>
  <c r="AD97" i="35"/>
  <c r="AF97" i="35"/>
  <c r="AG97" i="35"/>
  <c r="AH97" i="35"/>
  <c r="AI97" i="35"/>
  <c r="AN97" i="35"/>
  <c r="AO97" i="35"/>
  <c r="AP97" i="35"/>
  <c r="AQ97" i="35"/>
  <c r="AR97" i="35"/>
  <c r="AS97" i="35"/>
  <c r="AT97" i="35"/>
  <c r="AU97" i="35"/>
  <c r="AV97" i="35"/>
  <c r="AW97" i="35"/>
  <c r="AY97" i="35"/>
  <c r="AZ97" i="35"/>
  <c r="BA97" i="35"/>
  <c r="BB97" i="35"/>
  <c r="BC97" i="35"/>
  <c r="BD97" i="35"/>
  <c r="BE97" i="35"/>
  <c r="BF97" i="35"/>
  <c r="BG97" i="35"/>
  <c r="BH97" i="35"/>
  <c r="BJ97" i="35"/>
  <c r="BK97" i="35"/>
  <c r="BL97" i="35"/>
  <c r="BM97" i="35"/>
  <c r="BN97" i="35"/>
  <c r="BO97" i="35"/>
  <c r="BP97" i="35"/>
  <c r="BQ97" i="35"/>
  <c r="BR97" i="35"/>
  <c r="BS97" i="35"/>
  <c r="BU97" i="35"/>
  <c r="BV97" i="35"/>
  <c r="BW97" i="35"/>
  <c r="BX97" i="35"/>
  <c r="BY97" i="35"/>
  <c r="BZ97" i="35"/>
  <c r="CA97" i="35"/>
  <c r="CB97" i="35"/>
  <c r="CC97" i="35"/>
  <c r="CD97" i="35"/>
  <c r="A98" i="35"/>
  <c r="B98" i="35"/>
  <c r="C98" i="35"/>
  <c r="D98" i="35"/>
  <c r="E98" i="35"/>
  <c r="F98" i="35"/>
  <c r="G98" i="35"/>
  <c r="H98" i="35"/>
  <c r="I98" i="35"/>
  <c r="K98" i="35"/>
  <c r="L98" i="35"/>
  <c r="M98" i="35"/>
  <c r="N98" i="35"/>
  <c r="O98" i="35"/>
  <c r="P98" i="35"/>
  <c r="R98" i="35"/>
  <c r="S98" i="35"/>
  <c r="T98" i="35"/>
  <c r="U98" i="35"/>
  <c r="V98" i="35"/>
  <c r="W98" i="35"/>
  <c r="Y98" i="35"/>
  <c r="Z98" i="35"/>
  <c r="AA98" i="35"/>
  <c r="AB98" i="35"/>
  <c r="AC98" i="35"/>
  <c r="AD98" i="35"/>
  <c r="AF98" i="35"/>
  <c r="AG98" i="35"/>
  <c r="AH98" i="35"/>
  <c r="AI98" i="35"/>
  <c r="AN98" i="35"/>
  <c r="AO98" i="35"/>
  <c r="AP98" i="35"/>
  <c r="AQ98" i="35"/>
  <c r="AR98" i="35"/>
  <c r="AS98" i="35"/>
  <c r="AT98" i="35"/>
  <c r="AU98" i="35"/>
  <c r="AV98" i="35"/>
  <c r="AW98" i="35"/>
  <c r="AY98" i="35"/>
  <c r="AZ98" i="35"/>
  <c r="BA98" i="35"/>
  <c r="BB98" i="35"/>
  <c r="BC98" i="35"/>
  <c r="BD98" i="35"/>
  <c r="BE98" i="35"/>
  <c r="BF98" i="35"/>
  <c r="BG98" i="35"/>
  <c r="BH98" i="35"/>
  <c r="BJ98" i="35"/>
  <c r="BK98" i="35"/>
  <c r="BL98" i="35"/>
  <c r="BM98" i="35"/>
  <c r="BN98" i="35"/>
  <c r="BO98" i="35"/>
  <c r="BP98" i="35"/>
  <c r="BQ98" i="35"/>
  <c r="BR98" i="35"/>
  <c r="BS98" i="35"/>
  <c r="BU98" i="35"/>
  <c r="BV98" i="35"/>
  <c r="BW98" i="35"/>
  <c r="BX98" i="35"/>
  <c r="BY98" i="35"/>
  <c r="BZ98" i="35"/>
  <c r="CA98" i="35"/>
  <c r="CB98" i="35"/>
  <c r="CC98" i="35"/>
  <c r="CD98" i="35"/>
  <c r="A99" i="35"/>
  <c r="B99" i="35"/>
  <c r="C99" i="35"/>
  <c r="D99" i="35"/>
  <c r="E99" i="35"/>
  <c r="F99" i="35"/>
  <c r="G99" i="35"/>
  <c r="H99" i="35"/>
  <c r="I99" i="35"/>
  <c r="K99" i="35"/>
  <c r="L99" i="35"/>
  <c r="M99" i="35"/>
  <c r="N99" i="35"/>
  <c r="O99" i="35"/>
  <c r="P99" i="35"/>
  <c r="R99" i="35"/>
  <c r="S99" i="35"/>
  <c r="T99" i="35"/>
  <c r="U99" i="35"/>
  <c r="V99" i="35"/>
  <c r="W99" i="35"/>
  <c r="Y99" i="35"/>
  <c r="Z99" i="35"/>
  <c r="AA99" i="35"/>
  <c r="AB99" i="35"/>
  <c r="AC99" i="35"/>
  <c r="AD99" i="35"/>
  <c r="AF99" i="35"/>
  <c r="AG99" i="35"/>
  <c r="AH99" i="35"/>
  <c r="AI99" i="35"/>
  <c r="AN99" i="35"/>
  <c r="AO99" i="35"/>
  <c r="AP99" i="35"/>
  <c r="AQ99" i="35"/>
  <c r="AR99" i="35"/>
  <c r="AS99" i="35"/>
  <c r="AT99" i="35"/>
  <c r="AU99" i="35"/>
  <c r="AV99" i="35"/>
  <c r="AW99" i="35"/>
  <c r="AY99" i="35"/>
  <c r="AZ99" i="35"/>
  <c r="BA99" i="35"/>
  <c r="BB99" i="35"/>
  <c r="BC99" i="35"/>
  <c r="BD99" i="35"/>
  <c r="BE99" i="35"/>
  <c r="BF99" i="35"/>
  <c r="BG99" i="35"/>
  <c r="BH99" i="35"/>
  <c r="BJ99" i="35"/>
  <c r="BK99" i="35"/>
  <c r="BL99" i="35"/>
  <c r="BM99" i="35"/>
  <c r="BN99" i="35"/>
  <c r="BO99" i="35"/>
  <c r="BP99" i="35"/>
  <c r="BQ99" i="35"/>
  <c r="BR99" i="35"/>
  <c r="BS99" i="35"/>
  <c r="BU99" i="35"/>
  <c r="BV99" i="35"/>
  <c r="BW99" i="35"/>
  <c r="BX99" i="35"/>
  <c r="BY99" i="35"/>
  <c r="BZ99" i="35"/>
  <c r="CA99" i="35"/>
  <c r="CB99" i="35"/>
  <c r="CC99" i="35"/>
  <c r="CD99" i="35"/>
  <c r="A100" i="35"/>
  <c r="B100" i="35"/>
  <c r="C100" i="35"/>
  <c r="D100" i="35"/>
  <c r="E100" i="35"/>
  <c r="F100" i="35"/>
  <c r="G100" i="35"/>
  <c r="H100" i="35"/>
  <c r="I100" i="35"/>
  <c r="K100" i="35"/>
  <c r="L100" i="35"/>
  <c r="M100" i="35"/>
  <c r="N100" i="35"/>
  <c r="O100" i="35"/>
  <c r="P100" i="35"/>
  <c r="R100" i="35"/>
  <c r="S100" i="35"/>
  <c r="T100" i="35"/>
  <c r="U100" i="35"/>
  <c r="V100" i="35"/>
  <c r="W100" i="35"/>
  <c r="Y100" i="35"/>
  <c r="Z100" i="35"/>
  <c r="AA100" i="35"/>
  <c r="AB100" i="35"/>
  <c r="AC100" i="35"/>
  <c r="AD100" i="35"/>
  <c r="AF100" i="35"/>
  <c r="AG100" i="35"/>
  <c r="AH100" i="35"/>
  <c r="AI100" i="35"/>
  <c r="AN100" i="35"/>
  <c r="AO100" i="35"/>
  <c r="AP100" i="35"/>
  <c r="AQ100" i="35"/>
  <c r="AR100" i="35"/>
  <c r="AS100" i="35"/>
  <c r="AT100" i="35"/>
  <c r="AU100" i="35"/>
  <c r="AV100" i="35"/>
  <c r="AW100" i="35"/>
  <c r="AY100" i="35"/>
  <c r="AZ100" i="35"/>
  <c r="BA100" i="35"/>
  <c r="BB100" i="35"/>
  <c r="BC100" i="35"/>
  <c r="BD100" i="35"/>
  <c r="BE100" i="35"/>
  <c r="BF100" i="35"/>
  <c r="BG100" i="35"/>
  <c r="BH100" i="35"/>
  <c r="BJ100" i="35"/>
  <c r="BK100" i="35"/>
  <c r="BL100" i="35"/>
  <c r="BM100" i="35"/>
  <c r="BN100" i="35"/>
  <c r="BO100" i="35"/>
  <c r="BP100" i="35"/>
  <c r="BQ100" i="35"/>
  <c r="BR100" i="35"/>
  <c r="BS100" i="35"/>
  <c r="BU100" i="35"/>
  <c r="BV100" i="35"/>
  <c r="BW100" i="35"/>
  <c r="BX100" i="35"/>
  <c r="BY100" i="35"/>
  <c r="BZ100" i="35"/>
  <c r="CA100" i="35"/>
  <c r="CB100" i="35"/>
  <c r="CC100" i="35"/>
  <c r="CD100" i="35"/>
  <c r="A101" i="35"/>
  <c r="B101" i="35"/>
  <c r="C101" i="35"/>
  <c r="D101" i="35"/>
  <c r="E101" i="35"/>
  <c r="F101" i="35"/>
  <c r="G101" i="35"/>
  <c r="H101" i="35"/>
  <c r="I101" i="35"/>
  <c r="K101" i="35"/>
  <c r="L101" i="35"/>
  <c r="M101" i="35"/>
  <c r="N101" i="35"/>
  <c r="O101" i="35"/>
  <c r="P101" i="35"/>
  <c r="R101" i="35"/>
  <c r="S101" i="35"/>
  <c r="T101" i="35"/>
  <c r="U101" i="35"/>
  <c r="V101" i="35"/>
  <c r="W101" i="35"/>
  <c r="Y101" i="35"/>
  <c r="Z101" i="35"/>
  <c r="AA101" i="35"/>
  <c r="AB101" i="35"/>
  <c r="AC101" i="35"/>
  <c r="AD101" i="35"/>
  <c r="AF101" i="35"/>
  <c r="AG101" i="35"/>
  <c r="AH101" i="35"/>
  <c r="AI101" i="35"/>
  <c r="AN101" i="35"/>
  <c r="AO101" i="35"/>
  <c r="AP101" i="35"/>
  <c r="AQ101" i="35"/>
  <c r="AR101" i="35"/>
  <c r="AS101" i="35"/>
  <c r="AT101" i="35"/>
  <c r="AU101" i="35"/>
  <c r="AV101" i="35"/>
  <c r="AW101" i="35"/>
  <c r="AY101" i="35"/>
  <c r="AZ101" i="35"/>
  <c r="BA101" i="35"/>
  <c r="BB101" i="35"/>
  <c r="BC101" i="35"/>
  <c r="BD101" i="35"/>
  <c r="BE101" i="35"/>
  <c r="BF101" i="35"/>
  <c r="BG101" i="35"/>
  <c r="BH101" i="35"/>
  <c r="BJ101" i="35"/>
  <c r="BK101" i="35"/>
  <c r="BL101" i="35"/>
  <c r="BM101" i="35"/>
  <c r="BN101" i="35"/>
  <c r="BO101" i="35"/>
  <c r="BP101" i="35"/>
  <c r="BQ101" i="35"/>
  <c r="BR101" i="35"/>
  <c r="BS101" i="35"/>
  <c r="BU101" i="35"/>
  <c r="BV101" i="35"/>
  <c r="BW101" i="35"/>
  <c r="BX101" i="35"/>
  <c r="BY101" i="35"/>
  <c r="BZ101" i="35"/>
  <c r="CA101" i="35"/>
  <c r="CB101" i="35"/>
  <c r="CC101" i="35"/>
  <c r="CD101" i="35"/>
  <c r="A102" i="35"/>
  <c r="B102" i="35"/>
  <c r="C102" i="35"/>
  <c r="D102" i="35"/>
  <c r="E102" i="35"/>
  <c r="F102" i="35"/>
  <c r="G102" i="35"/>
  <c r="H102" i="35"/>
  <c r="I102" i="35"/>
  <c r="K102" i="35"/>
  <c r="L102" i="35"/>
  <c r="M102" i="35"/>
  <c r="N102" i="35"/>
  <c r="O102" i="35"/>
  <c r="P102" i="35"/>
  <c r="R102" i="35"/>
  <c r="S102" i="35"/>
  <c r="T102" i="35"/>
  <c r="U102" i="35"/>
  <c r="V102" i="35"/>
  <c r="W102" i="35"/>
  <c r="Y102" i="35"/>
  <c r="Z102" i="35"/>
  <c r="AA102" i="35"/>
  <c r="AB102" i="35"/>
  <c r="AC102" i="35"/>
  <c r="AD102" i="35"/>
  <c r="AF102" i="35"/>
  <c r="AG102" i="35"/>
  <c r="AH102" i="35"/>
  <c r="AI102" i="35"/>
  <c r="AN102" i="35"/>
  <c r="AO102" i="35"/>
  <c r="AP102" i="35"/>
  <c r="AQ102" i="35"/>
  <c r="AR102" i="35"/>
  <c r="AS102" i="35"/>
  <c r="AT102" i="35"/>
  <c r="AU102" i="35"/>
  <c r="AV102" i="35"/>
  <c r="AW102" i="35"/>
  <c r="AY102" i="35"/>
  <c r="AZ102" i="35"/>
  <c r="BA102" i="35"/>
  <c r="BB102" i="35"/>
  <c r="BC102" i="35"/>
  <c r="BD102" i="35"/>
  <c r="BE102" i="35"/>
  <c r="BF102" i="35"/>
  <c r="BG102" i="35"/>
  <c r="BH102" i="35"/>
  <c r="BJ102" i="35"/>
  <c r="BK102" i="35"/>
  <c r="BL102" i="35"/>
  <c r="BM102" i="35"/>
  <c r="BN102" i="35"/>
  <c r="BO102" i="35"/>
  <c r="BP102" i="35"/>
  <c r="BQ102" i="35"/>
  <c r="BR102" i="35"/>
  <c r="BS102" i="35"/>
  <c r="BU102" i="35"/>
  <c r="BV102" i="35"/>
  <c r="BW102" i="35"/>
  <c r="BX102" i="35"/>
  <c r="BY102" i="35"/>
  <c r="BZ102" i="35"/>
  <c r="CA102" i="35"/>
  <c r="CB102" i="35"/>
  <c r="CC102" i="35"/>
  <c r="CD102" i="35"/>
  <c r="A103" i="35"/>
  <c r="B103" i="35"/>
  <c r="C103" i="35"/>
  <c r="D103" i="35"/>
  <c r="E103" i="35"/>
  <c r="F103" i="35"/>
  <c r="G103" i="35"/>
  <c r="H103" i="35"/>
  <c r="I103" i="35"/>
  <c r="K103" i="35"/>
  <c r="L103" i="35"/>
  <c r="M103" i="35"/>
  <c r="N103" i="35"/>
  <c r="O103" i="35"/>
  <c r="P103" i="35"/>
  <c r="R103" i="35"/>
  <c r="S103" i="35"/>
  <c r="T103" i="35"/>
  <c r="U103" i="35"/>
  <c r="V103" i="35"/>
  <c r="W103" i="35"/>
  <c r="Y103" i="35"/>
  <c r="Z103" i="35"/>
  <c r="AA103" i="35"/>
  <c r="AB103" i="35"/>
  <c r="AC103" i="35"/>
  <c r="AD103" i="35"/>
  <c r="AF103" i="35"/>
  <c r="AG103" i="35"/>
  <c r="AH103" i="35"/>
  <c r="AI103" i="35"/>
  <c r="AN103" i="35"/>
  <c r="AO103" i="35"/>
  <c r="AP103" i="35"/>
  <c r="AQ103" i="35"/>
  <c r="AR103" i="35"/>
  <c r="AS103" i="35"/>
  <c r="AT103" i="35"/>
  <c r="AU103" i="35"/>
  <c r="AV103" i="35"/>
  <c r="AW103" i="35"/>
  <c r="AY103" i="35"/>
  <c r="AZ103" i="35"/>
  <c r="BA103" i="35"/>
  <c r="BB103" i="35"/>
  <c r="BC103" i="35"/>
  <c r="BD103" i="35"/>
  <c r="BE103" i="35"/>
  <c r="BF103" i="35"/>
  <c r="BG103" i="35"/>
  <c r="BH103" i="35"/>
  <c r="BJ103" i="35"/>
  <c r="BK103" i="35"/>
  <c r="BL103" i="35"/>
  <c r="BM103" i="35"/>
  <c r="BN103" i="35"/>
  <c r="BO103" i="35"/>
  <c r="BP103" i="35"/>
  <c r="BQ103" i="35"/>
  <c r="BR103" i="35"/>
  <c r="BS103" i="35"/>
  <c r="BU103" i="35"/>
  <c r="BV103" i="35"/>
  <c r="BW103" i="35"/>
  <c r="BX103" i="35"/>
  <c r="BY103" i="35"/>
  <c r="BZ103" i="35"/>
  <c r="CA103" i="35"/>
  <c r="CB103" i="35"/>
  <c r="CC103" i="35"/>
  <c r="CD103" i="35"/>
  <c r="A104" i="35"/>
  <c r="B104" i="35"/>
  <c r="C104" i="35"/>
  <c r="D104" i="35"/>
  <c r="E104" i="35"/>
  <c r="F104" i="35"/>
  <c r="G104" i="35"/>
  <c r="H104" i="35"/>
  <c r="I104" i="35"/>
  <c r="K104" i="35"/>
  <c r="L104" i="35"/>
  <c r="M104" i="35"/>
  <c r="N104" i="35"/>
  <c r="O104" i="35"/>
  <c r="P104" i="35"/>
  <c r="R104" i="35"/>
  <c r="S104" i="35"/>
  <c r="T104" i="35"/>
  <c r="U104" i="35"/>
  <c r="V104" i="35"/>
  <c r="W104" i="35"/>
  <c r="Y104" i="35"/>
  <c r="Z104" i="35"/>
  <c r="AA104" i="35"/>
  <c r="AB104" i="35"/>
  <c r="AC104" i="35"/>
  <c r="AD104" i="35"/>
  <c r="AF104" i="35"/>
  <c r="AG104" i="35"/>
  <c r="AH104" i="35"/>
  <c r="AI104" i="35"/>
  <c r="AN104" i="35"/>
  <c r="AO104" i="35"/>
  <c r="AP104" i="35"/>
  <c r="AQ104" i="35"/>
  <c r="AR104" i="35"/>
  <c r="AS104" i="35"/>
  <c r="AT104" i="35"/>
  <c r="AU104" i="35"/>
  <c r="AV104" i="35"/>
  <c r="AW104" i="35"/>
  <c r="AY104" i="35"/>
  <c r="AZ104" i="35"/>
  <c r="BA104" i="35"/>
  <c r="BB104" i="35"/>
  <c r="BC104" i="35"/>
  <c r="BD104" i="35"/>
  <c r="BE104" i="35"/>
  <c r="BF104" i="35"/>
  <c r="BG104" i="35"/>
  <c r="BH104" i="35"/>
  <c r="BJ104" i="35"/>
  <c r="BK104" i="35"/>
  <c r="BL104" i="35"/>
  <c r="BM104" i="35"/>
  <c r="BN104" i="35"/>
  <c r="BO104" i="35"/>
  <c r="BP104" i="35"/>
  <c r="BQ104" i="35"/>
  <c r="BR104" i="35"/>
  <c r="BS104" i="35"/>
  <c r="BU104" i="35"/>
  <c r="BV104" i="35"/>
  <c r="BW104" i="35"/>
  <c r="BX104" i="35"/>
  <c r="BY104" i="35"/>
  <c r="BZ104" i="35"/>
  <c r="CA104" i="35"/>
  <c r="CB104" i="35"/>
  <c r="CC104" i="35"/>
  <c r="CD104" i="35"/>
  <c r="A105" i="35"/>
  <c r="B105" i="35"/>
  <c r="C105" i="35"/>
  <c r="D105" i="35"/>
  <c r="E105" i="35"/>
  <c r="F105" i="35"/>
  <c r="G105" i="35"/>
  <c r="H105" i="35"/>
  <c r="I105" i="35"/>
  <c r="K105" i="35"/>
  <c r="L105" i="35"/>
  <c r="M105" i="35"/>
  <c r="N105" i="35"/>
  <c r="O105" i="35"/>
  <c r="P105" i="35"/>
  <c r="R105" i="35"/>
  <c r="S105" i="35"/>
  <c r="T105" i="35"/>
  <c r="U105" i="35"/>
  <c r="V105" i="35"/>
  <c r="W105" i="35"/>
  <c r="Y105" i="35"/>
  <c r="Z105" i="35"/>
  <c r="AA105" i="35"/>
  <c r="AB105" i="35"/>
  <c r="AC105" i="35"/>
  <c r="AD105" i="35"/>
  <c r="AF105" i="35"/>
  <c r="AG105" i="35"/>
  <c r="AH105" i="35"/>
  <c r="AI105" i="35"/>
  <c r="AN105" i="35"/>
  <c r="AO105" i="35"/>
  <c r="AP105" i="35"/>
  <c r="AQ105" i="35"/>
  <c r="AR105" i="35"/>
  <c r="AS105" i="35"/>
  <c r="AT105" i="35"/>
  <c r="AU105" i="35"/>
  <c r="AV105" i="35"/>
  <c r="AW105" i="35"/>
  <c r="AY105" i="35"/>
  <c r="AZ105" i="35"/>
  <c r="BA105" i="35"/>
  <c r="BB105" i="35"/>
  <c r="BC105" i="35"/>
  <c r="BD105" i="35"/>
  <c r="BE105" i="35"/>
  <c r="BF105" i="35"/>
  <c r="BG105" i="35"/>
  <c r="BH105" i="35"/>
  <c r="BJ105" i="35"/>
  <c r="BK105" i="35"/>
  <c r="BL105" i="35"/>
  <c r="BM105" i="35"/>
  <c r="BN105" i="35"/>
  <c r="BO105" i="35"/>
  <c r="BP105" i="35"/>
  <c r="BQ105" i="35"/>
  <c r="BR105" i="35"/>
  <c r="BS105" i="35"/>
  <c r="BU105" i="35"/>
  <c r="BV105" i="35"/>
  <c r="BW105" i="35"/>
  <c r="BX105" i="35"/>
  <c r="BY105" i="35"/>
  <c r="BZ105" i="35"/>
  <c r="CA105" i="35"/>
  <c r="CB105" i="35"/>
  <c r="CC105" i="35"/>
  <c r="CD105" i="35"/>
  <c r="A106" i="35"/>
  <c r="B106" i="35"/>
  <c r="C106" i="35"/>
  <c r="D106" i="35"/>
  <c r="E106" i="35"/>
  <c r="F106" i="35"/>
  <c r="G106" i="35"/>
  <c r="H106" i="35"/>
  <c r="I106" i="35"/>
  <c r="K106" i="35"/>
  <c r="L106" i="35"/>
  <c r="M106" i="35"/>
  <c r="N106" i="35"/>
  <c r="O106" i="35"/>
  <c r="P106" i="35"/>
  <c r="R106" i="35"/>
  <c r="S106" i="35"/>
  <c r="T106" i="35"/>
  <c r="U106" i="35"/>
  <c r="V106" i="35"/>
  <c r="W106" i="35"/>
  <c r="Y106" i="35"/>
  <c r="Z106" i="35"/>
  <c r="AA106" i="35"/>
  <c r="AB106" i="35"/>
  <c r="AC106" i="35"/>
  <c r="AD106" i="35"/>
  <c r="AF106" i="35"/>
  <c r="AG106" i="35"/>
  <c r="AH106" i="35"/>
  <c r="AI106" i="35"/>
  <c r="AN106" i="35"/>
  <c r="AO106" i="35"/>
  <c r="AP106" i="35"/>
  <c r="AQ106" i="35"/>
  <c r="AR106" i="35"/>
  <c r="AS106" i="35"/>
  <c r="AT106" i="35"/>
  <c r="AU106" i="35"/>
  <c r="AV106" i="35"/>
  <c r="AW106" i="35"/>
  <c r="AY106" i="35"/>
  <c r="AZ106" i="35"/>
  <c r="BA106" i="35"/>
  <c r="BB106" i="35"/>
  <c r="BC106" i="35"/>
  <c r="BD106" i="35"/>
  <c r="BE106" i="35"/>
  <c r="BF106" i="35"/>
  <c r="BG106" i="35"/>
  <c r="BH106" i="35"/>
  <c r="BJ106" i="35"/>
  <c r="BK106" i="35"/>
  <c r="BL106" i="35"/>
  <c r="BM106" i="35"/>
  <c r="BN106" i="35"/>
  <c r="BO106" i="35"/>
  <c r="BP106" i="35"/>
  <c r="BQ106" i="35"/>
  <c r="BR106" i="35"/>
  <c r="BS106" i="35"/>
  <c r="BU106" i="35"/>
  <c r="BV106" i="35"/>
  <c r="BW106" i="35"/>
  <c r="BX106" i="35"/>
  <c r="BY106" i="35"/>
  <c r="BZ106" i="35"/>
  <c r="CA106" i="35"/>
  <c r="CB106" i="35"/>
  <c r="CC106" i="35"/>
  <c r="CD106" i="35"/>
  <c r="A107" i="35"/>
  <c r="B107" i="35"/>
  <c r="C107" i="35"/>
  <c r="D107" i="35"/>
  <c r="E107" i="35"/>
  <c r="F107" i="35"/>
  <c r="G107" i="35"/>
  <c r="H107" i="35"/>
  <c r="I107" i="35"/>
  <c r="K107" i="35"/>
  <c r="L107" i="35"/>
  <c r="M107" i="35"/>
  <c r="N107" i="35"/>
  <c r="O107" i="35"/>
  <c r="P107" i="35"/>
  <c r="R107" i="35"/>
  <c r="S107" i="35"/>
  <c r="T107" i="35"/>
  <c r="U107" i="35"/>
  <c r="V107" i="35"/>
  <c r="W107" i="35"/>
  <c r="Y107" i="35"/>
  <c r="Z107" i="35"/>
  <c r="AA107" i="35"/>
  <c r="AB107" i="35"/>
  <c r="AC107" i="35"/>
  <c r="AD107" i="35"/>
  <c r="AF107" i="35"/>
  <c r="AG107" i="35"/>
  <c r="AH107" i="35"/>
  <c r="AI107" i="35"/>
  <c r="AN107" i="35"/>
  <c r="AO107" i="35"/>
  <c r="AP107" i="35"/>
  <c r="AQ107" i="35"/>
  <c r="AR107" i="35"/>
  <c r="AS107" i="35"/>
  <c r="AT107" i="35"/>
  <c r="AU107" i="35"/>
  <c r="AV107" i="35"/>
  <c r="AW107" i="35"/>
  <c r="AY107" i="35"/>
  <c r="AZ107" i="35"/>
  <c r="BA107" i="35"/>
  <c r="BB107" i="35"/>
  <c r="BC107" i="35"/>
  <c r="BD107" i="35"/>
  <c r="BE107" i="35"/>
  <c r="BF107" i="35"/>
  <c r="BG107" i="35"/>
  <c r="BH107" i="35"/>
  <c r="BJ107" i="35"/>
  <c r="BK107" i="35"/>
  <c r="BL107" i="35"/>
  <c r="BM107" i="35"/>
  <c r="BN107" i="35"/>
  <c r="BO107" i="35"/>
  <c r="BP107" i="35"/>
  <c r="BQ107" i="35"/>
  <c r="BR107" i="35"/>
  <c r="BS107" i="35"/>
  <c r="BU107" i="35"/>
  <c r="BV107" i="35"/>
  <c r="BW107" i="35"/>
  <c r="BX107" i="35"/>
  <c r="BY107" i="35"/>
  <c r="BZ107" i="35"/>
  <c r="CA107" i="35"/>
  <c r="CB107" i="35"/>
  <c r="CC107" i="35"/>
  <c r="CD107" i="35"/>
  <c r="A108" i="35"/>
  <c r="B108" i="35"/>
  <c r="C108" i="35"/>
  <c r="D108" i="35"/>
  <c r="E108" i="35"/>
  <c r="F108" i="35"/>
  <c r="G108" i="35"/>
  <c r="H108" i="35"/>
  <c r="I108" i="35"/>
  <c r="K108" i="35"/>
  <c r="L108" i="35"/>
  <c r="M108" i="35"/>
  <c r="N108" i="35"/>
  <c r="O108" i="35"/>
  <c r="P108" i="35"/>
  <c r="R108" i="35"/>
  <c r="S108" i="35"/>
  <c r="T108" i="35"/>
  <c r="U108" i="35"/>
  <c r="V108" i="35"/>
  <c r="W108" i="35"/>
  <c r="Y108" i="35"/>
  <c r="Z108" i="35"/>
  <c r="AA108" i="35"/>
  <c r="AB108" i="35"/>
  <c r="AC108" i="35"/>
  <c r="AD108" i="35"/>
  <c r="AF108" i="35"/>
  <c r="AG108" i="35"/>
  <c r="AH108" i="35"/>
  <c r="AI108" i="35"/>
  <c r="AN108" i="35"/>
  <c r="AO108" i="35"/>
  <c r="AP108" i="35"/>
  <c r="AQ108" i="35"/>
  <c r="AR108" i="35"/>
  <c r="AS108" i="35"/>
  <c r="AT108" i="35"/>
  <c r="AU108" i="35"/>
  <c r="AV108" i="35"/>
  <c r="AW108" i="35"/>
  <c r="AY108" i="35"/>
  <c r="AZ108" i="35"/>
  <c r="BA108" i="35"/>
  <c r="BB108" i="35"/>
  <c r="BC108" i="35"/>
  <c r="BD108" i="35"/>
  <c r="BE108" i="35"/>
  <c r="BF108" i="35"/>
  <c r="BG108" i="35"/>
  <c r="BH108" i="35"/>
  <c r="BJ108" i="35"/>
  <c r="BK108" i="35"/>
  <c r="BL108" i="35"/>
  <c r="BM108" i="35"/>
  <c r="BN108" i="35"/>
  <c r="BO108" i="35"/>
  <c r="BP108" i="35"/>
  <c r="BQ108" i="35"/>
  <c r="BR108" i="35"/>
  <c r="BS108" i="35"/>
  <c r="BU108" i="35"/>
  <c r="BV108" i="35"/>
  <c r="BW108" i="35"/>
  <c r="BX108" i="35"/>
  <c r="BY108" i="35"/>
  <c r="BZ108" i="35"/>
  <c r="CA108" i="35"/>
  <c r="CB108" i="35"/>
  <c r="CC108" i="35"/>
  <c r="CD108" i="35"/>
  <c r="A109" i="35"/>
  <c r="B109" i="35"/>
  <c r="C109" i="35"/>
  <c r="D109" i="35"/>
  <c r="E109" i="35"/>
  <c r="F109" i="35"/>
  <c r="G109" i="35"/>
  <c r="H109" i="35"/>
  <c r="I109" i="35"/>
  <c r="K109" i="35"/>
  <c r="L109" i="35"/>
  <c r="M109" i="35"/>
  <c r="N109" i="35"/>
  <c r="O109" i="35"/>
  <c r="P109" i="35"/>
  <c r="R109" i="35"/>
  <c r="S109" i="35"/>
  <c r="T109" i="35"/>
  <c r="U109" i="35"/>
  <c r="V109" i="35"/>
  <c r="W109" i="35"/>
  <c r="Y109" i="35"/>
  <c r="Z109" i="35"/>
  <c r="AA109" i="35"/>
  <c r="AB109" i="35"/>
  <c r="AC109" i="35"/>
  <c r="AD109" i="35"/>
  <c r="AF109" i="35"/>
  <c r="AG109" i="35"/>
  <c r="AH109" i="35"/>
  <c r="AI109" i="35"/>
  <c r="AN109" i="35"/>
  <c r="AO109" i="35"/>
  <c r="AP109" i="35"/>
  <c r="AQ109" i="35"/>
  <c r="AR109" i="35"/>
  <c r="AS109" i="35"/>
  <c r="AT109" i="35"/>
  <c r="AU109" i="35"/>
  <c r="AV109" i="35"/>
  <c r="AW109" i="35"/>
  <c r="AY109" i="35"/>
  <c r="AZ109" i="35"/>
  <c r="BA109" i="35"/>
  <c r="BB109" i="35"/>
  <c r="BC109" i="35"/>
  <c r="BD109" i="35"/>
  <c r="BE109" i="35"/>
  <c r="BF109" i="35"/>
  <c r="BG109" i="35"/>
  <c r="BH109" i="35"/>
  <c r="BJ109" i="35"/>
  <c r="BK109" i="35"/>
  <c r="BL109" i="35"/>
  <c r="BM109" i="35"/>
  <c r="BN109" i="35"/>
  <c r="BO109" i="35"/>
  <c r="BP109" i="35"/>
  <c r="BQ109" i="35"/>
  <c r="BR109" i="35"/>
  <c r="BS109" i="35"/>
  <c r="BU109" i="35"/>
  <c r="BV109" i="35"/>
  <c r="BW109" i="35"/>
  <c r="BX109" i="35"/>
  <c r="BY109" i="35"/>
  <c r="BZ109" i="35"/>
  <c r="CA109" i="35"/>
  <c r="CB109" i="35"/>
  <c r="CC109" i="35"/>
  <c r="CD109" i="35"/>
  <c r="A110" i="35"/>
  <c r="B110" i="35"/>
  <c r="C110" i="35"/>
  <c r="D110" i="35"/>
  <c r="E110" i="35"/>
  <c r="F110" i="35"/>
  <c r="G110" i="35"/>
  <c r="H110" i="35"/>
  <c r="I110" i="35"/>
  <c r="K110" i="35"/>
  <c r="L110" i="35"/>
  <c r="M110" i="35"/>
  <c r="N110" i="35"/>
  <c r="O110" i="35"/>
  <c r="P110" i="35"/>
  <c r="R110" i="35"/>
  <c r="S110" i="35"/>
  <c r="T110" i="35"/>
  <c r="U110" i="35"/>
  <c r="V110" i="35"/>
  <c r="W110" i="35"/>
  <c r="Y110" i="35"/>
  <c r="Z110" i="35"/>
  <c r="AA110" i="35"/>
  <c r="AB110" i="35"/>
  <c r="AC110" i="35"/>
  <c r="AD110" i="35"/>
  <c r="AF110" i="35"/>
  <c r="AG110" i="35"/>
  <c r="AH110" i="35"/>
  <c r="AI110" i="35"/>
  <c r="AN110" i="35"/>
  <c r="AO110" i="35"/>
  <c r="AP110" i="35"/>
  <c r="AQ110" i="35"/>
  <c r="AR110" i="35"/>
  <c r="AS110" i="35"/>
  <c r="AT110" i="35"/>
  <c r="AU110" i="35"/>
  <c r="AV110" i="35"/>
  <c r="AW110" i="35"/>
  <c r="AY110" i="35"/>
  <c r="AZ110" i="35"/>
  <c r="BA110" i="35"/>
  <c r="BB110" i="35"/>
  <c r="BC110" i="35"/>
  <c r="BD110" i="35"/>
  <c r="BE110" i="35"/>
  <c r="BF110" i="35"/>
  <c r="BG110" i="35"/>
  <c r="BH110" i="35"/>
  <c r="BJ110" i="35"/>
  <c r="BK110" i="35"/>
  <c r="BL110" i="35"/>
  <c r="BM110" i="35"/>
  <c r="BN110" i="35"/>
  <c r="BO110" i="35"/>
  <c r="BP110" i="35"/>
  <c r="BQ110" i="35"/>
  <c r="BR110" i="35"/>
  <c r="BS110" i="35"/>
  <c r="BU110" i="35"/>
  <c r="BV110" i="35"/>
  <c r="BW110" i="35"/>
  <c r="BX110" i="35"/>
  <c r="BY110" i="35"/>
  <c r="BZ110" i="35"/>
  <c r="CA110" i="35"/>
  <c r="CB110" i="35"/>
  <c r="CC110" i="35"/>
  <c r="CD110" i="35"/>
  <c r="A111" i="35"/>
  <c r="B111" i="35"/>
  <c r="C111" i="35"/>
  <c r="D111" i="35"/>
  <c r="E111" i="35"/>
  <c r="F111" i="35"/>
  <c r="G111" i="35"/>
  <c r="H111" i="35"/>
  <c r="I111" i="35"/>
  <c r="K111" i="35"/>
  <c r="L111" i="35"/>
  <c r="M111" i="35"/>
  <c r="N111" i="35"/>
  <c r="O111" i="35"/>
  <c r="P111" i="35"/>
  <c r="R111" i="35"/>
  <c r="S111" i="35"/>
  <c r="T111" i="35"/>
  <c r="U111" i="35"/>
  <c r="V111" i="35"/>
  <c r="W111" i="35"/>
  <c r="Y111" i="35"/>
  <c r="Z111" i="35"/>
  <c r="AA111" i="35"/>
  <c r="AB111" i="35"/>
  <c r="AC111" i="35"/>
  <c r="AD111" i="35"/>
  <c r="AF111" i="35"/>
  <c r="AG111" i="35"/>
  <c r="AH111" i="35"/>
  <c r="AI111" i="35"/>
  <c r="AN111" i="35"/>
  <c r="AO111" i="35"/>
  <c r="AP111" i="35"/>
  <c r="AQ111" i="35"/>
  <c r="AR111" i="35"/>
  <c r="AS111" i="35"/>
  <c r="AT111" i="35"/>
  <c r="AU111" i="35"/>
  <c r="AV111" i="35"/>
  <c r="AW111" i="35"/>
  <c r="AY111" i="35"/>
  <c r="AZ111" i="35"/>
  <c r="BA111" i="35"/>
  <c r="BB111" i="35"/>
  <c r="BC111" i="35"/>
  <c r="BD111" i="35"/>
  <c r="BE111" i="35"/>
  <c r="BF111" i="35"/>
  <c r="BG111" i="35"/>
  <c r="BH111" i="35"/>
  <c r="BJ111" i="35"/>
  <c r="BK111" i="35"/>
  <c r="BL111" i="35"/>
  <c r="BM111" i="35"/>
  <c r="BN111" i="35"/>
  <c r="BO111" i="35"/>
  <c r="BP111" i="35"/>
  <c r="BQ111" i="35"/>
  <c r="BR111" i="35"/>
  <c r="BS111" i="35"/>
  <c r="BU111" i="35"/>
  <c r="BV111" i="35"/>
  <c r="BW111" i="35"/>
  <c r="BX111" i="35"/>
  <c r="BY111" i="35"/>
  <c r="BZ111" i="35"/>
  <c r="CA111" i="35"/>
  <c r="CB111" i="35"/>
  <c r="CC111" i="35"/>
  <c r="CD111" i="35"/>
  <c r="A112" i="35"/>
  <c r="B112" i="35"/>
  <c r="C112" i="35"/>
  <c r="D112" i="35"/>
  <c r="E112" i="35"/>
  <c r="F112" i="35"/>
  <c r="G112" i="35"/>
  <c r="H112" i="35"/>
  <c r="I112" i="35"/>
  <c r="K112" i="35"/>
  <c r="L112" i="35"/>
  <c r="M112" i="35"/>
  <c r="N112" i="35"/>
  <c r="O112" i="35"/>
  <c r="P112" i="35"/>
  <c r="R112" i="35"/>
  <c r="S112" i="35"/>
  <c r="T112" i="35"/>
  <c r="U112" i="35"/>
  <c r="V112" i="35"/>
  <c r="W112" i="35"/>
  <c r="Y112" i="35"/>
  <c r="Z112" i="35"/>
  <c r="AA112" i="35"/>
  <c r="AB112" i="35"/>
  <c r="AC112" i="35"/>
  <c r="AD112" i="35"/>
  <c r="AF112" i="35"/>
  <c r="AG112" i="35"/>
  <c r="AH112" i="35"/>
  <c r="AI112" i="35"/>
  <c r="AN112" i="35"/>
  <c r="AO112" i="35"/>
  <c r="AP112" i="35"/>
  <c r="AQ112" i="35"/>
  <c r="AR112" i="35"/>
  <c r="AS112" i="35"/>
  <c r="AT112" i="35"/>
  <c r="AU112" i="35"/>
  <c r="AV112" i="35"/>
  <c r="AW112" i="35"/>
  <c r="AY112" i="35"/>
  <c r="AZ112" i="35"/>
  <c r="BA112" i="35"/>
  <c r="BB112" i="35"/>
  <c r="BC112" i="35"/>
  <c r="BD112" i="35"/>
  <c r="BE112" i="35"/>
  <c r="BF112" i="35"/>
  <c r="BG112" i="35"/>
  <c r="BH112" i="35"/>
  <c r="BJ112" i="35"/>
  <c r="BK112" i="35"/>
  <c r="BL112" i="35"/>
  <c r="BM112" i="35"/>
  <c r="BN112" i="35"/>
  <c r="BO112" i="35"/>
  <c r="BP112" i="35"/>
  <c r="BQ112" i="35"/>
  <c r="BR112" i="35"/>
  <c r="BS112" i="35"/>
  <c r="BU112" i="35"/>
  <c r="BV112" i="35"/>
  <c r="BW112" i="35"/>
  <c r="BX112" i="35"/>
  <c r="BY112" i="35"/>
  <c r="BZ112" i="35"/>
  <c r="CA112" i="35"/>
  <c r="CB112" i="35"/>
  <c r="CC112" i="35"/>
  <c r="CD112" i="35"/>
  <c r="A113" i="35"/>
  <c r="B113" i="35"/>
  <c r="C113" i="35"/>
  <c r="D113" i="35"/>
  <c r="E113" i="35"/>
  <c r="F113" i="35"/>
  <c r="G113" i="35"/>
  <c r="H113" i="35"/>
  <c r="I113" i="35"/>
  <c r="K113" i="35"/>
  <c r="L113" i="35"/>
  <c r="M113" i="35"/>
  <c r="N113" i="35"/>
  <c r="O113" i="35"/>
  <c r="P113" i="35"/>
  <c r="R113" i="35"/>
  <c r="S113" i="35"/>
  <c r="T113" i="35"/>
  <c r="U113" i="35"/>
  <c r="V113" i="35"/>
  <c r="W113" i="35"/>
  <c r="Y113" i="35"/>
  <c r="Z113" i="35"/>
  <c r="AA113" i="35"/>
  <c r="AB113" i="35"/>
  <c r="AC113" i="35"/>
  <c r="AD113" i="35"/>
  <c r="AF113" i="35"/>
  <c r="AG113" i="35"/>
  <c r="AH113" i="35"/>
  <c r="AI113" i="35"/>
  <c r="AN113" i="35"/>
  <c r="AO113" i="35"/>
  <c r="AP113" i="35"/>
  <c r="AQ113" i="35"/>
  <c r="AR113" i="35"/>
  <c r="AS113" i="35"/>
  <c r="AT113" i="35"/>
  <c r="AU113" i="35"/>
  <c r="AV113" i="35"/>
  <c r="AW113" i="35"/>
  <c r="AY113" i="35"/>
  <c r="AZ113" i="35"/>
  <c r="BA113" i="35"/>
  <c r="BB113" i="35"/>
  <c r="BC113" i="35"/>
  <c r="BD113" i="35"/>
  <c r="BE113" i="35"/>
  <c r="BF113" i="35"/>
  <c r="BG113" i="35"/>
  <c r="BH113" i="35"/>
  <c r="BJ113" i="35"/>
  <c r="BK113" i="35"/>
  <c r="BL113" i="35"/>
  <c r="BM113" i="35"/>
  <c r="BN113" i="35"/>
  <c r="BO113" i="35"/>
  <c r="BP113" i="35"/>
  <c r="BQ113" i="35"/>
  <c r="BR113" i="35"/>
  <c r="BS113" i="35"/>
  <c r="BU113" i="35"/>
  <c r="BV113" i="35"/>
  <c r="BW113" i="35"/>
  <c r="BX113" i="35"/>
  <c r="BY113" i="35"/>
  <c r="BZ113" i="35"/>
  <c r="CA113" i="35"/>
  <c r="CB113" i="35"/>
  <c r="CC113" i="35"/>
  <c r="CD113" i="35"/>
  <c r="A114" i="35"/>
  <c r="B114" i="35"/>
  <c r="C114" i="35"/>
  <c r="D114" i="35"/>
  <c r="E114" i="35"/>
  <c r="F114" i="35"/>
  <c r="G114" i="35"/>
  <c r="H114" i="35"/>
  <c r="I114" i="35"/>
  <c r="K114" i="35"/>
  <c r="L114" i="35"/>
  <c r="M114" i="35"/>
  <c r="N114" i="35"/>
  <c r="O114" i="35"/>
  <c r="P114" i="35"/>
  <c r="R114" i="35"/>
  <c r="S114" i="35"/>
  <c r="T114" i="35"/>
  <c r="U114" i="35"/>
  <c r="V114" i="35"/>
  <c r="W114" i="35"/>
  <c r="Y114" i="35"/>
  <c r="Z114" i="35"/>
  <c r="AA114" i="35"/>
  <c r="AB114" i="35"/>
  <c r="AC114" i="35"/>
  <c r="AD114" i="35"/>
  <c r="AF114" i="35"/>
  <c r="AG114" i="35"/>
  <c r="AH114" i="35"/>
  <c r="AI114" i="35"/>
  <c r="AN114" i="35"/>
  <c r="AO114" i="35"/>
  <c r="AP114" i="35"/>
  <c r="AQ114" i="35"/>
  <c r="AR114" i="35"/>
  <c r="AS114" i="35"/>
  <c r="AT114" i="35"/>
  <c r="AU114" i="35"/>
  <c r="AV114" i="35"/>
  <c r="AW114" i="35"/>
  <c r="AY114" i="35"/>
  <c r="AZ114" i="35"/>
  <c r="BA114" i="35"/>
  <c r="BB114" i="35"/>
  <c r="BC114" i="35"/>
  <c r="BD114" i="35"/>
  <c r="BE114" i="35"/>
  <c r="BF114" i="35"/>
  <c r="BG114" i="35"/>
  <c r="BH114" i="35"/>
  <c r="BJ114" i="35"/>
  <c r="BK114" i="35"/>
  <c r="BL114" i="35"/>
  <c r="BM114" i="35"/>
  <c r="BN114" i="35"/>
  <c r="BO114" i="35"/>
  <c r="BP114" i="35"/>
  <c r="BQ114" i="35"/>
  <c r="BR114" i="35"/>
  <c r="BS114" i="35"/>
  <c r="BU114" i="35"/>
  <c r="BV114" i="35"/>
  <c r="BW114" i="35"/>
  <c r="BX114" i="35"/>
  <c r="BY114" i="35"/>
  <c r="BZ114" i="35"/>
  <c r="CA114" i="35"/>
  <c r="CB114" i="35"/>
  <c r="CC114" i="35"/>
  <c r="CD114" i="35"/>
  <c r="A115" i="35"/>
  <c r="B115" i="35"/>
  <c r="C115" i="35"/>
  <c r="D115" i="35"/>
  <c r="E115" i="35"/>
  <c r="F115" i="35"/>
  <c r="G115" i="35"/>
  <c r="H115" i="35"/>
  <c r="I115" i="35"/>
  <c r="K115" i="35"/>
  <c r="L115" i="35"/>
  <c r="M115" i="35"/>
  <c r="N115" i="35"/>
  <c r="O115" i="35"/>
  <c r="P115" i="35"/>
  <c r="R115" i="35"/>
  <c r="S115" i="35"/>
  <c r="T115" i="35"/>
  <c r="U115" i="35"/>
  <c r="V115" i="35"/>
  <c r="W115" i="35"/>
  <c r="Y115" i="35"/>
  <c r="Z115" i="35"/>
  <c r="AA115" i="35"/>
  <c r="AB115" i="35"/>
  <c r="AC115" i="35"/>
  <c r="AD115" i="35"/>
  <c r="AF115" i="35"/>
  <c r="AG115" i="35"/>
  <c r="AH115" i="35"/>
  <c r="AI115" i="35"/>
  <c r="AN115" i="35"/>
  <c r="AO115" i="35"/>
  <c r="AP115" i="35"/>
  <c r="AQ115" i="35"/>
  <c r="AR115" i="35"/>
  <c r="AS115" i="35"/>
  <c r="AT115" i="35"/>
  <c r="AU115" i="35"/>
  <c r="AV115" i="35"/>
  <c r="AW115" i="35"/>
  <c r="AY115" i="35"/>
  <c r="AZ115" i="35"/>
  <c r="BA115" i="35"/>
  <c r="BB115" i="35"/>
  <c r="BC115" i="35"/>
  <c r="BD115" i="35"/>
  <c r="BE115" i="35"/>
  <c r="BF115" i="35"/>
  <c r="BG115" i="35"/>
  <c r="BH115" i="35"/>
  <c r="BJ115" i="35"/>
  <c r="BK115" i="35"/>
  <c r="BL115" i="35"/>
  <c r="BM115" i="35"/>
  <c r="BN115" i="35"/>
  <c r="BO115" i="35"/>
  <c r="BP115" i="35"/>
  <c r="BQ115" i="35"/>
  <c r="BR115" i="35"/>
  <c r="BS115" i="35"/>
  <c r="BU115" i="35"/>
  <c r="BV115" i="35"/>
  <c r="BW115" i="35"/>
  <c r="BX115" i="35"/>
  <c r="BY115" i="35"/>
  <c r="BZ115" i="35"/>
  <c r="CA115" i="35"/>
  <c r="CB115" i="35"/>
  <c r="CC115" i="35"/>
  <c r="CD115" i="35"/>
  <c r="A116" i="35"/>
  <c r="B116" i="35"/>
  <c r="C116" i="35"/>
  <c r="D116" i="35"/>
  <c r="E116" i="35"/>
  <c r="F116" i="35"/>
  <c r="G116" i="35"/>
  <c r="H116" i="35"/>
  <c r="I116" i="35"/>
  <c r="K116" i="35"/>
  <c r="L116" i="35"/>
  <c r="M116" i="35"/>
  <c r="N116" i="35"/>
  <c r="O116" i="35"/>
  <c r="P116" i="35"/>
  <c r="R116" i="35"/>
  <c r="S116" i="35"/>
  <c r="T116" i="35"/>
  <c r="U116" i="35"/>
  <c r="V116" i="35"/>
  <c r="W116" i="35"/>
  <c r="Y116" i="35"/>
  <c r="Z116" i="35"/>
  <c r="AA116" i="35"/>
  <c r="AB116" i="35"/>
  <c r="AC116" i="35"/>
  <c r="AD116" i="35"/>
  <c r="AF116" i="35"/>
  <c r="AG116" i="35"/>
  <c r="AH116" i="35"/>
  <c r="AI116" i="35"/>
  <c r="AN116" i="35"/>
  <c r="AO116" i="35"/>
  <c r="AP116" i="35"/>
  <c r="AQ116" i="35"/>
  <c r="AR116" i="35"/>
  <c r="AS116" i="35"/>
  <c r="AT116" i="35"/>
  <c r="AU116" i="35"/>
  <c r="AV116" i="35"/>
  <c r="AW116" i="35"/>
  <c r="AY116" i="35"/>
  <c r="AZ116" i="35"/>
  <c r="BA116" i="35"/>
  <c r="BB116" i="35"/>
  <c r="BC116" i="35"/>
  <c r="BD116" i="35"/>
  <c r="BE116" i="35"/>
  <c r="BF116" i="35"/>
  <c r="BG116" i="35"/>
  <c r="BH116" i="35"/>
  <c r="BJ116" i="35"/>
  <c r="BK116" i="35"/>
  <c r="BL116" i="35"/>
  <c r="BM116" i="35"/>
  <c r="BN116" i="35"/>
  <c r="BO116" i="35"/>
  <c r="BP116" i="35"/>
  <c r="BQ116" i="35"/>
  <c r="BR116" i="35"/>
  <c r="BS116" i="35"/>
  <c r="BU116" i="35"/>
  <c r="BV116" i="35"/>
  <c r="BW116" i="35"/>
  <c r="BX116" i="35"/>
  <c r="BY116" i="35"/>
  <c r="BZ116" i="35"/>
  <c r="CA116" i="35"/>
  <c r="CB116" i="35"/>
  <c r="CC116" i="35"/>
  <c r="CD116" i="35"/>
  <c r="A117" i="35"/>
  <c r="B117" i="35"/>
  <c r="C117" i="35"/>
  <c r="D117" i="35"/>
  <c r="E117" i="35"/>
  <c r="F117" i="35"/>
  <c r="G117" i="35"/>
  <c r="H117" i="35"/>
  <c r="I117" i="35"/>
  <c r="K117" i="35"/>
  <c r="L117" i="35"/>
  <c r="M117" i="35"/>
  <c r="N117" i="35"/>
  <c r="O117" i="35"/>
  <c r="P117" i="35"/>
  <c r="R117" i="35"/>
  <c r="S117" i="35"/>
  <c r="T117" i="35"/>
  <c r="U117" i="35"/>
  <c r="V117" i="35"/>
  <c r="W117" i="35"/>
  <c r="Y117" i="35"/>
  <c r="Z117" i="35"/>
  <c r="AA117" i="35"/>
  <c r="AB117" i="35"/>
  <c r="AC117" i="35"/>
  <c r="AD117" i="35"/>
  <c r="AF117" i="35"/>
  <c r="AG117" i="35"/>
  <c r="AH117" i="35"/>
  <c r="AI117" i="35"/>
  <c r="AN117" i="35"/>
  <c r="AO117" i="35"/>
  <c r="AP117" i="35"/>
  <c r="AQ117" i="35"/>
  <c r="AR117" i="35"/>
  <c r="AS117" i="35"/>
  <c r="AT117" i="35"/>
  <c r="AU117" i="35"/>
  <c r="AV117" i="35"/>
  <c r="AW117" i="35"/>
  <c r="AY117" i="35"/>
  <c r="AZ117" i="35"/>
  <c r="BA117" i="35"/>
  <c r="BB117" i="35"/>
  <c r="BC117" i="35"/>
  <c r="BD117" i="35"/>
  <c r="BE117" i="35"/>
  <c r="BF117" i="35"/>
  <c r="BG117" i="35"/>
  <c r="BH117" i="35"/>
  <c r="BJ117" i="35"/>
  <c r="BK117" i="35"/>
  <c r="BL117" i="35"/>
  <c r="BM117" i="35"/>
  <c r="BN117" i="35"/>
  <c r="BO117" i="35"/>
  <c r="BP117" i="35"/>
  <c r="BQ117" i="35"/>
  <c r="BR117" i="35"/>
  <c r="BS117" i="35"/>
  <c r="BU117" i="35"/>
  <c r="BV117" i="35"/>
  <c r="BW117" i="35"/>
  <c r="BX117" i="35"/>
  <c r="BY117" i="35"/>
  <c r="BZ117" i="35"/>
  <c r="CA117" i="35"/>
  <c r="CB117" i="35"/>
  <c r="CC117" i="35"/>
  <c r="CD117" i="35"/>
  <c r="A118" i="35"/>
  <c r="B118" i="35"/>
  <c r="C118" i="35"/>
  <c r="D118" i="35"/>
  <c r="E118" i="35"/>
  <c r="F118" i="35"/>
  <c r="G118" i="35"/>
  <c r="H118" i="35"/>
  <c r="I118" i="35"/>
  <c r="K118" i="35"/>
  <c r="L118" i="35"/>
  <c r="M118" i="35"/>
  <c r="N118" i="35"/>
  <c r="O118" i="35"/>
  <c r="P118" i="35"/>
  <c r="R118" i="35"/>
  <c r="S118" i="35"/>
  <c r="T118" i="35"/>
  <c r="U118" i="35"/>
  <c r="V118" i="35"/>
  <c r="W118" i="35"/>
  <c r="Y118" i="35"/>
  <c r="Z118" i="35"/>
  <c r="AA118" i="35"/>
  <c r="AB118" i="35"/>
  <c r="AC118" i="35"/>
  <c r="AD118" i="35"/>
  <c r="AF118" i="35"/>
  <c r="AG118" i="35"/>
  <c r="AH118" i="35"/>
  <c r="AI118" i="35"/>
  <c r="AN118" i="35"/>
  <c r="AO118" i="35"/>
  <c r="AP118" i="35"/>
  <c r="AQ118" i="35"/>
  <c r="AR118" i="35"/>
  <c r="AS118" i="35"/>
  <c r="AT118" i="35"/>
  <c r="AU118" i="35"/>
  <c r="AV118" i="35"/>
  <c r="AW118" i="35"/>
  <c r="AY118" i="35"/>
  <c r="AZ118" i="35"/>
  <c r="BA118" i="35"/>
  <c r="BB118" i="35"/>
  <c r="BC118" i="35"/>
  <c r="BD118" i="35"/>
  <c r="BE118" i="35"/>
  <c r="BF118" i="35"/>
  <c r="BG118" i="35"/>
  <c r="BH118" i="35"/>
  <c r="BJ118" i="35"/>
  <c r="BK118" i="35"/>
  <c r="BL118" i="35"/>
  <c r="BM118" i="35"/>
  <c r="BN118" i="35"/>
  <c r="BO118" i="35"/>
  <c r="BP118" i="35"/>
  <c r="BQ118" i="35"/>
  <c r="BR118" i="35"/>
  <c r="BS118" i="35"/>
  <c r="BU118" i="35"/>
  <c r="BV118" i="35"/>
  <c r="BW118" i="35"/>
  <c r="BX118" i="35"/>
  <c r="BY118" i="35"/>
  <c r="BZ118" i="35"/>
  <c r="CA118" i="35"/>
  <c r="CB118" i="35"/>
  <c r="CC118" i="35"/>
  <c r="CD118" i="35"/>
  <c r="A119" i="35"/>
  <c r="B119" i="35"/>
  <c r="C119" i="35"/>
  <c r="D119" i="35"/>
  <c r="E119" i="35"/>
  <c r="F119" i="35"/>
  <c r="G119" i="35"/>
  <c r="H119" i="35"/>
  <c r="I119" i="35"/>
  <c r="K119" i="35"/>
  <c r="L119" i="35"/>
  <c r="M119" i="35"/>
  <c r="N119" i="35"/>
  <c r="O119" i="35"/>
  <c r="P119" i="35"/>
  <c r="R119" i="35"/>
  <c r="S119" i="35"/>
  <c r="T119" i="35"/>
  <c r="U119" i="35"/>
  <c r="V119" i="35"/>
  <c r="W119" i="35"/>
  <c r="Y119" i="35"/>
  <c r="Z119" i="35"/>
  <c r="AA119" i="35"/>
  <c r="AB119" i="35"/>
  <c r="AC119" i="35"/>
  <c r="AD119" i="35"/>
  <c r="AF119" i="35"/>
  <c r="AG119" i="35"/>
  <c r="AH119" i="35"/>
  <c r="AI119" i="35"/>
  <c r="AN119" i="35"/>
  <c r="AO119" i="35"/>
  <c r="AP119" i="35"/>
  <c r="AQ119" i="35"/>
  <c r="AR119" i="35"/>
  <c r="AS119" i="35"/>
  <c r="AT119" i="35"/>
  <c r="AU119" i="35"/>
  <c r="AV119" i="35"/>
  <c r="AW119" i="35"/>
  <c r="AY119" i="35"/>
  <c r="AZ119" i="35"/>
  <c r="BA119" i="35"/>
  <c r="BB119" i="35"/>
  <c r="BC119" i="35"/>
  <c r="BD119" i="35"/>
  <c r="BE119" i="35"/>
  <c r="BF119" i="35"/>
  <c r="BG119" i="35"/>
  <c r="BH119" i="35"/>
  <c r="BJ119" i="35"/>
  <c r="BK119" i="35"/>
  <c r="BL119" i="35"/>
  <c r="BM119" i="35"/>
  <c r="BN119" i="35"/>
  <c r="BO119" i="35"/>
  <c r="BP119" i="35"/>
  <c r="BQ119" i="35"/>
  <c r="BR119" i="35"/>
  <c r="BS119" i="35"/>
  <c r="BU119" i="35"/>
  <c r="BV119" i="35"/>
  <c r="BW119" i="35"/>
  <c r="BX119" i="35"/>
  <c r="BY119" i="35"/>
  <c r="BZ119" i="35"/>
  <c r="CA119" i="35"/>
  <c r="CB119" i="35"/>
  <c r="CC119" i="35"/>
  <c r="CD119" i="35"/>
  <c r="A120" i="35"/>
  <c r="B120" i="35"/>
  <c r="C120" i="35"/>
  <c r="D120" i="35"/>
  <c r="E120" i="35"/>
  <c r="F120" i="35"/>
  <c r="G120" i="35"/>
  <c r="H120" i="35"/>
  <c r="I120" i="35"/>
  <c r="K120" i="35"/>
  <c r="L120" i="35"/>
  <c r="M120" i="35"/>
  <c r="N120" i="35"/>
  <c r="O120" i="35"/>
  <c r="P120" i="35"/>
  <c r="R120" i="35"/>
  <c r="S120" i="35"/>
  <c r="T120" i="35"/>
  <c r="U120" i="35"/>
  <c r="V120" i="35"/>
  <c r="W120" i="35"/>
  <c r="Y120" i="35"/>
  <c r="Z120" i="35"/>
  <c r="AA120" i="35"/>
  <c r="AB120" i="35"/>
  <c r="AC120" i="35"/>
  <c r="AD120" i="35"/>
  <c r="AF120" i="35"/>
  <c r="AG120" i="35"/>
  <c r="AH120" i="35"/>
  <c r="AI120" i="35"/>
  <c r="AN120" i="35"/>
  <c r="AO120" i="35"/>
  <c r="AP120" i="35"/>
  <c r="AQ120" i="35"/>
  <c r="AR120" i="35"/>
  <c r="AS120" i="35"/>
  <c r="AT120" i="35"/>
  <c r="AU120" i="35"/>
  <c r="AV120" i="35"/>
  <c r="AW120" i="35"/>
  <c r="AY120" i="35"/>
  <c r="AZ120" i="35"/>
  <c r="BA120" i="35"/>
  <c r="BB120" i="35"/>
  <c r="BC120" i="35"/>
  <c r="BD120" i="35"/>
  <c r="BE120" i="35"/>
  <c r="BF120" i="35"/>
  <c r="BG120" i="35"/>
  <c r="BH120" i="35"/>
  <c r="BJ120" i="35"/>
  <c r="BK120" i="35"/>
  <c r="BL120" i="35"/>
  <c r="BM120" i="35"/>
  <c r="BN120" i="35"/>
  <c r="BO120" i="35"/>
  <c r="BP120" i="35"/>
  <c r="BQ120" i="35"/>
  <c r="BR120" i="35"/>
  <c r="BS120" i="35"/>
  <c r="BU120" i="35"/>
  <c r="BV120" i="35"/>
  <c r="BW120" i="35"/>
  <c r="BX120" i="35"/>
  <c r="BY120" i="35"/>
  <c r="BZ120" i="35"/>
  <c r="CA120" i="35"/>
  <c r="CB120" i="35"/>
  <c r="CC120" i="35"/>
  <c r="CD120" i="35"/>
  <c r="A121" i="35"/>
  <c r="B121" i="35"/>
  <c r="C121" i="35"/>
  <c r="D121" i="35"/>
  <c r="E121" i="35"/>
  <c r="F121" i="35"/>
  <c r="G121" i="35"/>
  <c r="H121" i="35"/>
  <c r="I121" i="35"/>
  <c r="K121" i="35"/>
  <c r="L121" i="35"/>
  <c r="M121" i="35"/>
  <c r="N121" i="35"/>
  <c r="O121" i="35"/>
  <c r="P121" i="35"/>
  <c r="R121" i="35"/>
  <c r="S121" i="35"/>
  <c r="T121" i="35"/>
  <c r="U121" i="35"/>
  <c r="V121" i="35"/>
  <c r="W121" i="35"/>
  <c r="Y121" i="35"/>
  <c r="Z121" i="35"/>
  <c r="AA121" i="35"/>
  <c r="AB121" i="35"/>
  <c r="AC121" i="35"/>
  <c r="AD121" i="35"/>
  <c r="AF121" i="35"/>
  <c r="AG121" i="35"/>
  <c r="AH121" i="35"/>
  <c r="AI121" i="35"/>
  <c r="AN121" i="35"/>
  <c r="AO121" i="35"/>
  <c r="AP121" i="35"/>
  <c r="AQ121" i="35"/>
  <c r="AR121" i="35"/>
  <c r="AS121" i="35"/>
  <c r="AT121" i="35"/>
  <c r="AU121" i="35"/>
  <c r="AV121" i="35"/>
  <c r="AW121" i="35"/>
  <c r="AY121" i="35"/>
  <c r="AZ121" i="35"/>
  <c r="BA121" i="35"/>
  <c r="BB121" i="35"/>
  <c r="BC121" i="35"/>
  <c r="BD121" i="35"/>
  <c r="BE121" i="35"/>
  <c r="BF121" i="35"/>
  <c r="BG121" i="35"/>
  <c r="BH121" i="35"/>
  <c r="BJ121" i="35"/>
  <c r="BK121" i="35"/>
  <c r="BL121" i="35"/>
  <c r="BM121" i="35"/>
  <c r="BN121" i="35"/>
  <c r="BO121" i="35"/>
  <c r="BP121" i="35"/>
  <c r="BQ121" i="35"/>
  <c r="BR121" i="35"/>
  <c r="BS121" i="35"/>
  <c r="BU121" i="35"/>
  <c r="BV121" i="35"/>
  <c r="BW121" i="35"/>
  <c r="BX121" i="35"/>
  <c r="BY121" i="35"/>
  <c r="BZ121" i="35"/>
  <c r="CA121" i="35"/>
  <c r="CB121" i="35"/>
  <c r="CC121" i="35"/>
  <c r="CD121" i="35"/>
  <c r="A122" i="35"/>
  <c r="B122" i="35"/>
  <c r="C122" i="35"/>
  <c r="D122" i="35"/>
  <c r="E122" i="35"/>
  <c r="F122" i="35"/>
  <c r="G122" i="35"/>
  <c r="H122" i="35"/>
  <c r="I122" i="35"/>
  <c r="K122" i="35"/>
  <c r="L122" i="35"/>
  <c r="M122" i="35"/>
  <c r="N122" i="35"/>
  <c r="O122" i="35"/>
  <c r="P122" i="35"/>
  <c r="R122" i="35"/>
  <c r="S122" i="35"/>
  <c r="T122" i="35"/>
  <c r="U122" i="35"/>
  <c r="V122" i="35"/>
  <c r="W122" i="35"/>
  <c r="Y122" i="35"/>
  <c r="Z122" i="35"/>
  <c r="AA122" i="35"/>
  <c r="AB122" i="35"/>
  <c r="AC122" i="35"/>
  <c r="AD122" i="35"/>
  <c r="AF122" i="35"/>
  <c r="AG122" i="35"/>
  <c r="AH122" i="35"/>
  <c r="AI122" i="35"/>
  <c r="AN122" i="35"/>
  <c r="AO122" i="35"/>
  <c r="AP122" i="35"/>
  <c r="AQ122" i="35"/>
  <c r="AR122" i="35"/>
  <c r="AS122" i="35"/>
  <c r="AT122" i="35"/>
  <c r="AU122" i="35"/>
  <c r="AV122" i="35"/>
  <c r="AW122" i="35"/>
  <c r="AY122" i="35"/>
  <c r="AZ122" i="35"/>
  <c r="BA122" i="35"/>
  <c r="BB122" i="35"/>
  <c r="BC122" i="35"/>
  <c r="BD122" i="35"/>
  <c r="BE122" i="35"/>
  <c r="BF122" i="35"/>
  <c r="BG122" i="35"/>
  <c r="BH122" i="35"/>
  <c r="BJ122" i="35"/>
  <c r="BK122" i="35"/>
  <c r="BL122" i="35"/>
  <c r="BM122" i="35"/>
  <c r="BN122" i="35"/>
  <c r="BO122" i="35"/>
  <c r="BP122" i="35"/>
  <c r="BQ122" i="35"/>
  <c r="BR122" i="35"/>
  <c r="BS122" i="35"/>
  <c r="BU122" i="35"/>
  <c r="BV122" i="35"/>
  <c r="BW122" i="35"/>
  <c r="BX122" i="35"/>
  <c r="BY122" i="35"/>
  <c r="BZ122" i="35"/>
  <c r="CA122" i="35"/>
  <c r="CB122" i="35"/>
  <c r="CC122" i="35"/>
  <c r="CD122" i="35"/>
  <c r="A123" i="35"/>
  <c r="B123" i="35"/>
  <c r="C123" i="35"/>
  <c r="D123" i="35"/>
  <c r="E123" i="35"/>
  <c r="F123" i="35"/>
  <c r="G123" i="35"/>
  <c r="H123" i="35"/>
  <c r="I123" i="35"/>
  <c r="K123" i="35"/>
  <c r="L123" i="35"/>
  <c r="M123" i="35"/>
  <c r="N123" i="35"/>
  <c r="O123" i="35"/>
  <c r="P123" i="35"/>
  <c r="R123" i="35"/>
  <c r="S123" i="35"/>
  <c r="T123" i="35"/>
  <c r="U123" i="35"/>
  <c r="V123" i="35"/>
  <c r="W123" i="35"/>
  <c r="Y123" i="35"/>
  <c r="Z123" i="35"/>
  <c r="AA123" i="35"/>
  <c r="AB123" i="35"/>
  <c r="AC123" i="35"/>
  <c r="AD123" i="35"/>
  <c r="AF123" i="35"/>
  <c r="AG123" i="35"/>
  <c r="AH123" i="35"/>
  <c r="AI123" i="35"/>
  <c r="AN123" i="35"/>
  <c r="AO123" i="35"/>
  <c r="AP123" i="35"/>
  <c r="AQ123" i="35"/>
  <c r="AR123" i="35"/>
  <c r="AS123" i="35"/>
  <c r="AT123" i="35"/>
  <c r="AU123" i="35"/>
  <c r="AV123" i="35"/>
  <c r="AW123" i="35"/>
  <c r="AY123" i="35"/>
  <c r="AZ123" i="35"/>
  <c r="BA123" i="35"/>
  <c r="BB123" i="35"/>
  <c r="BC123" i="35"/>
  <c r="BD123" i="35"/>
  <c r="BE123" i="35"/>
  <c r="BF123" i="35"/>
  <c r="BG123" i="35"/>
  <c r="BH123" i="35"/>
  <c r="BJ123" i="35"/>
  <c r="BK123" i="35"/>
  <c r="BL123" i="35"/>
  <c r="BM123" i="35"/>
  <c r="BN123" i="35"/>
  <c r="BO123" i="35"/>
  <c r="BP123" i="35"/>
  <c r="BQ123" i="35"/>
  <c r="BR123" i="35"/>
  <c r="BS123" i="35"/>
  <c r="BU123" i="35"/>
  <c r="BV123" i="35"/>
  <c r="BW123" i="35"/>
  <c r="BX123" i="35"/>
  <c r="BY123" i="35"/>
  <c r="BZ123" i="35"/>
  <c r="CA123" i="35"/>
  <c r="CB123" i="35"/>
  <c r="CC123" i="35"/>
  <c r="CD123" i="35"/>
  <c r="A124" i="35"/>
  <c r="B124" i="35"/>
  <c r="C124" i="35"/>
  <c r="D124" i="35"/>
  <c r="E124" i="35"/>
  <c r="F124" i="35"/>
  <c r="G124" i="35"/>
  <c r="H124" i="35"/>
  <c r="I124" i="35"/>
  <c r="K124" i="35"/>
  <c r="L124" i="35"/>
  <c r="M124" i="35"/>
  <c r="N124" i="35"/>
  <c r="O124" i="35"/>
  <c r="P124" i="35"/>
  <c r="R124" i="35"/>
  <c r="S124" i="35"/>
  <c r="T124" i="35"/>
  <c r="U124" i="35"/>
  <c r="V124" i="35"/>
  <c r="W124" i="35"/>
  <c r="Y124" i="35"/>
  <c r="Z124" i="35"/>
  <c r="AA124" i="35"/>
  <c r="AB124" i="35"/>
  <c r="AC124" i="35"/>
  <c r="AD124" i="35"/>
  <c r="AF124" i="35"/>
  <c r="AG124" i="35"/>
  <c r="AH124" i="35"/>
  <c r="AI124" i="35"/>
  <c r="AN124" i="35"/>
  <c r="AO124" i="35"/>
  <c r="AP124" i="35"/>
  <c r="AQ124" i="35"/>
  <c r="AR124" i="35"/>
  <c r="AS124" i="35"/>
  <c r="AT124" i="35"/>
  <c r="AU124" i="35"/>
  <c r="AV124" i="35"/>
  <c r="AW124" i="35"/>
  <c r="AY124" i="35"/>
  <c r="AZ124" i="35"/>
  <c r="BA124" i="35"/>
  <c r="BB124" i="35"/>
  <c r="BC124" i="35"/>
  <c r="BD124" i="35"/>
  <c r="BE124" i="35"/>
  <c r="BF124" i="35"/>
  <c r="BG124" i="35"/>
  <c r="BH124" i="35"/>
  <c r="BJ124" i="35"/>
  <c r="BK124" i="35"/>
  <c r="BL124" i="35"/>
  <c r="BM124" i="35"/>
  <c r="BN124" i="35"/>
  <c r="BO124" i="35"/>
  <c r="BP124" i="35"/>
  <c r="BQ124" i="35"/>
  <c r="BR124" i="35"/>
  <c r="BS124" i="35"/>
  <c r="BU124" i="35"/>
  <c r="BV124" i="35"/>
  <c r="BW124" i="35"/>
  <c r="BX124" i="35"/>
  <c r="BY124" i="35"/>
  <c r="BZ124" i="35"/>
  <c r="CA124" i="35"/>
  <c r="CB124" i="35"/>
  <c r="CC124" i="35"/>
  <c r="CD124" i="35"/>
  <c r="A125" i="35"/>
  <c r="B125" i="35"/>
  <c r="C125" i="35"/>
  <c r="D125" i="35"/>
  <c r="E125" i="35"/>
  <c r="F125" i="35"/>
  <c r="G125" i="35"/>
  <c r="H125" i="35"/>
  <c r="I125" i="35"/>
  <c r="K125" i="35"/>
  <c r="L125" i="35"/>
  <c r="M125" i="35"/>
  <c r="N125" i="35"/>
  <c r="O125" i="35"/>
  <c r="P125" i="35"/>
  <c r="R125" i="35"/>
  <c r="S125" i="35"/>
  <c r="T125" i="35"/>
  <c r="U125" i="35"/>
  <c r="V125" i="35"/>
  <c r="W125" i="35"/>
  <c r="Y125" i="35"/>
  <c r="Z125" i="35"/>
  <c r="AA125" i="35"/>
  <c r="AB125" i="35"/>
  <c r="AC125" i="35"/>
  <c r="AD125" i="35"/>
  <c r="AF125" i="35"/>
  <c r="AG125" i="35"/>
  <c r="AH125" i="35"/>
  <c r="AI125" i="35"/>
  <c r="AN125" i="35"/>
  <c r="AO125" i="35"/>
  <c r="AP125" i="35"/>
  <c r="AQ125" i="35"/>
  <c r="AR125" i="35"/>
  <c r="AS125" i="35"/>
  <c r="AT125" i="35"/>
  <c r="AU125" i="35"/>
  <c r="AV125" i="35"/>
  <c r="AW125" i="35"/>
  <c r="AY125" i="35"/>
  <c r="AZ125" i="35"/>
  <c r="BA125" i="35"/>
  <c r="BB125" i="35"/>
  <c r="BC125" i="35"/>
  <c r="BD125" i="35"/>
  <c r="BE125" i="35"/>
  <c r="BF125" i="35"/>
  <c r="BG125" i="35"/>
  <c r="BH125" i="35"/>
  <c r="BJ125" i="35"/>
  <c r="BK125" i="35"/>
  <c r="BL125" i="35"/>
  <c r="BM125" i="35"/>
  <c r="BN125" i="35"/>
  <c r="BO125" i="35"/>
  <c r="BP125" i="35"/>
  <c r="BQ125" i="35"/>
  <c r="BR125" i="35"/>
  <c r="BS125" i="35"/>
  <c r="BU125" i="35"/>
  <c r="BV125" i="35"/>
  <c r="BW125" i="35"/>
  <c r="BX125" i="35"/>
  <c r="BY125" i="35"/>
  <c r="BZ125" i="35"/>
  <c r="CA125" i="35"/>
  <c r="CB125" i="35"/>
  <c r="CC125" i="35"/>
  <c r="CD125" i="35"/>
  <c r="A126" i="35"/>
  <c r="B126" i="35"/>
  <c r="C126" i="35"/>
  <c r="D126" i="35"/>
  <c r="E126" i="35"/>
  <c r="F126" i="35"/>
  <c r="G126" i="35"/>
  <c r="H126" i="35"/>
  <c r="I126" i="35"/>
  <c r="K126" i="35"/>
  <c r="L126" i="35"/>
  <c r="M126" i="35"/>
  <c r="N126" i="35"/>
  <c r="O126" i="35"/>
  <c r="P126" i="35"/>
  <c r="R126" i="35"/>
  <c r="S126" i="35"/>
  <c r="T126" i="35"/>
  <c r="U126" i="35"/>
  <c r="V126" i="35"/>
  <c r="W126" i="35"/>
  <c r="Y126" i="35"/>
  <c r="Z126" i="35"/>
  <c r="AA126" i="35"/>
  <c r="AB126" i="35"/>
  <c r="AC126" i="35"/>
  <c r="AD126" i="35"/>
  <c r="AF126" i="35"/>
  <c r="AG126" i="35"/>
  <c r="AH126" i="35"/>
  <c r="AI126" i="35"/>
  <c r="AN126" i="35"/>
  <c r="AO126" i="35"/>
  <c r="AP126" i="35"/>
  <c r="AQ126" i="35"/>
  <c r="AR126" i="35"/>
  <c r="AS126" i="35"/>
  <c r="AT126" i="35"/>
  <c r="AU126" i="35"/>
  <c r="AV126" i="35"/>
  <c r="AW126" i="35"/>
  <c r="AY126" i="35"/>
  <c r="AZ126" i="35"/>
  <c r="BA126" i="35"/>
  <c r="BB126" i="35"/>
  <c r="BC126" i="35"/>
  <c r="BD126" i="35"/>
  <c r="BE126" i="35"/>
  <c r="BF126" i="35"/>
  <c r="BG126" i="35"/>
  <c r="BH126" i="35"/>
  <c r="BJ126" i="35"/>
  <c r="BK126" i="35"/>
  <c r="BL126" i="35"/>
  <c r="BM126" i="35"/>
  <c r="BN126" i="35"/>
  <c r="BO126" i="35"/>
  <c r="BP126" i="35"/>
  <c r="BQ126" i="35"/>
  <c r="BR126" i="35"/>
  <c r="BS126" i="35"/>
  <c r="BU126" i="35"/>
  <c r="BV126" i="35"/>
  <c r="BW126" i="35"/>
  <c r="BX126" i="35"/>
  <c r="BY126" i="35"/>
  <c r="BZ126" i="35"/>
  <c r="CA126" i="35"/>
  <c r="CB126" i="35"/>
  <c r="CC126" i="35"/>
  <c r="CD126" i="35"/>
  <c r="A127" i="35"/>
  <c r="B127" i="35"/>
  <c r="C127" i="35"/>
  <c r="D127" i="35"/>
  <c r="E127" i="35"/>
  <c r="F127" i="35"/>
  <c r="G127" i="35"/>
  <c r="H127" i="35"/>
  <c r="I127" i="35"/>
  <c r="K127" i="35"/>
  <c r="L127" i="35"/>
  <c r="M127" i="35"/>
  <c r="N127" i="35"/>
  <c r="O127" i="35"/>
  <c r="P127" i="35"/>
  <c r="R127" i="35"/>
  <c r="S127" i="35"/>
  <c r="T127" i="35"/>
  <c r="U127" i="35"/>
  <c r="V127" i="35"/>
  <c r="W127" i="35"/>
  <c r="Y127" i="35"/>
  <c r="Z127" i="35"/>
  <c r="AA127" i="35"/>
  <c r="AB127" i="35"/>
  <c r="AC127" i="35"/>
  <c r="AD127" i="35"/>
  <c r="AF127" i="35"/>
  <c r="AG127" i="35"/>
  <c r="AH127" i="35"/>
  <c r="AI127" i="35"/>
  <c r="AN127" i="35"/>
  <c r="AO127" i="35"/>
  <c r="AP127" i="35"/>
  <c r="AQ127" i="35"/>
  <c r="AR127" i="35"/>
  <c r="AS127" i="35"/>
  <c r="AT127" i="35"/>
  <c r="AU127" i="35"/>
  <c r="AV127" i="35"/>
  <c r="AW127" i="35"/>
  <c r="AY127" i="35"/>
  <c r="AZ127" i="35"/>
  <c r="BA127" i="35"/>
  <c r="BB127" i="35"/>
  <c r="BC127" i="35"/>
  <c r="BD127" i="35"/>
  <c r="BE127" i="35"/>
  <c r="BF127" i="35"/>
  <c r="BG127" i="35"/>
  <c r="BH127" i="35"/>
  <c r="BJ127" i="35"/>
  <c r="BK127" i="35"/>
  <c r="BL127" i="35"/>
  <c r="BM127" i="35"/>
  <c r="BN127" i="35"/>
  <c r="BO127" i="35"/>
  <c r="BP127" i="35"/>
  <c r="BQ127" i="35"/>
  <c r="BR127" i="35"/>
  <c r="BS127" i="35"/>
  <c r="BU127" i="35"/>
  <c r="BV127" i="35"/>
  <c r="BW127" i="35"/>
  <c r="BX127" i="35"/>
  <c r="BY127" i="35"/>
  <c r="BZ127" i="35"/>
  <c r="CA127" i="35"/>
  <c r="CB127" i="35"/>
  <c r="CC127" i="35"/>
  <c r="CD127" i="35"/>
  <c r="A128" i="35"/>
  <c r="B128" i="35"/>
  <c r="C128" i="35"/>
  <c r="D128" i="35"/>
  <c r="E128" i="35"/>
  <c r="F128" i="35"/>
  <c r="G128" i="35"/>
  <c r="H128" i="35"/>
  <c r="I128" i="35"/>
  <c r="K128" i="35"/>
  <c r="L128" i="35"/>
  <c r="M128" i="35"/>
  <c r="N128" i="35"/>
  <c r="O128" i="35"/>
  <c r="P128" i="35"/>
  <c r="R128" i="35"/>
  <c r="S128" i="35"/>
  <c r="T128" i="35"/>
  <c r="U128" i="35"/>
  <c r="V128" i="35"/>
  <c r="W128" i="35"/>
  <c r="Y128" i="35"/>
  <c r="Z128" i="35"/>
  <c r="AA128" i="35"/>
  <c r="AB128" i="35"/>
  <c r="AC128" i="35"/>
  <c r="AD128" i="35"/>
  <c r="AF128" i="35"/>
  <c r="AG128" i="35"/>
  <c r="AH128" i="35"/>
  <c r="AI128" i="35"/>
  <c r="AN128" i="35"/>
  <c r="AO128" i="35"/>
  <c r="AP128" i="35"/>
  <c r="AQ128" i="35"/>
  <c r="AR128" i="35"/>
  <c r="AS128" i="35"/>
  <c r="AT128" i="35"/>
  <c r="AU128" i="35"/>
  <c r="AV128" i="35"/>
  <c r="AW128" i="35"/>
  <c r="AY128" i="35"/>
  <c r="AZ128" i="35"/>
  <c r="BA128" i="35"/>
  <c r="BB128" i="35"/>
  <c r="BC128" i="35"/>
  <c r="BD128" i="35"/>
  <c r="BE128" i="35"/>
  <c r="BF128" i="35"/>
  <c r="BG128" i="35"/>
  <c r="BH128" i="35"/>
  <c r="BJ128" i="35"/>
  <c r="BK128" i="35"/>
  <c r="BL128" i="35"/>
  <c r="BM128" i="35"/>
  <c r="BN128" i="35"/>
  <c r="BO128" i="35"/>
  <c r="BP128" i="35"/>
  <c r="BQ128" i="35"/>
  <c r="BR128" i="35"/>
  <c r="BS128" i="35"/>
  <c r="BU128" i="35"/>
  <c r="BV128" i="35"/>
  <c r="BW128" i="35"/>
  <c r="BX128" i="35"/>
  <c r="BY128" i="35"/>
  <c r="BZ128" i="35"/>
  <c r="CA128" i="35"/>
  <c r="CB128" i="35"/>
  <c r="CC128" i="35"/>
  <c r="CD128" i="35"/>
  <c r="A129" i="35"/>
  <c r="B129" i="35"/>
  <c r="C129" i="35"/>
  <c r="D129" i="35"/>
  <c r="E129" i="35"/>
  <c r="F129" i="35"/>
  <c r="G129" i="35"/>
  <c r="H129" i="35"/>
  <c r="I129" i="35"/>
  <c r="K129" i="35"/>
  <c r="L129" i="35"/>
  <c r="M129" i="35"/>
  <c r="N129" i="35"/>
  <c r="O129" i="35"/>
  <c r="P129" i="35"/>
  <c r="R129" i="35"/>
  <c r="S129" i="35"/>
  <c r="T129" i="35"/>
  <c r="U129" i="35"/>
  <c r="V129" i="35"/>
  <c r="W129" i="35"/>
  <c r="Y129" i="35"/>
  <c r="Z129" i="35"/>
  <c r="AA129" i="35"/>
  <c r="AB129" i="35"/>
  <c r="AC129" i="35"/>
  <c r="AD129" i="35"/>
  <c r="AF129" i="35"/>
  <c r="AG129" i="35"/>
  <c r="AH129" i="35"/>
  <c r="AI129" i="35"/>
  <c r="AN129" i="35"/>
  <c r="AO129" i="35"/>
  <c r="AP129" i="35"/>
  <c r="AQ129" i="35"/>
  <c r="AR129" i="35"/>
  <c r="AS129" i="35"/>
  <c r="AT129" i="35"/>
  <c r="AU129" i="35"/>
  <c r="AV129" i="35"/>
  <c r="AW129" i="35"/>
  <c r="AY129" i="35"/>
  <c r="AZ129" i="35"/>
  <c r="BA129" i="35"/>
  <c r="BB129" i="35"/>
  <c r="BC129" i="35"/>
  <c r="BD129" i="35"/>
  <c r="BE129" i="35"/>
  <c r="BF129" i="35"/>
  <c r="BG129" i="35"/>
  <c r="BH129" i="35"/>
  <c r="BJ129" i="35"/>
  <c r="BK129" i="35"/>
  <c r="BL129" i="35"/>
  <c r="BM129" i="35"/>
  <c r="BN129" i="35"/>
  <c r="BO129" i="35"/>
  <c r="BP129" i="35"/>
  <c r="BQ129" i="35"/>
  <c r="BR129" i="35"/>
  <c r="BS129" i="35"/>
  <c r="BU129" i="35"/>
  <c r="BV129" i="35"/>
  <c r="BW129" i="35"/>
  <c r="BX129" i="35"/>
  <c r="BY129" i="35"/>
  <c r="BZ129" i="35"/>
  <c r="CA129" i="35"/>
  <c r="CB129" i="35"/>
  <c r="CC129" i="35"/>
  <c r="CD129" i="35"/>
  <c r="A130" i="35"/>
  <c r="B130" i="35"/>
  <c r="C130" i="35"/>
  <c r="D130" i="35"/>
  <c r="E130" i="35"/>
  <c r="F130" i="35"/>
  <c r="G130" i="35"/>
  <c r="H130" i="35"/>
  <c r="I130" i="35"/>
  <c r="K130" i="35"/>
  <c r="L130" i="35"/>
  <c r="M130" i="35"/>
  <c r="N130" i="35"/>
  <c r="O130" i="35"/>
  <c r="P130" i="35"/>
  <c r="R130" i="35"/>
  <c r="S130" i="35"/>
  <c r="T130" i="35"/>
  <c r="U130" i="35"/>
  <c r="V130" i="35"/>
  <c r="W130" i="35"/>
  <c r="Y130" i="35"/>
  <c r="Z130" i="35"/>
  <c r="AA130" i="35"/>
  <c r="AB130" i="35"/>
  <c r="AC130" i="35"/>
  <c r="AD130" i="35"/>
  <c r="AF130" i="35"/>
  <c r="AG130" i="35"/>
  <c r="AH130" i="35"/>
  <c r="AI130" i="35"/>
  <c r="AN130" i="35"/>
  <c r="AO130" i="35"/>
  <c r="AP130" i="35"/>
  <c r="AQ130" i="35"/>
  <c r="AR130" i="35"/>
  <c r="AS130" i="35"/>
  <c r="AT130" i="35"/>
  <c r="AU130" i="35"/>
  <c r="AV130" i="35"/>
  <c r="AW130" i="35"/>
  <c r="AY130" i="35"/>
  <c r="AZ130" i="35"/>
  <c r="BA130" i="35"/>
  <c r="BB130" i="35"/>
  <c r="BC130" i="35"/>
  <c r="BD130" i="35"/>
  <c r="BE130" i="35"/>
  <c r="BF130" i="35"/>
  <c r="BG130" i="35"/>
  <c r="BH130" i="35"/>
  <c r="BJ130" i="35"/>
  <c r="BK130" i="35"/>
  <c r="BL130" i="35"/>
  <c r="BM130" i="35"/>
  <c r="BN130" i="35"/>
  <c r="BO130" i="35"/>
  <c r="BP130" i="35"/>
  <c r="BQ130" i="35"/>
  <c r="BR130" i="35"/>
  <c r="BS130" i="35"/>
  <c r="BU130" i="35"/>
  <c r="BV130" i="35"/>
  <c r="BW130" i="35"/>
  <c r="BX130" i="35"/>
  <c r="BY130" i="35"/>
  <c r="BZ130" i="35"/>
  <c r="CA130" i="35"/>
  <c r="CB130" i="35"/>
  <c r="CC130" i="35"/>
  <c r="CD130" i="35"/>
  <c r="A131" i="35"/>
  <c r="B131" i="35"/>
  <c r="C131" i="35"/>
  <c r="D131" i="35"/>
  <c r="E131" i="35"/>
  <c r="F131" i="35"/>
  <c r="G131" i="35"/>
  <c r="H131" i="35"/>
  <c r="I131" i="35"/>
  <c r="K131" i="35"/>
  <c r="L131" i="35"/>
  <c r="M131" i="35"/>
  <c r="N131" i="35"/>
  <c r="O131" i="35"/>
  <c r="P131" i="35"/>
  <c r="R131" i="35"/>
  <c r="S131" i="35"/>
  <c r="T131" i="35"/>
  <c r="U131" i="35"/>
  <c r="V131" i="35"/>
  <c r="W131" i="35"/>
  <c r="Y131" i="35"/>
  <c r="Z131" i="35"/>
  <c r="AA131" i="35"/>
  <c r="AB131" i="35"/>
  <c r="AC131" i="35"/>
  <c r="AD131" i="35"/>
  <c r="AF131" i="35"/>
  <c r="AG131" i="35"/>
  <c r="AH131" i="35"/>
  <c r="AI131" i="35"/>
  <c r="AN131" i="35"/>
  <c r="AO131" i="35"/>
  <c r="AP131" i="35"/>
  <c r="AQ131" i="35"/>
  <c r="AR131" i="35"/>
  <c r="AS131" i="35"/>
  <c r="AT131" i="35"/>
  <c r="AU131" i="35"/>
  <c r="AV131" i="35"/>
  <c r="AW131" i="35"/>
  <c r="AY131" i="35"/>
  <c r="AZ131" i="35"/>
  <c r="BA131" i="35"/>
  <c r="BB131" i="35"/>
  <c r="BC131" i="35"/>
  <c r="BD131" i="35"/>
  <c r="BE131" i="35"/>
  <c r="BF131" i="35"/>
  <c r="BG131" i="35"/>
  <c r="BH131" i="35"/>
  <c r="BJ131" i="35"/>
  <c r="BK131" i="35"/>
  <c r="BL131" i="35"/>
  <c r="BM131" i="35"/>
  <c r="BN131" i="35"/>
  <c r="BO131" i="35"/>
  <c r="BP131" i="35"/>
  <c r="BQ131" i="35"/>
  <c r="BR131" i="35"/>
  <c r="BS131" i="35"/>
  <c r="BU131" i="35"/>
  <c r="BV131" i="35"/>
  <c r="BW131" i="35"/>
  <c r="BX131" i="35"/>
  <c r="BY131" i="35"/>
  <c r="BZ131" i="35"/>
  <c r="CA131" i="35"/>
  <c r="CB131" i="35"/>
  <c r="CC131" i="35"/>
  <c r="CD131" i="35"/>
  <c r="A132" i="35"/>
  <c r="B132" i="35"/>
  <c r="C132" i="35"/>
  <c r="D132" i="35"/>
  <c r="E132" i="35"/>
  <c r="F132" i="35"/>
  <c r="G132" i="35"/>
  <c r="H132" i="35"/>
  <c r="I132" i="35"/>
  <c r="K132" i="35"/>
  <c r="L132" i="35"/>
  <c r="M132" i="35"/>
  <c r="N132" i="35"/>
  <c r="O132" i="35"/>
  <c r="P132" i="35"/>
  <c r="R132" i="35"/>
  <c r="S132" i="35"/>
  <c r="T132" i="35"/>
  <c r="U132" i="35"/>
  <c r="V132" i="35"/>
  <c r="W132" i="35"/>
  <c r="Y132" i="35"/>
  <c r="Z132" i="35"/>
  <c r="AA132" i="35"/>
  <c r="AB132" i="35"/>
  <c r="AC132" i="35"/>
  <c r="AD132" i="35"/>
  <c r="AF132" i="35"/>
  <c r="AG132" i="35"/>
  <c r="AH132" i="35"/>
  <c r="AI132" i="35"/>
  <c r="AN132" i="35"/>
  <c r="AO132" i="35"/>
  <c r="AP132" i="35"/>
  <c r="AQ132" i="35"/>
  <c r="AR132" i="35"/>
  <c r="AS132" i="35"/>
  <c r="AT132" i="35"/>
  <c r="AU132" i="35"/>
  <c r="AV132" i="35"/>
  <c r="AW132" i="35"/>
  <c r="AY132" i="35"/>
  <c r="AZ132" i="35"/>
  <c r="BA132" i="35"/>
  <c r="BB132" i="35"/>
  <c r="BC132" i="35"/>
  <c r="BD132" i="35"/>
  <c r="BE132" i="35"/>
  <c r="BF132" i="35"/>
  <c r="BG132" i="35"/>
  <c r="BH132" i="35"/>
  <c r="BJ132" i="35"/>
  <c r="BK132" i="35"/>
  <c r="BL132" i="35"/>
  <c r="BM132" i="35"/>
  <c r="BN132" i="35"/>
  <c r="BO132" i="35"/>
  <c r="BP132" i="35"/>
  <c r="BQ132" i="35"/>
  <c r="BR132" i="35"/>
  <c r="BS132" i="35"/>
  <c r="BU132" i="35"/>
  <c r="BV132" i="35"/>
  <c r="BW132" i="35"/>
  <c r="BX132" i="35"/>
  <c r="BY132" i="35"/>
  <c r="BZ132" i="35"/>
  <c r="CA132" i="35"/>
  <c r="CB132" i="35"/>
  <c r="CC132" i="35"/>
  <c r="CD132" i="35"/>
  <c r="A133" i="35"/>
  <c r="B133" i="35"/>
  <c r="C133" i="35"/>
  <c r="D133" i="35"/>
  <c r="E133" i="35"/>
  <c r="F133" i="35"/>
  <c r="G133" i="35"/>
  <c r="H133" i="35"/>
  <c r="I133" i="35"/>
  <c r="K133" i="35"/>
  <c r="L133" i="35"/>
  <c r="M133" i="35"/>
  <c r="N133" i="35"/>
  <c r="O133" i="35"/>
  <c r="P133" i="35"/>
  <c r="R133" i="35"/>
  <c r="S133" i="35"/>
  <c r="T133" i="35"/>
  <c r="U133" i="35"/>
  <c r="V133" i="35"/>
  <c r="W133" i="35"/>
  <c r="Y133" i="35"/>
  <c r="Z133" i="35"/>
  <c r="AA133" i="35"/>
  <c r="AB133" i="35"/>
  <c r="AC133" i="35"/>
  <c r="AD133" i="35"/>
  <c r="AF133" i="35"/>
  <c r="AG133" i="35"/>
  <c r="AH133" i="35"/>
  <c r="AI133" i="35"/>
  <c r="AN133" i="35"/>
  <c r="AO133" i="35"/>
  <c r="AP133" i="35"/>
  <c r="AQ133" i="35"/>
  <c r="AR133" i="35"/>
  <c r="AS133" i="35"/>
  <c r="AT133" i="35"/>
  <c r="AU133" i="35"/>
  <c r="AV133" i="35"/>
  <c r="AW133" i="35"/>
  <c r="AY133" i="35"/>
  <c r="AZ133" i="35"/>
  <c r="BA133" i="35"/>
  <c r="BB133" i="35"/>
  <c r="BC133" i="35"/>
  <c r="BD133" i="35"/>
  <c r="BE133" i="35"/>
  <c r="BF133" i="35"/>
  <c r="BG133" i="35"/>
  <c r="BH133" i="35"/>
  <c r="BJ133" i="35"/>
  <c r="BK133" i="35"/>
  <c r="BL133" i="35"/>
  <c r="BM133" i="35"/>
  <c r="BN133" i="35"/>
  <c r="BO133" i="35"/>
  <c r="BP133" i="35"/>
  <c r="BQ133" i="35"/>
  <c r="BR133" i="35"/>
  <c r="BS133" i="35"/>
  <c r="BU133" i="35"/>
  <c r="BV133" i="35"/>
  <c r="BW133" i="35"/>
  <c r="BX133" i="35"/>
  <c r="BY133" i="35"/>
  <c r="BZ133" i="35"/>
  <c r="CA133" i="35"/>
  <c r="CB133" i="35"/>
  <c r="CC133" i="35"/>
  <c r="CD133" i="35"/>
  <c r="A134" i="35"/>
  <c r="B134" i="35"/>
  <c r="C134" i="35"/>
  <c r="D134" i="35"/>
  <c r="E134" i="35"/>
  <c r="F134" i="35"/>
  <c r="G134" i="35"/>
  <c r="H134" i="35"/>
  <c r="I134" i="35"/>
  <c r="K134" i="35"/>
  <c r="L134" i="35"/>
  <c r="M134" i="35"/>
  <c r="N134" i="35"/>
  <c r="O134" i="35"/>
  <c r="P134" i="35"/>
  <c r="R134" i="35"/>
  <c r="S134" i="35"/>
  <c r="T134" i="35"/>
  <c r="U134" i="35"/>
  <c r="V134" i="35"/>
  <c r="W134" i="35"/>
  <c r="Y134" i="35"/>
  <c r="Z134" i="35"/>
  <c r="AA134" i="35"/>
  <c r="AB134" i="35"/>
  <c r="AC134" i="35"/>
  <c r="AD134" i="35"/>
  <c r="AF134" i="35"/>
  <c r="AG134" i="35"/>
  <c r="AH134" i="35"/>
  <c r="AI134" i="35"/>
  <c r="AN134" i="35"/>
  <c r="AO134" i="35"/>
  <c r="AP134" i="35"/>
  <c r="AQ134" i="35"/>
  <c r="AR134" i="35"/>
  <c r="AS134" i="35"/>
  <c r="AT134" i="35"/>
  <c r="AU134" i="35"/>
  <c r="AV134" i="35"/>
  <c r="AW134" i="35"/>
  <c r="AY134" i="35"/>
  <c r="AZ134" i="35"/>
  <c r="BA134" i="35"/>
  <c r="BB134" i="35"/>
  <c r="BC134" i="35"/>
  <c r="BD134" i="35"/>
  <c r="BE134" i="35"/>
  <c r="BF134" i="35"/>
  <c r="BG134" i="35"/>
  <c r="BH134" i="35"/>
  <c r="BJ134" i="35"/>
  <c r="BK134" i="35"/>
  <c r="BL134" i="35"/>
  <c r="BM134" i="35"/>
  <c r="BN134" i="35"/>
  <c r="BO134" i="35"/>
  <c r="BP134" i="35"/>
  <c r="BQ134" i="35"/>
  <c r="BR134" i="35"/>
  <c r="BS134" i="35"/>
  <c r="BU134" i="35"/>
  <c r="BV134" i="35"/>
  <c r="BW134" i="35"/>
  <c r="BX134" i="35"/>
  <c r="BY134" i="35"/>
  <c r="BZ134" i="35"/>
  <c r="CA134" i="35"/>
  <c r="CB134" i="35"/>
  <c r="CC134" i="35"/>
  <c r="CD134" i="35"/>
  <c r="A135" i="35"/>
  <c r="B135" i="35"/>
  <c r="C135" i="35"/>
  <c r="D135" i="35"/>
  <c r="E135" i="35"/>
  <c r="F135" i="35"/>
  <c r="G135" i="35"/>
  <c r="H135" i="35"/>
  <c r="I135" i="35"/>
  <c r="K135" i="35"/>
  <c r="L135" i="35"/>
  <c r="M135" i="35"/>
  <c r="N135" i="35"/>
  <c r="O135" i="35"/>
  <c r="P135" i="35"/>
  <c r="R135" i="35"/>
  <c r="S135" i="35"/>
  <c r="T135" i="35"/>
  <c r="U135" i="35"/>
  <c r="V135" i="35"/>
  <c r="W135" i="35"/>
  <c r="Y135" i="35"/>
  <c r="Z135" i="35"/>
  <c r="AA135" i="35"/>
  <c r="AB135" i="35"/>
  <c r="AC135" i="35"/>
  <c r="AD135" i="35"/>
  <c r="AF135" i="35"/>
  <c r="AG135" i="35"/>
  <c r="AH135" i="35"/>
  <c r="AI135" i="35"/>
  <c r="AN135" i="35"/>
  <c r="AO135" i="35"/>
  <c r="AP135" i="35"/>
  <c r="AQ135" i="35"/>
  <c r="AR135" i="35"/>
  <c r="AS135" i="35"/>
  <c r="AT135" i="35"/>
  <c r="AU135" i="35"/>
  <c r="AV135" i="35"/>
  <c r="AW135" i="35"/>
  <c r="AY135" i="35"/>
  <c r="AZ135" i="35"/>
  <c r="BA135" i="35"/>
  <c r="BB135" i="35"/>
  <c r="BC135" i="35"/>
  <c r="BD135" i="35"/>
  <c r="BE135" i="35"/>
  <c r="BF135" i="35"/>
  <c r="BG135" i="35"/>
  <c r="BH135" i="35"/>
  <c r="BJ135" i="35"/>
  <c r="BK135" i="35"/>
  <c r="BL135" i="35"/>
  <c r="BM135" i="35"/>
  <c r="BN135" i="35"/>
  <c r="BO135" i="35"/>
  <c r="BP135" i="35"/>
  <c r="BQ135" i="35"/>
  <c r="BR135" i="35"/>
  <c r="BS135" i="35"/>
  <c r="BU135" i="35"/>
  <c r="BV135" i="35"/>
  <c r="BW135" i="35"/>
  <c r="BX135" i="35"/>
  <c r="BY135" i="35"/>
  <c r="BZ135" i="35"/>
  <c r="CA135" i="35"/>
  <c r="CB135" i="35"/>
  <c r="CC135" i="35"/>
  <c r="CD135" i="35"/>
  <c r="A136" i="35"/>
  <c r="B136" i="35"/>
  <c r="C136" i="35"/>
  <c r="D136" i="35"/>
  <c r="E136" i="35"/>
  <c r="F136" i="35"/>
  <c r="G136" i="35"/>
  <c r="H136" i="35"/>
  <c r="I136" i="35"/>
  <c r="K136" i="35"/>
  <c r="L136" i="35"/>
  <c r="M136" i="35"/>
  <c r="N136" i="35"/>
  <c r="O136" i="35"/>
  <c r="P136" i="35"/>
  <c r="R136" i="35"/>
  <c r="S136" i="35"/>
  <c r="T136" i="35"/>
  <c r="U136" i="35"/>
  <c r="V136" i="35"/>
  <c r="W136" i="35"/>
  <c r="Y136" i="35"/>
  <c r="Z136" i="35"/>
  <c r="AA136" i="35"/>
  <c r="AB136" i="35"/>
  <c r="AC136" i="35"/>
  <c r="AD136" i="35"/>
  <c r="AF136" i="35"/>
  <c r="AG136" i="35"/>
  <c r="AH136" i="35"/>
  <c r="AI136" i="35"/>
  <c r="AN136" i="35"/>
  <c r="AO136" i="35"/>
  <c r="AP136" i="35"/>
  <c r="AQ136" i="35"/>
  <c r="AR136" i="35"/>
  <c r="AS136" i="35"/>
  <c r="AT136" i="35"/>
  <c r="AU136" i="35"/>
  <c r="AV136" i="35"/>
  <c r="AW136" i="35"/>
  <c r="AY136" i="35"/>
  <c r="AZ136" i="35"/>
  <c r="BA136" i="35"/>
  <c r="BB136" i="35"/>
  <c r="BC136" i="35"/>
  <c r="BD136" i="35"/>
  <c r="BE136" i="35"/>
  <c r="BF136" i="35"/>
  <c r="BG136" i="35"/>
  <c r="BH136" i="35"/>
  <c r="BJ136" i="35"/>
  <c r="BK136" i="35"/>
  <c r="BL136" i="35"/>
  <c r="BM136" i="35"/>
  <c r="BN136" i="35"/>
  <c r="BO136" i="35"/>
  <c r="BP136" i="35"/>
  <c r="BQ136" i="35"/>
  <c r="BR136" i="35"/>
  <c r="BS136" i="35"/>
  <c r="BU136" i="35"/>
  <c r="BV136" i="35"/>
  <c r="BW136" i="35"/>
  <c r="BX136" i="35"/>
  <c r="BY136" i="35"/>
  <c r="BZ136" i="35"/>
  <c r="CA136" i="35"/>
  <c r="CB136" i="35"/>
  <c r="CC136" i="35"/>
  <c r="CD136" i="35"/>
  <c r="A137" i="35"/>
  <c r="B137" i="35"/>
  <c r="C137" i="35"/>
  <c r="D137" i="35"/>
  <c r="E137" i="35"/>
  <c r="F137" i="35"/>
  <c r="G137" i="35"/>
  <c r="H137" i="35"/>
  <c r="I137" i="35"/>
  <c r="K137" i="35"/>
  <c r="L137" i="35"/>
  <c r="M137" i="35"/>
  <c r="N137" i="35"/>
  <c r="O137" i="35"/>
  <c r="P137" i="35"/>
  <c r="R137" i="35"/>
  <c r="S137" i="35"/>
  <c r="T137" i="35"/>
  <c r="U137" i="35"/>
  <c r="V137" i="35"/>
  <c r="W137" i="35"/>
  <c r="Y137" i="35"/>
  <c r="Z137" i="35"/>
  <c r="AA137" i="35"/>
  <c r="AB137" i="35"/>
  <c r="AC137" i="35"/>
  <c r="AD137" i="35"/>
  <c r="AF137" i="35"/>
  <c r="AG137" i="35"/>
  <c r="AH137" i="35"/>
  <c r="AI137" i="35"/>
  <c r="AN137" i="35"/>
  <c r="AO137" i="35"/>
  <c r="AP137" i="35"/>
  <c r="AQ137" i="35"/>
  <c r="AR137" i="35"/>
  <c r="AS137" i="35"/>
  <c r="AT137" i="35"/>
  <c r="AU137" i="35"/>
  <c r="AV137" i="35"/>
  <c r="AW137" i="35"/>
  <c r="AY137" i="35"/>
  <c r="AZ137" i="35"/>
  <c r="BA137" i="35"/>
  <c r="BB137" i="35"/>
  <c r="BC137" i="35"/>
  <c r="BD137" i="35"/>
  <c r="BE137" i="35"/>
  <c r="BF137" i="35"/>
  <c r="BG137" i="35"/>
  <c r="BH137" i="35"/>
  <c r="BJ137" i="35"/>
  <c r="BK137" i="35"/>
  <c r="BL137" i="35"/>
  <c r="BM137" i="35"/>
  <c r="BN137" i="35"/>
  <c r="BO137" i="35"/>
  <c r="BP137" i="35"/>
  <c r="BQ137" i="35"/>
  <c r="BR137" i="35"/>
  <c r="BS137" i="35"/>
  <c r="BU137" i="35"/>
  <c r="BV137" i="35"/>
  <c r="BW137" i="35"/>
  <c r="BX137" i="35"/>
  <c r="BY137" i="35"/>
  <c r="BZ137" i="35"/>
  <c r="CA137" i="35"/>
  <c r="CB137" i="35"/>
  <c r="CC137" i="35"/>
  <c r="CD137" i="35"/>
  <c r="A138" i="35"/>
  <c r="B138" i="35"/>
  <c r="C138" i="35"/>
  <c r="D138" i="35"/>
  <c r="E138" i="35"/>
  <c r="F138" i="35"/>
  <c r="G138" i="35"/>
  <c r="H138" i="35"/>
  <c r="I138" i="35"/>
  <c r="K138" i="35"/>
  <c r="L138" i="35"/>
  <c r="M138" i="35"/>
  <c r="N138" i="35"/>
  <c r="O138" i="35"/>
  <c r="P138" i="35"/>
  <c r="R138" i="35"/>
  <c r="S138" i="35"/>
  <c r="T138" i="35"/>
  <c r="U138" i="35"/>
  <c r="V138" i="35"/>
  <c r="W138" i="35"/>
  <c r="Y138" i="35"/>
  <c r="Z138" i="35"/>
  <c r="AA138" i="35"/>
  <c r="AB138" i="35"/>
  <c r="AC138" i="35"/>
  <c r="AD138" i="35"/>
  <c r="AF138" i="35"/>
  <c r="AG138" i="35"/>
  <c r="AH138" i="35"/>
  <c r="AI138" i="35"/>
  <c r="AN138" i="35"/>
  <c r="AO138" i="35"/>
  <c r="AP138" i="35"/>
  <c r="AQ138" i="35"/>
  <c r="AR138" i="35"/>
  <c r="AS138" i="35"/>
  <c r="AT138" i="35"/>
  <c r="AU138" i="35"/>
  <c r="AV138" i="35"/>
  <c r="AW138" i="35"/>
  <c r="AY138" i="35"/>
  <c r="AZ138" i="35"/>
  <c r="BA138" i="35"/>
  <c r="BB138" i="35"/>
  <c r="BC138" i="35"/>
  <c r="BD138" i="35"/>
  <c r="BE138" i="35"/>
  <c r="BF138" i="35"/>
  <c r="BG138" i="35"/>
  <c r="BH138" i="35"/>
  <c r="BJ138" i="35"/>
  <c r="BK138" i="35"/>
  <c r="BL138" i="35"/>
  <c r="BM138" i="35"/>
  <c r="BN138" i="35"/>
  <c r="BO138" i="35"/>
  <c r="BP138" i="35"/>
  <c r="BQ138" i="35"/>
  <c r="BR138" i="35"/>
  <c r="BS138" i="35"/>
  <c r="BU138" i="35"/>
  <c r="BV138" i="35"/>
  <c r="BW138" i="35"/>
  <c r="BX138" i="35"/>
  <c r="BY138" i="35"/>
  <c r="BZ138" i="35"/>
  <c r="CA138" i="35"/>
  <c r="CB138" i="35"/>
  <c r="CC138" i="35"/>
  <c r="CD138" i="35"/>
  <c r="A139" i="35"/>
  <c r="B139" i="35"/>
  <c r="C139" i="35"/>
  <c r="D139" i="35"/>
  <c r="E139" i="35"/>
  <c r="F139" i="35"/>
  <c r="G139" i="35"/>
  <c r="H139" i="35"/>
  <c r="I139" i="35"/>
  <c r="K139" i="35"/>
  <c r="L139" i="35"/>
  <c r="M139" i="35"/>
  <c r="N139" i="35"/>
  <c r="O139" i="35"/>
  <c r="P139" i="35"/>
  <c r="R139" i="35"/>
  <c r="S139" i="35"/>
  <c r="T139" i="35"/>
  <c r="U139" i="35"/>
  <c r="V139" i="35"/>
  <c r="W139" i="35"/>
  <c r="Y139" i="35"/>
  <c r="Z139" i="35"/>
  <c r="AA139" i="35"/>
  <c r="AB139" i="35"/>
  <c r="AC139" i="35"/>
  <c r="AD139" i="35"/>
  <c r="AF139" i="35"/>
  <c r="AG139" i="35"/>
  <c r="AH139" i="35"/>
  <c r="AI139" i="35"/>
  <c r="AN139" i="35"/>
  <c r="AO139" i="35"/>
  <c r="AP139" i="35"/>
  <c r="AQ139" i="35"/>
  <c r="AR139" i="35"/>
  <c r="AS139" i="35"/>
  <c r="AT139" i="35"/>
  <c r="AU139" i="35"/>
  <c r="AV139" i="35"/>
  <c r="AW139" i="35"/>
  <c r="AY139" i="35"/>
  <c r="AZ139" i="35"/>
  <c r="BA139" i="35"/>
  <c r="BB139" i="35"/>
  <c r="BC139" i="35"/>
  <c r="BD139" i="35"/>
  <c r="BE139" i="35"/>
  <c r="BF139" i="35"/>
  <c r="BG139" i="35"/>
  <c r="BH139" i="35"/>
  <c r="BJ139" i="35"/>
  <c r="BK139" i="35"/>
  <c r="BL139" i="35"/>
  <c r="BM139" i="35"/>
  <c r="BN139" i="35"/>
  <c r="BO139" i="35"/>
  <c r="BP139" i="35"/>
  <c r="BQ139" i="35"/>
  <c r="BR139" i="35"/>
  <c r="BS139" i="35"/>
  <c r="BU139" i="35"/>
  <c r="BV139" i="35"/>
  <c r="BW139" i="35"/>
  <c r="BX139" i="35"/>
  <c r="BY139" i="35"/>
  <c r="BZ139" i="35"/>
  <c r="CA139" i="35"/>
  <c r="CB139" i="35"/>
  <c r="CC139" i="35"/>
  <c r="CD139" i="35"/>
  <c r="A140" i="35"/>
  <c r="B140" i="35"/>
  <c r="C140" i="35"/>
  <c r="D140" i="35"/>
  <c r="E140" i="35"/>
  <c r="F140" i="35"/>
  <c r="G140" i="35"/>
  <c r="H140" i="35"/>
  <c r="I140" i="35"/>
  <c r="K140" i="35"/>
  <c r="L140" i="35"/>
  <c r="M140" i="35"/>
  <c r="N140" i="35"/>
  <c r="O140" i="35"/>
  <c r="P140" i="35"/>
  <c r="R140" i="35"/>
  <c r="S140" i="35"/>
  <c r="T140" i="35"/>
  <c r="U140" i="35"/>
  <c r="V140" i="35"/>
  <c r="W140" i="35"/>
  <c r="Y140" i="35"/>
  <c r="Z140" i="35"/>
  <c r="AA140" i="35"/>
  <c r="AB140" i="35"/>
  <c r="AC140" i="35"/>
  <c r="AD140" i="35"/>
  <c r="AF140" i="35"/>
  <c r="AG140" i="35"/>
  <c r="AH140" i="35"/>
  <c r="AI140" i="35"/>
  <c r="AN140" i="35"/>
  <c r="AO140" i="35"/>
  <c r="AP140" i="35"/>
  <c r="AQ140" i="35"/>
  <c r="AR140" i="35"/>
  <c r="AS140" i="35"/>
  <c r="AT140" i="35"/>
  <c r="AU140" i="35"/>
  <c r="AV140" i="35"/>
  <c r="AW140" i="35"/>
  <c r="AY140" i="35"/>
  <c r="AZ140" i="35"/>
  <c r="BA140" i="35"/>
  <c r="BB140" i="35"/>
  <c r="BC140" i="35"/>
  <c r="BD140" i="35"/>
  <c r="BE140" i="35"/>
  <c r="BF140" i="35"/>
  <c r="BG140" i="35"/>
  <c r="BH140" i="35"/>
  <c r="BJ140" i="35"/>
  <c r="BK140" i="35"/>
  <c r="BL140" i="35"/>
  <c r="BM140" i="35"/>
  <c r="BN140" i="35"/>
  <c r="BO140" i="35"/>
  <c r="BP140" i="35"/>
  <c r="BQ140" i="35"/>
  <c r="BR140" i="35"/>
  <c r="BS140" i="35"/>
  <c r="BU140" i="35"/>
  <c r="BV140" i="35"/>
  <c r="BW140" i="35"/>
  <c r="BX140" i="35"/>
  <c r="BY140" i="35"/>
  <c r="BZ140" i="35"/>
  <c r="CA140" i="35"/>
  <c r="CB140" i="35"/>
  <c r="CC140" i="35"/>
  <c r="CD140" i="35"/>
  <c r="A141" i="35"/>
  <c r="B141" i="35"/>
  <c r="C141" i="35"/>
  <c r="D141" i="35"/>
  <c r="E141" i="35"/>
  <c r="F141" i="35"/>
  <c r="G141" i="35"/>
  <c r="H141" i="35"/>
  <c r="I141" i="35"/>
  <c r="K141" i="35"/>
  <c r="L141" i="35"/>
  <c r="M141" i="35"/>
  <c r="N141" i="35"/>
  <c r="O141" i="35"/>
  <c r="P141" i="35"/>
  <c r="R141" i="35"/>
  <c r="S141" i="35"/>
  <c r="T141" i="35"/>
  <c r="U141" i="35"/>
  <c r="V141" i="35"/>
  <c r="W141" i="35"/>
  <c r="Y141" i="35"/>
  <c r="Z141" i="35"/>
  <c r="AA141" i="35"/>
  <c r="AB141" i="35"/>
  <c r="AC141" i="35"/>
  <c r="AD141" i="35"/>
  <c r="AF141" i="35"/>
  <c r="AG141" i="35"/>
  <c r="AH141" i="35"/>
  <c r="AI141" i="35"/>
  <c r="AN141" i="35"/>
  <c r="AO141" i="35"/>
  <c r="AP141" i="35"/>
  <c r="AQ141" i="35"/>
  <c r="AR141" i="35"/>
  <c r="AS141" i="35"/>
  <c r="AT141" i="35"/>
  <c r="AU141" i="35"/>
  <c r="AV141" i="35"/>
  <c r="AW141" i="35"/>
  <c r="AY141" i="35"/>
  <c r="AZ141" i="35"/>
  <c r="BA141" i="35"/>
  <c r="BB141" i="35"/>
  <c r="BC141" i="35"/>
  <c r="BD141" i="35"/>
  <c r="BE141" i="35"/>
  <c r="BF141" i="35"/>
  <c r="BG141" i="35"/>
  <c r="BH141" i="35"/>
  <c r="BJ141" i="35"/>
  <c r="BK141" i="35"/>
  <c r="BL141" i="35"/>
  <c r="BM141" i="35"/>
  <c r="BN141" i="35"/>
  <c r="BO141" i="35"/>
  <c r="BP141" i="35"/>
  <c r="BQ141" i="35"/>
  <c r="BR141" i="35"/>
  <c r="BS141" i="35"/>
  <c r="BU141" i="35"/>
  <c r="BV141" i="35"/>
  <c r="BW141" i="35"/>
  <c r="BX141" i="35"/>
  <c r="BY141" i="35"/>
  <c r="BZ141" i="35"/>
  <c r="CA141" i="35"/>
  <c r="CB141" i="35"/>
  <c r="CC141" i="35"/>
  <c r="CD141" i="35"/>
  <c r="A142" i="35"/>
  <c r="B142" i="35"/>
  <c r="C142" i="35"/>
  <c r="D142" i="35"/>
  <c r="E142" i="35"/>
  <c r="F142" i="35"/>
  <c r="G142" i="35"/>
  <c r="H142" i="35"/>
  <c r="I142" i="35"/>
  <c r="K142" i="35"/>
  <c r="L142" i="35"/>
  <c r="M142" i="35"/>
  <c r="N142" i="35"/>
  <c r="O142" i="35"/>
  <c r="P142" i="35"/>
  <c r="R142" i="35"/>
  <c r="S142" i="35"/>
  <c r="T142" i="35"/>
  <c r="U142" i="35"/>
  <c r="V142" i="35"/>
  <c r="W142" i="35"/>
  <c r="Y142" i="35"/>
  <c r="Z142" i="35"/>
  <c r="AA142" i="35"/>
  <c r="AB142" i="35"/>
  <c r="AC142" i="35"/>
  <c r="AD142" i="35"/>
  <c r="AF142" i="35"/>
  <c r="AG142" i="35"/>
  <c r="AH142" i="35"/>
  <c r="AI142" i="35"/>
  <c r="AN142" i="35"/>
  <c r="AO142" i="35"/>
  <c r="AP142" i="35"/>
  <c r="AQ142" i="35"/>
  <c r="AR142" i="35"/>
  <c r="AS142" i="35"/>
  <c r="AT142" i="35"/>
  <c r="AU142" i="35"/>
  <c r="AV142" i="35"/>
  <c r="AW142" i="35"/>
  <c r="AY142" i="35"/>
  <c r="AZ142" i="35"/>
  <c r="BA142" i="35"/>
  <c r="BB142" i="35"/>
  <c r="BC142" i="35"/>
  <c r="BD142" i="35"/>
  <c r="BE142" i="35"/>
  <c r="BF142" i="35"/>
  <c r="BG142" i="35"/>
  <c r="BH142" i="35"/>
  <c r="BJ142" i="35"/>
  <c r="BK142" i="35"/>
  <c r="BL142" i="35"/>
  <c r="BM142" i="35"/>
  <c r="BN142" i="35"/>
  <c r="BO142" i="35"/>
  <c r="BP142" i="35"/>
  <c r="BQ142" i="35"/>
  <c r="BR142" i="35"/>
  <c r="BS142" i="35"/>
  <c r="BU142" i="35"/>
  <c r="BV142" i="35"/>
  <c r="BW142" i="35"/>
  <c r="BX142" i="35"/>
  <c r="BY142" i="35"/>
  <c r="BZ142" i="35"/>
  <c r="CA142" i="35"/>
  <c r="CB142" i="35"/>
  <c r="CC142" i="35"/>
  <c r="CD142" i="35"/>
  <c r="A143" i="35"/>
  <c r="B143" i="35"/>
  <c r="C143" i="35"/>
  <c r="D143" i="35"/>
  <c r="E143" i="35"/>
  <c r="F143" i="35"/>
  <c r="G143" i="35"/>
  <c r="H143" i="35"/>
  <c r="I143" i="35"/>
  <c r="K143" i="35"/>
  <c r="L143" i="35"/>
  <c r="M143" i="35"/>
  <c r="N143" i="35"/>
  <c r="O143" i="35"/>
  <c r="P143" i="35"/>
  <c r="R143" i="35"/>
  <c r="S143" i="35"/>
  <c r="T143" i="35"/>
  <c r="U143" i="35"/>
  <c r="V143" i="35"/>
  <c r="W143" i="35"/>
  <c r="Y143" i="35"/>
  <c r="Z143" i="35"/>
  <c r="AA143" i="35"/>
  <c r="AB143" i="35"/>
  <c r="AC143" i="35"/>
  <c r="AD143" i="35"/>
  <c r="AF143" i="35"/>
  <c r="AG143" i="35"/>
  <c r="AH143" i="35"/>
  <c r="AI143" i="35"/>
  <c r="AN143" i="35"/>
  <c r="AO143" i="35"/>
  <c r="AP143" i="35"/>
  <c r="AQ143" i="35"/>
  <c r="AR143" i="35"/>
  <c r="AS143" i="35"/>
  <c r="AT143" i="35"/>
  <c r="AU143" i="35"/>
  <c r="AV143" i="35"/>
  <c r="AW143" i="35"/>
  <c r="AY143" i="35"/>
  <c r="AZ143" i="35"/>
  <c r="BA143" i="35"/>
  <c r="BB143" i="35"/>
  <c r="BC143" i="35"/>
  <c r="BD143" i="35"/>
  <c r="BE143" i="35"/>
  <c r="BF143" i="35"/>
  <c r="BG143" i="35"/>
  <c r="BH143" i="35"/>
  <c r="BJ143" i="35"/>
  <c r="BK143" i="35"/>
  <c r="BL143" i="35"/>
  <c r="BM143" i="35"/>
  <c r="BN143" i="35"/>
  <c r="BO143" i="35"/>
  <c r="BP143" i="35"/>
  <c r="BQ143" i="35"/>
  <c r="BR143" i="35"/>
  <c r="BS143" i="35"/>
  <c r="BU143" i="35"/>
  <c r="BV143" i="35"/>
  <c r="BW143" i="35"/>
  <c r="BX143" i="35"/>
  <c r="BY143" i="35"/>
  <c r="BZ143" i="35"/>
  <c r="CA143" i="35"/>
  <c r="CB143" i="35"/>
  <c r="CC143" i="35"/>
  <c r="CD143" i="35"/>
  <c r="A144" i="35"/>
  <c r="B144" i="35"/>
  <c r="C144" i="35"/>
  <c r="D144" i="35"/>
  <c r="E144" i="35"/>
  <c r="F144" i="35"/>
  <c r="G144" i="35"/>
  <c r="H144" i="35"/>
  <c r="I144" i="35"/>
  <c r="K144" i="35"/>
  <c r="L144" i="35"/>
  <c r="M144" i="35"/>
  <c r="N144" i="35"/>
  <c r="O144" i="35"/>
  <c r="P144" i="35"/>
  <c r="R144" i="35"/>
  <c r="S144" i="35"/>
  <c r="T144" i="35"/>
  <c r="U144" i="35"/>
  <c r="V144" i="35"/>
  <c r="W144" i="35"/>
  <c r="Y144" i="35"/>
  <c r="Z144" i="35"/>
  <c r="AA144" i="35"/>
  <c r="AB144" i="35"/>
  <c r="AC144" i="35"/>
  <c r="AD144" i="35"/>
  <c r="AF144" i="35"/>
  <c r="AG144" i="35"/>
  <c r="AH144" i="35"/>
  <c r="AI144" i="35"/>
  <c r="AN144" i="35"/>
  <c r="AO144" i="35"/>
  <c r="AP144" i="35"/>
  <c r="AQ144" i="35"/>
  <c r="AR144" i="35"/>
  <c r="AS144" i="35"/>
  <c r="AT144" i="35"/>
  <c r="AU144" i="35"/>
  <c r="AV144" i="35"/>
  <c r="AW144" i="35"/>
  <c r="AY144" i="35"/>
  <c r="AZ144" i="35"/>
  <c r="BA144" i="35"/>
  <c r="BB144" i="35"/>
  <c r="BC144" i="35"/>
  <c r="BD144" i="35"/>
  <c r="BE144" i="35"/>
  <c r="BF144" i="35"/>
  <c r="BG144" i="35"/>
  <c r="BH144" i="35"/>
  <c r="BJ144" i="35"/>
  <c r="BK144" i="35"/>
  <c r="BL144" i="35"/>
  <c r="BM144" i="35"/>
  <c r="BN144" i="35"/>
  <c r="BO144" i="35"/>
  <c r="BP144" i="35"/>
  <c r="BQ144" i="35"/>
  <c r="BR144" i="35"/>
  <c r="BS144" i="35"/>
  <c r="BU144" i="35"/>
  <c r="BV144" i="35"/>
  <c r="BW144" i="35"/>
  <c r="BX144" i="35"/>
  <c r="BY144" i="35"/>
  <c r="BZ144" i="35"/>
  <c r="CA144" i="35"/>
  <c r="CB144" i="35"/>
  <c r="CC144" i="35"/>
  <c r="CD144" i="35"/>
  <c r="A145" i="35"/>
  <c r="B145" i="35"/>
  <c r="C145" i="35"/>
  <c r="D145" i="35"/>
  <c r="E145" i="35"/>
  <c r="F145" i="35"/>
  <c r="G145" i="35"/>
  <c r="H145" i="35"/>
  <c r="I145" i="35"/>
  <c r="K145" i="35"/>
  <c r="L145" i="35"/>
  <c r="M145" i="35"/>
  <c r="N145" i="35"/>
  <c r="O145" i="35"/>
  <c r="P145" i="35"/>
  <c r="R145" i="35"/>
  <c r="S145" i="35"/>
  <c r="T145" i="35"/>
  <c r="U145" i="35"/>
  <c r="V145" i="35"/>
  <c r="W145" i="35"/>
  <c r="Y145" i="35"/>
  <c r="Z145" i="35"/>
  <c r="AA145" i="35"/>
  <c r="AB145" i="35"/>
  <c r="AC145" i="35"/>
  <c r="AD145" i="35"/>
  <c r="AF145" i="35"/>
  <c r="AG145" i="35"/>
  <c r="AH145" i="35"/>
  <c r="AI145" i="35"/>
  <c r="AN145" i="35"/>
  <c r="AO145" i="35"/>
  <c r="AP145" i="35"/>
  <c r="AQ145" i="35"/>
  <c r="AR145" i="35"/>
  <c r="AS145" i="35"/>
  <c r="AT145" i="35"/>
  <c r="AU145" i="35"/>
  <c r="AV145" i="35"/>
  <c r="AW145" i="35"/>
  <c r="AY145" i="35"/>
  <c r="AZ145" i="35"/>
  <c r="BA145" i="35"/>
  <c r="BB145" i="35"/>
  <c r="BC145" i="35"/>
  <c r="BD145" i="35"/>
  <c r="BE145" i="35"/>
  <c r="BF145" i="35"/>
  <c r="BG145" i="35"/>
  <c r="BH145" i="35"/>
  <c r="BJ145" i="35"/>
  <c r="BK145" i="35"/>
  <c r="BL145" i="35"/>
  <c r="BM145" i="35"/>
  <c r="BN145" i="35"/>
  <c r="BO145" i="35"/>
  <c r="BP145" i="35"/>
  <c r="BQ145" i="35"/>
  <c r="BR145" i="35"/>
  <c r="BS145" i="35"/>
  <c r="BU145" i="35"/>
  <c r="BV145" i="35"/>
  <c r="BW145" i="35"/>
  <c r="BX145" i="35"/>
  <c r="BY145" i="35"/>
  <c r="BZ145" i="35"/>
  <c r="CA145" i="35"/>
  <c r="CB145" i="35"/>
  <c r="CC145" i="35"/>
  <c r="CD145" i="35"/>
  <c r="A146" i="35"/>
  <c r="B146" i="35"/>
  <c r="C146" i="35"/>
  <c r="D146" i="35"/>
  <c r="E146" i="35"/>
  <c r="F146" i="35"/>
  <c r="G146" i="35"/>
  <c r="H146" i="35"/>
  <c r="I146" i="35"/>
  <c r="K146" i="35"/>
  <c r="L146" i="35"/>
  <c r="M146" i="35"/>
  <c r="N146" i="35"/>
  <c r="O146" i="35"/>
  <c r="P146" i="35"/>
  <c r="R146" i="35"/>
  <c r="S146" i="35"/>
  <c r="T146" i="35"/>
  <c r="U146" i="35"/>
  <c r="V146" i="35"/>
  <c r="W146" i="35"/>
  <c r="Y146" i="35"/>
  <c r="Z146" i="35"/>
  <c r="AA146" i="35"/>
  <c r="AB146" i="35"/>
  <c r="AC146" i="35"/>
  <c r="AD146" i="35"/>
  <c r="AF146" i="35"/>
  <c r="AG146" i="35"/>
  <c r="AH146" i="35"/>
  <c r="AI146" i="35"/>
  <c r="AN146" i="35"/>
  <c r="AO146" i="35"/>
  <c r="AP146" i="35"/>
  <c r="AQ146" i="35"/>
  <c r="AR146" i="35"/>
  <c r="AS146" i="35"/>
  <c r="AT146" i="35"/>
  <c r="AU146" i="35"/>
  <c r="AV146" i="35"/>
  <c r="AW146" i="35"/>
  <c r="AY146" i="35"/>
  <c r="AZ146" i="35"/>
  <c r="BA146" i="35"/>
  <c r="BB146" i="35"/>
  <c r="BC146" i="35"/>
  <c r="BD146" i="35"/>
  <c r="BE146" i="35"/>
  <c r="BF146" i="35"/>
  <c r="BG146" i="35"/>
  <c r="BH146" i="35"/>
  <c r="BJ146" i="35"/>
  <c r="BK146" i="35"/>
  <c r="BL146" i="35"/>
  <c r="BM146" i="35"/>
  <c r="BN146" i="35"/>
  <c r="BO146" i="35"/>
  <c r="BP146" i="35"/>
  <c r="BQ146" i="35"/>
  <c r="BR146" i="35"/>
  <c r="BS146" i="35"/>
  <c r="BU146" i="35"/>
  <c r="BV146" i="35"/>
  <c r="BW146" i="35"/>
  <c r="BX146" i="35"/>
  <c r="BY146" i="35"/>
  <c r="BZ146" i="35"/>
  <c r="CA146" i="35"/>
  <c r="CB146" i="35"/>
  <c r="CC146" i="35"/>
  <c r="CD146" i="35"/>
  <c r="A147" i="35"/>
  <c r="B147" i="35"/>
  <c r="C147" i="35"/>
  <c r="D147" i="35"/>
  <c r="E147" i="35"/>
  <c r="F147" i="35"/>
  <c r="G147" i="35"/>
  <c r="H147" i="35"/>
  <c r="I147" i="35"/>
  <c r="K147" i="35"/>
  <c r="L147" i="35"/>
  <c r="M147" i="35"/>
  <c r="N147" i="35"/>
  <c r="O147" i="35"/>
  <c r="P147" i="35"/>
  <c r="R147" i="35"/>
  <c r="S147" i="35"/>
  <c r="T147" i="35"/>
  <c r="U147" i="35"/>
  <c r="V147" i="35"/>
  <c r="W147" i="35"/>
  <c r="Y147" i="35"/>
  <c r="Z147" i="35"/>
  <c r="AA147" i="35"/>
  <c r="AB147" i="35"/>
  <c r="AC147" i="35"/>
  <c r="AD147" i="35"/>
  <c r="AF147" i="35"/>
  <c r="AG147" i="35"/>
  <c r="AH147" i="35"/>
  <c r="AI147" i="35"/>
  <c r="AN147" i="35"/>
  <c r="AO147" i="35"/>
  <c r="AP147" i="35"/>
  <c r="AQ147" i="35"/>
  <c r="AR147" i="35"/>
  <c r="AS147" i="35"/>
  <c r="AT147" i="35"/>
  <c r="AU147" i="35"/>
  <c r="AV147" i="35"/>
  <c r="AW147" i="35"/>
  <c r="AY147" i="35"/>
  <c r="AZ147" i="35"/>
  <c r="BA147" i="35"/>
  <c r="BB147" i="35"/>
  <c r="BC147" i="35"/>
  <c r="BD147" i="35"/>
  <c r="BE147" i="35"/>
  <c r="BF147" i="35"/>
  <c r="BG147" i="35"/>
  <c r="BH147" i="35"/>
  <c r="BJ147" i="35"/>
  <c r="BK147" i="35"/>
  <c r="BL147" i="35"/>
  <c r="BM147" i="35"/>
  <c r="BN147" i="35"/>
  <c r="BO147" i="35"/>
  <c r="BP147" i="35"/>
  <c r="BQ147" i="35"/>
  <c r="BR147" i="35"/>
  <c r="BS147" i="35"/>
  <c r="BU147" i="35"/>
  <c r="BV147" i="35"/>
  <c r="BW147" i="35"/>
  <c r="BX147" i="35"/>
  <c r="BY147" i="35"/>
  <c r="BZ147" i="35"/>
  <c r="CA147" i="35"/>
  <c r="CB147" i="35"/>
  <c r="CC147" i="35"/>
  <c r="CD147" i="35"/>
  <c r="A148" i="35"/>
  <c r="B148" i="35"/>
  <c r="C148" i="35"/>
  <c r="D148" i="35"/>
  <c r="E148" i="35"/>
  <c r="F148" i="35"/>
  <c r="G148" i="35"/>
  <c r="H148" i="35"/>
  <c r="I148" i="35"/>
  <c r="K148" i="35"/>
  <c r="L148" i="35"/>
  <c r="M148" i="35"/>
  <c r="N148" i="35"/>
  <c r="O148" i="35"/>
  <c r="P148" i="35"/>
  <c r="R148" i="35"/>
  <c r="S148" i="35"/>
  <c r="T148" i="35"/>
  <c r="U148" i="35"/>
  <c r="V148" i="35"/>
  <c r="W148" i="35"/>
  <c r="Y148" i="35"/>
  <c r="Z148" i="35"/>
  <c r="AA148" i="35"/>
  <c r="AB148" i="35"/>
  <c r="AC148" i="35"/>
  <c r="AD148" i="35"/>
  <c r="AF148" i="35"/>
  <c r="AG148" i="35"/>
  <c r="AH148" i="35"/>
  <c r="AI148" i="35"/>
  <c r="AN148" i="35"/>
  <c r="AO148" i="35"/>
  <c r="AP148" i="35"/>
  <c r="AQ148" i="35"/>
  <c r="AR148" i="35"/>
  <c r="AS148" i="35"/>
  <c r="AT148" i="35"/>
  <c r="AU148" i="35"/>
  <c r="AV148" i="35"/>
  <c r="AW148" i="35"/>
  <c r="AY148" i="35"/>
  <c r="AZ148" i="35"/>
  <c r="BA148" i="35"/>
  <c r="BB148" i="35"/>
  <c r="BC148" i="35"/>
  <c r="BD148" i="35"/>
  <c r="BE148" i="35"/>
  <c r="BF148" i="35"/>
  <c r="BG148" i="35"/>
  <c r="BH148" i="35"/>
  <c r="BJ148" i="35"/>
  <c r="BK148" i="35"/>
  <c r="BL148" i="35"/>
  <c r="BM148" i="35"/>
  <c r="BN148" i="35"/>
  <c r="BO148" i="35"/>
  <c r="BP148" i="35"/>
  <c r="BQ148" i="35"/>
  <c r="BR148" i="35"/>
  <c r="BS148" i="35"/>
  <c r="BU148" i="35"/>
  <c r="BV148" i="35"/>
  <c r="BW148" i="35"/>
  <c r="BX148" i="35"/>
  <c r="BY148" i="35"/>
  <c r="BZ148" i="35"/>
  <c r="CA148" i="35"/>
  <c r="CB148" i="35"/>
  <c r="CC148" i="35"/>
  <c r="CD148" i="35"/>
  <c r="A149" i="35"/>
  <c r="B149" i="35"/>
  <c r="C149" i="35"/>
  <c r="D149" i="35"/>
  <c r="E149" i="35"/>
  <c r="F149" i="35"/>
  <c r="G149" i="35"/>
  <c r="H149" i="35"/>
  <c r="I149" i="35"/>
  <c r="K149" i="35"/>
  <c r="L149" i="35"/>
  <c r="M149" i="35"/>
  <c r="N149" i="35"/>
  <c r="O149" i="35"/>
  <c r="P149" i="35"/>
  <c r="R149" i="35"/>
  <c r="S149" i="35"/>
  <c r="T149" i="35"/>
  <c r="U149" i="35"/>
  <c r="V149" i="35"/>
  <c r="W149" i="35"/>
  <c r="Y149" i="35"/>
  <c r="Z149" i="35"/>
  <c r="AA149" i="35"/>
  <c r="AB149" i="35"/>
  <c r="AC149" i="35"/>
  <c r="AD149" i="35"/>
  <c r="AF149" i="35"/>
  <c r="AG149" i="35"/>
  <c r="AH149" i="35"/>
  <c r="AI149" i="35"/>
  <c r="AN149" i="35"/>
  <c r="AO149" i="35"/>
  <c r="AP149" i="35"/>
  <c r="AQ149" i="35"/>
  <c r="AR149" i="35"/>
  <c r="AS149" i="35"/>
  <c r="AT149" i="35"/>
  <c r="AU149" i="35"/>
  <c r="AV149" i="35"/>
  <c r="AW149" i="35"/>
  <c r="AY149" i="35"/>
  <c r="AZ149" i="35"/>
  <c r="BA149" i="35"/>
  <c r="BB149" i="35"/>
  <c r="BC149" i="35"/>
  <c r="BD149" i="35"/>
  <c r="BE149" i="35"/>
  <c r="BF149" i="35"/>
  <c r="BG149" i="35"/>
  <c r="BH149" i="35"/>
  <c r="BJ149" i="35"/>
  <c r="BK149" i="35"/>
  <c r="BL149" i="35"/>
  <c r="BM149" i="35"/>
  <c r="BN149" i="35"/>
  <c r="BO149" i="35"/>
  <c r="BP149" i="35"/>
  <c r="BQ149" i="35"/>
  <c r="BR149" i="35"/>
  <c r="BS149" i="35"/>
  <c r="BU149" i="35"/>
  <c r="BV149" i="35"/>
  <c r="BW149" i="35"/>
  <c r="BX149" i="35"/>
  <c r="BY149" i="35"/>
  <c r="BZ149" i="35"/>
  <c r="CA149" i="35"/>
  <c r="CB149" i="35"/>
  <c r="CC149" i="35"/>
  <c r="CD149" i="35"/>
  <c r="A150" i="35"/>
  <c r="D1" i="40"/>
  <c r="M1" i="40"/>
  <c r="N1" i="40"/>
  <c r="B2" i="40"/>
  <c r="C2" i="40"/>
  <c r="D2" i="40"/>
  <c r="E2" i="40"/>
  <c r="R2" i="40"/>
  <c r="I3" i="40"/>
  <c r="L3" i="40"/>
  <c r="N3" i="40"/>
  <c r="O3" i="40"/>
  <c r="AA3" i="40"/>
  <c r="L4" i="40"/>
  <c r="N4" i="40"/>
  <c r="O4" i="40"/>
  <c r="R4" i="40"/>
  <c r="L5" i="40"/>
  <c r="N5" i="40"/>
  <c r="O5" i="40"/>
  <c r="R5" i="40"/>
  <c r="AF5" i="40"/>
  <c r="B6" i="40"/>
  <c r="C6" i="40"/>
  <c r="D6" i="40"/>
  <c r="E6" i="40"/>
  <c r="L6" i="40"/>
  <c r="N6" i="40"/>
  <c r="O6" i="40"/>
  <c r="R6" i="40"/>
  <c r="AF6" i="40"/>
  <c r="B7" i="40"/>
  <c r="C7" i="40"/>
  <c r="D7" i="40"/>
  <c r="E7" i="40"/>
  <c r="J7" i="40"/>
  <c r="L7" i="40"/>
  <c r="N7" i="40"/>
  <c r="O7" i="40"/>
  <c r="R7" i="40"/>
  <c r="AF7" i="40"/>
  <c r="L8" i="40"/>
  <c r="N8" i="40"/>
  <c r="O8" i="40"/>
  <c r="R8" i="40"/>
  <c r="W8" i="40"/>
  <c r="AF8" i="40"/>
  <c r="H9" i="40"/>
  <c r="L9" i="40"/>
  <c r="N9" i="40"/>
  <c r="O9" i="40"/>
  <c r="R9" i="40"/>
  <c r="W9" i="40"/>
  <c r="H10" i="40"/>
  <c r="L10" i="40"/>
  <c r="N10" i="40"/>
  <c r="O10" i="40"/>
  <c r="R10" i="40"/>
  <c r="W10" i="40"/>
  <c r="W11" i="40"/>
  <c r="B13" i="40"/>
  <c r="C13" i="40"/>
  <c r="D13" i="40"/>
  <c r="E13" i="40"/>
  <c r="W13" i="40"/>
  <c r="B14" i="40"/>
  <c r="C14" i="40"/>
  <c r="D14" i="40"/>
  <c r="E14" i="40"/>
  <c r="W14" i="40"/>
  <c r="AG14" i="40"/>
  <c r="B15" i="40"/>
  <c r="C15" i="40"/>
  <c r="D15" i="40"/>
  <c r="E15" i="40"/>
  <c r="W15" i="40"/>
  <c r="U16" i="40"/>
  <c r="R18" i="40"/>
  <c r="Y28" i="40"/>
  <c r="C31" i="40"/>
  <c r="D31" i="40"/>
  <c r="E31" i="40"/>
  <c r="F31" i="40"/>
  <c r="G31" i="40"/>
  <c r="I31" i="40"/>
  <c r="J31" i="40"/>
  <c r="L31" i="40"/>
  <c r="M31" i="40"/>
  <c r="N31" i="40"/>
  <c r="O31" i="40"/>
  <c r="P31" i="40"/>
  <c r="Q31" i="40"/>
  <c r="R31" i="40"/>
  <c r="W31" i="40"/>
  <c r="X31" i="40"/>
  <c r="AB31" i="40"/>
  <c r="AC31" i="40"/>
  <c r="AG31" i="40"/>
  <c r="AI31" i="40"/>
  <c r="BB31" i="40"/>
  <c r="A32" i="40"/>
  <c r="C32" i="40"/>
  <c r="D32" i="40"/>
  <c r="E32" i="40"/>
  <c r="F32" i="40"/>
  <c r="G32" i="40"/>
  <c r="I32" i="40"/>
  <c r="J32" i="40"/>
  <c r="L32" i="40"/>
  <c r="M32" i="40"/>
  <c r="N32" i="40"/>
  <c r="O32" i="40"/>
  <c r="P32" i="40"/>
  <c r="Q32" i="40"/>
  <c r="R32" i="40"/>
  <c r="W32" i="40"/>
  <c r="AB32" i="40"/>
  <c r="AC32" i="40"/>
  <c r="AI32" i="40"/>
  <c r="BB32" i="40"/>
  <c r="A33" i="40"/>
  <c r="C33" i="40"/>
  <c r="D33" i="40"/>
  <c r="E33" i="40"/>
  <c r="F33" i="40"/>
  <c r="G33" i="40"/>
  <c r="I33" i="40"/>
  <c r="J33" i="40"/>
  <c r="L33" i="40"/>
  <c r="M33" i="40"/>
  <c r="N33" i="40"/>
  <c r="O33" i="40"/>
  <c r="P33" i="40"/>
  <c r="Q33" i="40"/>
  <c r="R33" i="40"/>
  <c r="W33" i="40"/>
  <c r="AB33" i="40"/>
  <c r="AC33" i="40"/>
  <c r="AI33" i="40"/>
  <c r="BB33" i="40"/>
  <c r="A34" i="40"/>
  <c r="C34" i="40"/>
  <c r="D34" i="40"/>
  <c r="E34" i="40"/>
  <c r="F34" i="40"/>
  <c r="G34" i="40"/>
  <c r="I34" i="40"/>
  <c r="J34" i="40"/>
  <c r="L34" i="40"/>
  <c r="M34" i="40"/>
  <c r="N34" i="40"/>
  <c r="O34" i="40"/>
  <c r="P34" i="40"/>
  <c r="Q34" i="40"/>
  <c r="R34" i="40"/>
  <c r="W34" i="40"/>
  <c r="AB34" i="40"/>
  <c r="AC34" i="40"/>
  <c r="AI34" i="40"/>
  <c r="BB34" i="40"/>
  <c r="A35" i="40"/>
  <c r="C35" i="40"/>
  <c r="D35" i="40"/>
  <c r="E35" i="40"/>
  <c r="F35" i="40"/>
  <c r="G35" i="40"/>
  <c r="I35" i="40"/>
  <c r="J35" i="40"/>
  <c r="L35" i="40"/>
  <c r="M35" i="40"/>
  <c r="N35" i="40"/>
  <c r="O35" i="40"/>
  <c r="P35" i="40"/>
  <c r="Q35" i="40"/>
  <c r="R35" i="40"/>
  <c r="W35" i="40"/>
  <c r="AB35" i="40"/>
  <c r="AC35" i="40"/>
  <c r="AI35" i="40"/>
  <c r="BB35" i="40"/>
  <c r="A36" i="40"/>
  <c r="C36" i="40"/>
  <c r="D36" i="40"/>
  <c r="E36" i="40"/>
  <c r="F36" i="40"/>
  <c r="G36" i="40"/>
  <c r="I36" i="40"/>
  <c r="J36" i="40"/>
  <c r="L36" i="40"/>
  <c r="M36" i="40"/>
  <c r="N36" i="40"/>
  <c r="O36" i="40"/>
  <c r="P36" i="40"/>
  <c r="Q36" i="40"/>
  <c r="R36" i="40"/>
  <c r="W36" i="40"/>
  <c r="AB36" i="40"/>
  <c r="AC36" i="40"/>
  <c r="AI36" i="40"/>
  <c r="BB36" i="40"/>
  <c r="A37" i="40"/>
  <c r="C37" i="40"/>
  <c r="D37" i="40"/>
  <c r="E37" i="40"/>
  <c r="F37" i="40"/>
  <c r="G37" i="40"/>
  <c r="I37" i="40"/>
  <c r="J37" i="40"/>
  <c r="L37" i="40"/>
  <c r="M37" i="40"/>
  <c r="N37" i="40"/>
  <c r="O37" i="40"/>
  <c r="P37" i="40"/>
  <c r="Q37" i="40"/>
  <c r="R37" i="40"/>
  <c r="W37" i="40"/>
  <c r="AB37" i="40"/>
  <c r="AC37" i="40"/>
  <c r="AI37" i="40"/>
  <c r="BB37" i="40"/>
  <c r="A38" i="40"/>
  <c r="C38" i="40"/>
  <c r="D38" i="40"/>
  <c r="E38" i="40"/>
  <c r="F38" i="40"/>
  <c r="G38" i="40"/>
  <c r="I38" i="40"/>
  <c r="J38" i="40"/>
  <c r="L38" i="40"/>
  <c r="M38" i="40"/>
  <c r="N38" i="40"/>
  <c r="O38" i="40"/>
  <c r="P38" i="40"/>
  <c r="Q38" i="40"/>
  <c r="R38" i="40"/>
  <c r="W38" i="40"/>
  <c r="AB38" i="40"/>
  <c r="AC38" i="40"/>
  <c r="AI38" i="40"/>
  <c r="BB38" i="40"/>
  <c r="A39" i="40"/>
  <c r="C39" i="40"/>
  <c r="D39" i="40"/>
  <c r="E39" i="40"/>
  <c r="F39" i="40"/>
  <c r="G39" i="40"/>
  <c r="I39" i="40"/>
  <c r="J39" i="40"/>
  <c r="L39" i="40"/>
  <c r="M39" i="40"/>
  <c r="N39" i="40"/>
  <c r="O39" i="40"/>
  <c r="P39" i="40"/>
  <c r="Q39" i="40"/>
  <c r="R39" i="40"/>
  <c r="W39" i="40"/>
  <c r="AB39" i="40"/>
  <c r="AC39" i="40"/>
  <c r="AI39" i="40"/>
  <c r="BB39" i="40"/>
  <c r="A40" i="40"/>
  <c r="C40" i="40"/>
  <c r="D40" i="40"/>
  <c r="E40" i="40"/>
  <c r="F40" i="40"/>
  <c r="G40" i="40"/>
  <c r="I40" i="40"/>
  <c r="J40" i="40"/>
  <c r="L40" i="40"/>
  <c r="M40" i="40"/>
  <c r="N40" i="40"/>
  <c r="O40" i="40"/>
  <c r="P40" i="40"/>
  <c r="Q40" i="40"/>
  <c r="R40" i="40"/>
  <c r="W40" i="40"/>
  <c r="AB40" i="40"/>
  <c r="AC40" i="40"/>
  <c r="AI40" i="40"/>
  <c r="BB40" i="40"/>
  <c r="A41" i="40"/>
  <c r="C41" i="40"/>
  <c r="D41" i="40"/>
  <c r="E41" i="40"/>
  <c r="F41" i="40"/>
  <c r="G41" i="40"/>
  <c r="I41" i="40"/>
  <c r="J41" i="40"/>
  <c r="L41" i="40"/>
  <c r="M41" i="40"/>
  <c r="N41" i="40"/>
  <c r="O41" i="40"/>
  <c r="P41" i="40"/>
  <c r="Q41" i="40"/>
  <c r="R41" i="40"/>
  <c r="W41" i="40"/>
  <c r="AB41" i="40"/>
  <c r="AC41" i="40"/>
  <c r="AI41" i="40"/>
  <c r="BB41" i="40"/>
  <c r="A42" i="40"/>
  <c r="C42" i="40"/>
  <c r="D42" i="40"/>
  <c r="E42" i="40"/>
  <c r="F42" i="40"/>
  <c r="G42" i="40"/>
  <c r="I42" i="40"/>
  <c r="J42" i="40"/>
  <c r="L42" i="40"/>
  <c r="M42" i="40"/>
  <c r="N42" i="40"/>
  <c r="O42" i="40"/>
  <c r="P42" i="40"/>
  <c r="Q42" i="40"/>
  <c r="AB42" i="40"/>
  <c r="AC42" i="40"/>
  <c r="AI42" i="40"/>
  <c r="BB42" i="40"/>
  <c r="A43" i="40"/>
  <c r="C43" i="40"/>
  <c r="D43" i="40"/>
  <c r="E43" i="40"/>
  <c r="F43" i="40"/>
  <c r="G43" i="40"/>
  <c r="I43" i="40"/>
  <c r="J43" i="40"/>
  <c r="L43" i="40"/>
  <c r="M43" i="40"/>
  <c r="N43" i="40"/>
  <c r="O43" i="40"/>
  <c r="P43" i="40"/>
  <c r="Q43" i="40"/>
  <c r="AB43" i="40"/>
  <c r="AC43" i="40"/>
  <c r="AI43" i="40"/>
  <c r="BB43" i="40"/>
  <c r="A44" i="40"/>
  <c r="C44" i="40"/>
  <c r="D44" i="40"/>
  <c r="E44" i="40"/>
  <c r="F44" i="40"/>
  <c r="G44" i="40"/>
  <c r="I44" i="40"/>
  <c r="J44" i="40"/>
  <c r="L44" i="40"/>
  <c r="M44" i="40"/>
  <c r="N44" i="40"/>
  <c r="O44" i="40"/>
  <c r="P44" i="40"/>
  <c r="Q44" i="40"/>
  <c r="AB44" i="40"/>
  <c r="AC44" i="40"/>
  <c r="BB44" i="40"/>
  <c r="A45" i="40"/>
  <c r="C45" i="40"/>
  <c r="D45" i="40"/>
  <c r="E45" i="40"/>
  <c r="F45" i="40"/>
  <c r="G45" i="40"/>
  <c r="I45" i="40"/>
  <c r="J45" i="40"/>
  <c r="L45" i="40"/>
  <c r="M45" i="40"/>
  <c r="N45" i="40"/>
  <c r="O45" i="40"/>
  <c r="P45" i="40"/>
  <c r="Q45" i="40"/>
  <c r="AB45" i="40"/>
  <c r="AC45" i="40"/>
  <c r="BB45" i="40"/>
  <c r="A46" i="40"/>
  <c r="C46" i="40"/>
  <c r="D46" i="40"/>
  <c r="E46" i="40"/>
  <c r="F46" i="40"/>
  <c r="G46" i="40"/>
  <c r="I46" i="40"/>
  <c r="J46" i="40"/>
  <c r="L46" i="40"/>
  <c r="M46" i="40"/>
  <c r="N46" i="40"/>
  <c r="O46" i="40"/>
  <c r="P46" i="40"/>
  <c r="Q46" i="40"/>
  <c r="AB46" i="40"/>
  <c r="AC46" i="40"/>
  <c r="BB46" i="40"/>
  <c r="A47" i="40"/>
  <c r="C47" i="40"/>
  <c r="D47" i="40"/>
  <c r="E47" i="40"/>
  <c r="F47" i="40"/>
  <c r="G47" i="40"/>
  <c r="I47" i="40"/>
  <c r="J47" i="40"/>
  <c r="L47" i="40"/>
  <c r="M47" i="40"/>
  <c r="N47" i="40"/>
  <c r="O47" i="40"/>
  <c r="P47" i="40"/>
  <c r="Q47" i="40"/>
  <c r="AB47" i="40"/>
  <c r="AC47" i="40"/>
  <c r="BB47" i="40"/>
  <c r="A48" i="40"/>
  <c r="C48" i="40"/>
  <c r="D48" i="40"/>
  <c r="E48" i="40"/>
  <c r="F48" i="40"/>
  <c r="G48" i="40"/>
  <c r="I48" i="40"/>
  <c r="J48" i="40"/>
  <c r="L48" i="40"/>
  <c r="M48" i="40"/>
  <c r="N48" i="40"/>
  <c r="O48" i="40"/>
  <c r="P48" i="40"/>
  <c r="Q48" i="40"/>
  <c r="AB48" i="40"/>
  <c r="AC48" i="40"/>
  <c r="BB48" i="40"/>
  <c r="A49" i="40"/>
  <c r="C49" i="40"/>
  <c r="D49" i="40"/>
  <c r="E49" i="40"/>
  <c r="F49" i="40"/>
  <c r="G49" i="40"/>
  <c r="I49" i="40"/>
  <c r="J49" i="40"/>
  <c r="L49" i="40"/>
  <c r="M49" i="40"/>
  <c r="N49" i="40"/>
  <c r="O49" i="40"/>
  <c r="P49" i="40"/>
  <c r="Q49" i="40"/>
  <c r="AB49" i="40"/>
  <c r="AC49" i="40"/>
  <c r="BB49" i="40"/>
  <c r="A50" i="40"/>
  <c r="C50" i="40"/>
  <c r="D50" i="40"/>
  <c r="E50" i="40"/>
  <c r="F50" i="40"/>
  <c r="G50" i="40"/>
  <c r="I50" i="40"/>
  <c r="J50" i="40"/>
  <c r="L50" i="40"/>
  <c r="M50" i="40"/>
  <c r="N50" i="40"/>
  <c r="O50" i="40"/>
  <c r="P50" i="40"/>
  <c r="Q50" i="40"/>
  <c r="AB50" i="40"/>
  <c r="AC50" i="40"/>
  <c r="BB50" i="40"/>
  <c r="A51" i="40"/>
  <c r="C51" i="40"/>
  <c r="D51" i="40"/>
  <c r="E51" i="40"/>
  <c r="F51" i="40"/>
  <c r="G51" i="40"/>
  <c r="I51" i="40"/>
  <c r="J51" i="40"/>
  <c r="L51" i="40"/>
  <c r="M51" i="40"/>
  <c r="N51" i="40"/>
  <c r="O51" i="40"/>
  <c r="P51" i="40"/>
  <c r="Q51" i="40"/>
  <c r="AB51" i="40"/>
  <c r="AC51" i="40"/>
  <c r="BB51" i="40"/>
  <c r="A52" i="40"/>
  <c r="C52" i="40"/>
  <c r="D52" i="40"/>
  <c r="E52" i="40"/>
  <c r="F52" i="40"/>
  <c r="G52" i="40"/>
  <c r="I52" i="40"/>
  <c r="J52" i="40"/>
  <c r="L52" i="40"/>
  <c r="M52" i="40"/>
  <c r="N52" i="40"/>
  <c r="O52" i="40"/>
  <c r="P52" i="40"/>
  <c r="Q52" i="40"/>
  <c r="AB52" i="40"/>
  <c r="AC52" i="40"/>
  <c r="BB52" i="40"/>
  <c r="A53" i="40"/>
  <c r="C53" i="40"/>
  <c r="D53" i="40"/>
  <c r="E53" i="40"/>
  <c r="F53" i="40"/>
  <c r="G53" i="40"/>
  <c r="I53" i="40"/>
  <c r="J53" i="40"/>
  <c r="L53" i="40"/>
  <c r="M53" i="40"/>
  <c r="N53" i="40"/>
  <c r="O53" i="40"/>
  <c r="P53" i="40"/>
  <c r="Q53" i="40"/>
  <c r="AB53" i="40"/>
  <c r="AC53" i="40"/>
  <c r="BB53" i="40"/>
  <c r="A54" i="40"/>
  <c r="C54" i="40"/>
  <c r="D54" i="40"/>
  <c r="E54" i="40"/>
  <c r="F54" i="40"/>
  <c r="G54" i="40"/>
  <c r="I54" i="40"/>
  <c r="J54" i="40"/>
  <c r="L54" i="40"/>
  <c r="M54" i="40"/>
  <c r="N54" i="40"/>
  <c r="O54" i="40"/>
  <c r="P54" i="40"/>
  <c r="Q54" i="40"/>
  <c r="AB54" i="40"/>
  <c r="AC54" i="40"/>
  <c r="BB54" i="40"/>
  <c r="A55" i="40"/>
  <c r="C55" i="40"/>
  <c r="D55" i="40"/>
  <c r="E55" i="40"/>
  <c r="F55" i="40"/>
  <c r="G55" i="40"/>
  <c r="I55" i="40"/>
  <c r="J55" i="40"/>
  <c r="L55" i="40"/>
  <c r="M55" i="40"/>
  <c r="N55" i="40"/>
  <c r="O55" i="40"/>
  <c r="P55" i="40"/>
  <c r="Q55" i="40"/>
  <c r="AB55" i="40"/>
  <c r="AC55" i="40"/>
  <c r="BB55" i="40"/>
  <c r="A56" i="40"/>
  <c r="C56" i="40"/>
  <c r="D56" i="40"/>
  <c r="E56" i="40"/>
  <c r="F56" i="40"/>
  <c r="G56" i="40"/>
  <c r="I56" i="40"/>
  <c r="J56" i="40"/>
  <c r="L56" i="40"/>
  <c r="M56" i="40"/>
  <c r="N56" i="40"/>
  <c r="O56" i="40"/>
  <c r="P56" i="40"/>
  <c r="Q56" i="40"/>
  <c r="AB56" i="40"/>
  <c r="AC56" i="40"/>
  <c r="BB56" i="40"/>
  <c r="A57" i="40"/>
  <c r="B57" i="40"/>
  <c r="C57" i="40"/>
  <c r="D57" i="40"/>
  <c r="E57" i="40"/>
  <c r="F57" i="40"/>
  <c r="G57" i="40"/>
  <c r="I57" i="40"/>
  <c r="J57" i="40"/>
  <c r="L57" i="40"/>
  <c r="M57" i="40"/>
  <c r="N57" i="40"/>
  <c r="O57" i="40"/>
  <c r="P57" i="40"/>
  <c r="Q57" i="40"/>
  <c r="AB57" i="40"/>
  <c r="AC57" i="40"/>
  <c r="BB57" i="40"/>
  <c r="A58" i="40"/>
  <c r="B58" i="40"/>
  <c r="C58" i="40"/>
  <c r="D58" i="40"/>
  <c r="E58" i="40"/>
  <c r="F58" i="40"/>
  <c r="G58" i="40"/>
  <c r="I58" i="40"/>
  <c r="J58" i="40"/>
  <c r="L58" i="40"/>
  <c r="M58" i="40"/>
  <c r="N58" i="40"/>
  <c r="O58" i="40"/>
  <c r="P58" i="40"/>
  <c r="Q58" i="40"/>
  <c r="AB58" i="40"/>
  <c r="AC58" i="40"/>
  <c r="BB58" i="40"/>
  <c r="A59" i="40"/>
  <c r="B59" i="40"/>
  <c r="C59" i="40"/>
  <c r="D59" i="40"/>
  <c r="E59" i="40"/>
  <c r="F59" i="40"/>
  <c r="G59" i="40"/>
  <c r="I59" i="40"/>
  <c r="J59" i="40"/>
  <c r="L59" i="40"/>
  <c r="M59" i="40"/>
  <c r="N59" i="40"/>
  <c r="O59" i="40"/>
  <c r="P59" i="40"/>
  <c r="Q59" i="40"/>
  <c r="AB59" i="40"/>
  <c r="AC59" i="40"/>
  <c r="BB59" i="40"/>
  <c r="A60" i="40"/>
  <c r="B60" i="40"/>
  <c r="C60" i="40"/>
  <c r="D60" i="40"/>
  <c r="E60" i="40"/>
  <c r="F60" i="40"/>
  <c r="G60" i="40"/>
  <c r="I60" i="40"/>
  <c r="J60" i="40"/>
  <c r="L60" i="40"/>
  <c r="M60" i="40"/>
  <c r="N60" i="40"/>
  <c r="O60" i="40"/>
  <c r="P60" i="40"/>
  <c r="Q60" i="40"/>
  <c r="AB60" i="40"/>
  <c r="AC60" i="40"/>
  <c r="BB60" i="40"/>
  <c r="A61" i="40"/>
  <c r="B61" i="40"/>
  <c r="C61" i="40"/>
  <c r="D61" i="40"/>
  <c r="E61" i="40"/>
  <c r="F61" i="40"/>
  <c r="G61" i="40"/>
  <c r="I61" i="40"/>
  <c r="J61" i="40"/>
  <c r="L61" i="40"/>
  <c r="M61" i="40"/>
  <c r="N61" i="40"/>
  <c r="O61" i="40"/>
  <c r="P61" i="40"/>
  <c r="Q61" i="40"/>
  <c r="AB61" i="40"/>
  <c r="AC61" i="40"/>
  <c r="BB61" i="40"/>
  <c r="A62" i="40"/>
  <c r="B62" i="40"/>
  <c r="C62" i="40"/>
  <c r="D62" i="40"/>
  <c r="E62" i="40"/>
  <c r="F62" i="40"/>
  <c r="G62" i="40"/>
  <c r="I62" i="40"/>
  <c r="L62" i="40"/>
  <c r="M62" i="40"/>
  <c r="N62" i="40"/>
  <c r="O62" i="40"/>
  <c r="P62" i="40"/>
  <c r="Q62" i="40"/>
  <c r="AB62" i="40"/>
  <c r="AC62" i="40"/>
  <c r="BB62" i="40"/>
  <c r="A63" i="40"/>
  <c r="B63" i="40"/>
  <c r="C63" i="40"/>
  <c r="D63" i="40"/>
  <c r="E63" i="40"/>
  <c r="F63" i="40"/>
  <c r="G63" i="40"/>
  <c r="I63" i="40"/>
  <c r="L63" i="40"/>
  <c r="M63" i="40"/>
  <c r="N63" i="40"/>
  <c r="O63" i="40"/>
  <c r="P63" i="40"/>
  <c r="Q63" i="40"/>
  <c r="AB63" i="40"/>
  <c r="AC63" i="40"/>
  <c r="BB63" i="40"/>
  <c r="A64" i="40"/>
  <c r="B64" i="40"/>
  <c r="C64" i="40"/>
  <c r="D64" i="40"/>
  <c r="E64" i="40"/>
  <c r="F64" i="40"/>
  <c r="G64" i="40"/>
  <c r="I64" i="40"/>
  <c r="L64" i="40"/>
  <c r="M64" i="40"/>
  <c r="N64" i="40"/>
  <c r="O64" i="40"/>
  <c r="Q64" i="40"/>
  <c r="AB64" i="40"/>
  <c r="AC64" i="40"/>
  <c r="BB64" i="40"/>
  <c r="A65" i="40"/>
  <c r="B65" i="40"/>
  <c r="C65" i="40"/>
  <c r="D65" i="40"/>
  <c r="E65" i="40"/>
  <c r="F65" i="40"/>
  <c r="G65" i="40"/>
  <c r="I65" i="40"/>
  <c r="L65" i="40"/>
  <c r="M65" i="40"/>
  <c r="N65" i="40"/>
  <c r="O65" i="40"/>
  <c r="Q65" i="40"/>
  <c r="AB65" i="40"/>
  <c r="AC65" i="40"/>
  <c r="BB65" i="40"/>
  <c r="A66" i="40"/>
  <c r="B66" i="40"/>
  <c r="C66" i="40"/>
  <c r="D66" i="40"/>
  <c r="E66" i="40"/>
  <c r="F66" i="40"/>
  <c r="G66" i="40"/>
  <c r="I66" i="40"/>
  <c r="L66" i="40"/>
  <c r="M66" i="40"/>
  <c r="N66" i="40"/>
  <c r="O66" i="40"/>
  <c r="Q66" i="40"/>
  <c r="AB66" i="40"/>
  <c r="AC66" i="40"/>
  <c r="BB66" i="40"/>
  <c r="A67" i="40"/>
  <c r="B67" i="40"/>
  <c r="D67" i="40"/>
  <c r="E67" i="40"/>
  <c r="F67" i="40"/>
  <c r="G67" i="40"/>
  <c r="I67" i="40"/>
  <c r="L67" i="40"/>
  <c r="M67" i="40"/>
  <c r="N67" i="40"/>
  <c r="O67" i="40"/>
  <c r="Q67" i="40"/>
  <c r="AB67" i="40"/>
  <c r="AC67" i="40"/>
  <c r="A68" i="40"/>
  <c r="B68" i="40"/>
  <c r="D68" i="40"/>
  <c r="E68" i="40"/>
  <c r="F68" i="40"/>
  <c r="G68" i="40"/>
  <c r="I68" i="40"/>
  <c r="L68" i="40"/>
  <c r="M68" i="40"/>
  <c r="N68" i="40"/>
  <c r="O68" i="40"/>
  <c r="Q68" i="40"/>
  <c r="A69" i="40"/>
  <c r="B69" i="40"/>
  <c r="D69" i="40"/>
  <c r="E69" i="40"/>
  <c r="F69" i="40"/>
  <c r="G69" i="40"/>
  <c r="I69" i="40"/>
  <c r="L69" i="40"/>
  <c r="M69" i="40"/>
  <c r="N69" i="40"/>
  <c r="O69" i="40"/>
  <c r="A70" i="40"/>
  <c r="B70" i="40"/>
  <c r="D70" i="40"/>
  <c r="E70" i="40"/>
  <c r="F70" i="40"/>
  <c r="G70" i="40"/>
  <c r="I70" i="40"/>
  <c r="L70" i="40"/>
  <c r="M70" i="40"/>
  <c r="N70" i="40"/>
  <c r="O70" i="40"/>
  <c r="A71" i="40"/>
  <c r="B71" i="40"/>
  <c r="D71" i="40"/>
  <c r="E71" i="40"/>
  <c r="F71" i="40"/>
  <c r="G71" i="40"/>
  <c r="I71" i="40"/>
  <c r="L71" i="40"/>
  <c r="M71" i="40"/>
  <c r="N71" i="40"/>
  <c r="O71" i="40"/>
  <c r="A72" i="40"/>
  <c r="B72" i="40"/>
  <c r="D72" i="40"/>
  <c r="E72" i="40"/>
  <c r="F72" i="40"/>
  <c r="G72" i="40"/>
  <c r="I72" i="40"/>
  <c r="L72" i="40"/>
  <c r="M72" i="40"/>
  <c r="N72" i="40"/>
  <c r="O72" i="40"/>
  <c r="A73" i="40"/>
  <c r="B73" i="40"/>
  <c r="D73" i="40"/>
  <c r="E73" i="40"/>
  <c r="F73" i="40"/>
  <c r="G73" i="40"/>
  <c r="I73" i="40"/>
  <c r="L73" i="40"/>
  <c r="M73" i="40"/>
  <c r="N73" i="40"/>
  <c r="O73" i="40"/>
  <c r="A74" i="40"/>
  <c r="B74" i="40"/>
  <c r="D74" i="40"/>
  <c r="E74" i="40"/>
  <c r="F74" i="40"/>
  <c r="G74" i="40"/>
  <c r="I74" i="40"/>
  <c r="L74" i="40"/>
  <c r="M74" i="40"/>
  <c r="N74" i="40"/>
  <c r="O74" i="40"/>
  <c r="A75" i="40"/>
  <c r="B75" i="40"/>
  <c r="D75" i="40"/>
  <c r="E75" i="40"/>
  <c r="F75" i="40"/>
  <c r="G75" i="40"/>
  <c r="I75" i="40"/>
  <c r="L75" i="40"/>
  <c r="M75" i="40"/>
  <c r="N75" i="40"/>
  <c r="O75" i="40"/>
  <c r="A76" i="40"/>
  <c r="B76" i="40"/>
  <c r="D76" i="40"/>
  <c r="E76" i="40"/>
  <c r="F76" i="40"/>
  <c r="G76" i="40"/>
  <c r="I76" i="40"/>
  <c r="L76" i="40"/>
  <c r="M76" i="40"/>
  <c r="N76" i="40"/>
  <c r="O76" i="40"/>
  <c r="A77" i="40"/>
  <c r="B77" i="40"/>
  <c r="D77" i="40"/>
  <c r="E77" i="40"/>
  <c r="F77" i="40"/>
  <c r="G77" i="40"/>
  <c r="I77" i="40"/>
  <c r="L77" i="40"/>
  <c r="M77" i="40"/>
  <c r="N77" i="40"/>
  <c r="O77" i="40"/>
  <c r="A78" i="40"/>
  <c r="B78" i="40"/>
  <c r="D78" i="40"/>
  <c r="E78" i="40"/>
  <c r="F78" i="40"/>
  <c r="G78" i="40"/>
  <c r="I78" i="40"/>
  <c r="L78" i="40"/>
  <c r="M78" i="40"/>
  <c r="N78" i="40"/>
  <c r="O78" i="40"/>
  <c r="A79" i="40"/>
  <c r="B79" i="40"/>
  <c r="D79" i="40"/>
  <c r="E79" i="40"/>
  <c r="F79" i="40"/>
  <c r="G79" i="40"/>
  <c r="I79" i="40"/>
  <c r="L79" i="40"/>
  <c r="M79" i="40"/>
  <c r="N79" i="40"/>
  <c r="O79" i="40"/>
  <c r="A80" i="40"/>
  <c r="B80" i="40"/>
  <c r="D80" i="40"/>
  <c r="E80" i="40"/>
  <c r="F80" i="40"/>
  <c r="G80" i="40"/>
  <c r="I80" i="40"/>
  <c r="L80" i="40"/>
  <c r="M80" i="40"/>
  <c r="N80" i="40"/>
  <c r="O80" i="40"/>
  <c r="A81" i="40"/>
  <c r="B81" i="40"/>
  <c r="D81" i="40"/>
  <c r="E81" i="40"/>
  <c r="F81" i="40"/>
  <c r="G81" i="40"/>
  <c r="I81" i="40"/>
  <c r="L81" i="40"/>
  <c r="M81" i="40"/>
  <c r="N81" i="40"/>
  <c r="O81" i="40"/>
  <c r="A82" i="40"/>
  <c r="B82" i="40"/>
  <c r="D82" i="40"/>
  <c r="E82" i="40"/>
  <c r="F82" i="40"/>
  <c r="G82" i="40"/>
  <c r="I82" i="40"/>
  <c r="L82" i="40"/>
  <c r="M82" i="40"/>
  <c r="N82" i="40"/>
  <c r="O82" i="40"/>
  <c r="A83" i="40"/>
  <c r="B83" i="40"/>
  <c r="D83" i="40"/>
  <c r="E83" i="40"/>
  <c r="F83" i="40"/>
  <c r="G83" i="40"/>
  <c r="I83" i="40"/>
  <c r="L83" i="40"/>
  <c r="M83" i="40"/>
  <c r="N83" i="40"/>
  <c r="O83" i="40"/>
  <c r="A84" i="40"/>
  <c r="B84" i="40"/>
  <c r="D84" i="40"/>
  <c r="E84" i="40"/>
  <c r="F84" i="40"/>
  <c r="G84" i="40"/>
  <c r="I84" i="40"/>
  <c r="L84" i="40"/>
  <c r="M84" i="40"/>
  <c r="N84" i="40"/>
  <c r="O84" i="40"/>
  <c r="A85" i="40"/>
  <c r="B85" i="40"/>
  <c r="D85" i="40"/>
  <c r="E85" i="40"/>
  <c r="F85" i="40"/>
  <c r="G85" i="40"/>
  <c r="I85" i="40"/>
  <c r="L85" i="40"/>
  <c r="M85" i="40"/>
  <c r="N85" i="40"/>
  <c r="O85" i="40"/>
  <c r="A86" i="40"/>
  <c r="B86" i="40"/>
  <c r="D86" i="40"/>
  <c r="E86" i="40"/>
  <c r="F86" i="40"/>
  <c r="G86" i="40"/>
  <c r="I86" i="40"/>
  <c r="L86" i="40"/>
  <c r="M86" i="40"/>
  <c r="N86" i="40"/>
  <c r="O86" i="40"/>
  <c r="A87" i="40"/>
  <c r="B87" i="40"/>
  <c r="D87" i="40"/>
  <c r="E87" i="40"/>
  <c r="F87" i="40"/>
  <c r="G87" i="40"/>
  <c r="I87" i="40"/>
  <c r="L87" i="40"/>
  <c r="M87" i="40"/>
  <c r="N87" i="40"/>
  <c r="O87" i="40"/>
  <c r="A88" i="40"/>
  <c r="B88" i="40"/>
  <c r="D88" i="40"/>
  <c r="E88" i="40"/>
  <c r="F88" i="40"/>
  <c r="G88" i="40"/>
  <c r="I88" i="40"/>
  <c r="L88" i="40"/>
  <c r="M88" i="40"/>
  <c r="N88" i="40"/>
  <c r="O88" i="40"/>
  <c r="A89" i="40"/>
  <c r="B89" i="40"/>
  <c r="D89" i="40"/>
  <c r="E89" i="40"/>
  <c r="F89" i="40"/>
  <c r="G89" i="40"/>
  <c r="I89" i="40"/>
  <c r="L89" i="40"/>
  <c r="M89" i="40"/>
  <c r="N89" i="40"/>
  <c r="O89" i="40"/>
  <c r="A90" i="40"/>
  <c r="B90" i="40"/>
  <c r="D90" i="40"/>
  <c r="E90" i="40"/>
  <c r="F90" i="40"/>
  <c r="G90" i="40"/>
  <c r="I90" i="40"/>
  <c r="L90" i="40"/>
  <c r="M90" i="40"/>
  <c r="N90" i="40"/>
  <c r="O90" i="40"/>
  <c r="A91" i="40"/>
  <c r="B91" i="40"/>
  <c r="D91" i="40"/>
  <c r="E91" i="40"/>
  <c r="F91" i="40"/>
  <c r="G91" i="40"/>
  <c r="I91" i="40"/>
  <c r="L91" i="40"/>
  <c r="M91" i="40"/>
  <c r="N91" i="40"/>
  <c r="O91" i="40"/>
  <c r="A92" i="40"/>
  <c r="B92" i="40"/>
  <c r="D92" i="40"/>
  <c r="E92" i="40"/>
  <c r="F92" i="40"/>
  <c r="G92" i="40"/>
  <c r="I92" i="40"/>
  <c r="L92" i="40"/>
  <c r="M92" i="40"/>
  <c r="N92" i="40"/>
  <c r="O92" i="40"/>
  <c r="A93" i="40"/>
  <c r="B93" i="40"/>
  <c r="D93" i="40"/>
  <c r="E93" i="40"/>
  <c r="F93" i="40"/>
  <c r="G93" i="40"/>
  <c r="I93" i="40"/>
  <c r="L93" i="40"/>
  <c r="M93" i="40"/>
  <c r="N93" i="40"/>
  <c r="O93" i="40"/>
  <c r="A94" i="40"/>
  <c r="B94" i="40"/>
  <c r="D94" i="40"/>
  <c r="E94" i="40"/>
  <c r="F94" i="40"/>
  <c r="G94" i="40"/>
  <c r="I94" i="40"/>
  <c r="L94" i="40"/>
  <c r="M94" i="40"/>
  <c r="N94" i="40"/>
  <c r="O94" i="40"/>
  <c r="A95" i="40"/>
  <c r="B95" i="40"/>
  <c r="D95" i="40"/>
  <c r="E95" i="40"/>
  <c r="F95" i="40"/>
  <c r="G95" i="40"/>
  <c r="I95" i="40"/>
  <c r="L95" i="40"/>
  <c r="M95" i="40"/>
  <c r="N95" i="40"/>
  <c r="O95" i="40"/>
  <c r="A96" i="40"/>
  <c r="B96" i="40"/>
  <c r="D96" i="40"/>
  <c r="E96" i="40"/>
  <c r="F96" i="40"/>
  <c r="G96" i="40"/>
  <c r="I96" i="40"/>
  <c r="L96" i="40"/>
  <c r="M96" i="40"/>
  <c r="N96" i="40"/>
  <c r="O96" i="40"/>
  <c r="A97" i="40"/>
  <c r="B97" i="40"/>
  <c r="D97" i="40"/>
  <c r="E97" i="40"/>
  <c r="F97" i="40"/>
  <c r="G97" i="40"/>
  <c r="I97" i="40"/>
  <c r="L97" i="40"/>
  <c r="M97" i="40"/>
  <c r="N97" i="40"/>
  <c r="O97" i="40"/>
  <c r="A98" i="40"/>
  <c r="B98" i="40"/>
  <c r="D98" i="40"/>
  <c r="E98" i="40"/>
  <c r="F98" i="40"/>
  <c r="G98" i="40"/>
  <c r="I98" i="40"/>
  <c r="L98" i="40"/>
  <c r="M98" i="40"/>
  <c r="N98" i="40"/>
  <c r="O98" i="40"/>
  <c r="A99" i="40"/>
  <c r="B99" i="40"/>
  <c r="D99" i="40"/>
  <c r="E99" i="40"/>
  <c r="F99" i="40"/>
  <c r="G99" i="40"/>
  <c r="I99" i="40"/>
  <c r="L99" i="40"/>
  <c r="M99" i="40"/>
  <c r="N99" i="40"/>
  <c r="O99" i="40"/>
  <c r="A100" i="40"/>
  <c r="B100" i="40"/>
  <c r="D100" i="40"/>
  <c r="E100" i="40"/>
  <c r="F100" i="40"/>
  <c r="G100" i="40"/>
  <c r="I100" i="40"/>
  <c r="L100" i="40"/>
  <c r="M100" i="40"/>
  <c r="N100" i="40"/>
  <c r="O100" i="40"/>
  <c r="A101" i="40"/>
  <c r="B101" i="40"/>
  <c r="D101" i="40"/>
  <c r="E101" i="40"/>
  <c r="F101" i="40"/>
  <c r="G101" i="40"/>
  <c r="I101" i="40"/>
  <c r="L101" i="40"/>
  <c r="M101" i="40"/>
  <c r="N101" i="40"/>
  <c r="O101" i="40"/>
  <c r="A102" i="40"/>
  <c r="B102" i="40"/>
  <c r="D102" i="40"/>
  <c r="E102" i="40"/>
  <c r="F102" i="40"/>
  <c r="G102" i="40"/>
  <c r="I102" i="40"/>
  <c r="L102" i="40"/>
  <c r="M102" i="40"/>
  <c r="N102" i="40"/>
  <c r="O102" i="40"/>
  <c r="A103" i="40"/>
  <c r="B103" i="40"/>
  <c r="D103" i="40"/>
  <c r="E103" i="40"/>
  <c r="F103" i="40"/>
  <c r="G103" i="40"/>
  <c r="I103" i="40"/>
  <c r="L103" i="40"/>
  <c r="M103" i="40"/>
  <c r="N103" i="40"/>
  <c r="O103" i="40"/>
  <c r="A104" i="40"/>
  <c r="B104" i="40"/>
  <c r="D104" i="40"/>
  <c r="E104" i="40"/>
  <c r="F104" i="40"/>
  <c r="G104" i="40"/>
  <c r="I104" i="40"/>
  <c r="L104" i="40"/>
  <c r="M104" i="40"/>
  <c r="N104" i="40"/>
  <c r="O104" i="40"/>
  <c r="A105" i="40"/>
  <c r="B105" i="40"/>
  <c r="D105" i="40"/>
  <c r="E105" i="40"/>
  <c r="F105" i="40"/>
  <c r="G105" i="40"/>
  <c r="I105" i="40"/>
  <c r="L105" i="40"/>
  <c r="M105" i="40"/>
  <c r="N105" i="40"/>
  <c r="O105" i="40"/>
  <c r="A106" i="40"/>
  <c r="B106" i="40"/>
  <c r="D106" i="40"/>
  <c r="E106" i="40"/>
  <c r="F106" i="40"/>
  <c r="G106" i="40"/>
  <c r="I106" i="40"/>
  <c r="L106" i="40"/>
  <c r="M106" i="40"/>
  <c r="N106" i="40"/>
  <c r="O106" i="40"/>
  <c r="A107" i="40"/>
  <c r="B107" i="40"/>
  <c r="D107" i="40"/>
  <c r="E107" i="40"/>
  <c r="F107" i="40"/>
  <c r="G107" i="40"/>
  <c r="I107" i="40"/>
  <c r="L107" i="40"/>
  <c r="M107" i="40"/>
  <c r="N107" i="40"/>
  <c r="O107" i="40"/>
  <c r="A108" i="40"/>
  <c r="B108" i="40"/>
  <c r="D108" i="40"/>
  <c r="E108" i="40"/>
  <c r="F108" i="40"/>
  <c r="G108" i="40"/>
  <c r="I108" i="40"/>
  <c r="L108" i="40"/>
  <c r="M108" i="40"/>
  <c r="N108" i="40"/>
  <c r="O108" i="40"/>
  <c r="A109" i="40"/>
  <c r="B109" i="40"/>
  <c r="D109" i="40"/>
  <c r="E109" i="40"/>
  <c r="F109" i="40"/>
  <c r="G109" i="40"/>
  <c r="I109" i="40"/>
  <c r="L109" i="40"/>
  <c r="M109" i="40"/>
  <c r="N109" i="40"/>
  <c r="O109" i="40"/>
  <c r="A110" i="40"/>
  <c r="B110" i="40"/>
  <c r="D110" i="40"/>
  <c r="E110" i="40"/>
  <c r="F110" i="40"/>
  <c r="G110" i="40"/>
  <c r="I110" i="40"/>
  <c r="L110" i="40"/>
  <c r="M110" i="40"/>
  <c r="N110" i="40"/>
  <c r="O110" i="40"/>
  <c r="A111" i="40"/>
  <c r="B111" i="40"/>
  <c r="D111" i="40"/>
  <c r="E111" i="40"/>
  <c r="F111" i="40"/>
  <c r="G111" i="40"/>
  <c r="I111" i="40"/>
  <c r="L111" i="40"/>
  <c r="M111" i="40"/>
  <c r="N111" i="40"/>
  <c r="O111" i="40"/>
  <c r="A112" i="40"/>
  <c r="B112" i="40"/>
  <c r="D112" i="40"/>
  <c r="E112" i="40"/>
  <c r="F112" i="40"/>
  <c r="G112" i="40"/>
  <c r="I112" i="40"/>
  <c r="L112" i="40"/>
  <c r="M112" i="40"/>
  <c r="N112" i="40"/>
  <c r="O112" i="40"/>
  <c r="A113" i="40"/>
  <c r="B113" i="40"/>
  <c r="D113" i="40"/>
  <c r="E113" i="40"/>
  <c r="F113" i="40"/>
  <c r="G113" i="40"/>
  <c r="I113" i="40"/>
  <c r="L113" i="40"/>
  <c r="M113" i="40"/>
  <c r="N113" i="40"/>
  <c r="O113" i="40"/>
  <c r="A114" i="40"/>
  <c r="B114" i="40"/>
  <c r="D114" i="40"/>
  <c r="E114" i="40"/>
  <c r="F114" i="40"/>
  <c r="G114" i="40"/>
  <c r="I114" i="40"/>
  <c r="L114" i="40"/>
  <c r="M114" i="40"/>
  <c r="N114" i="40"/>
  <c r="O114" i="40"/>
  <c r="A115" i="40"/>
  <c r="B115" i="40"/>
  <c r="D115" i="40"/>
  <c r="E115" i="40"/>
  <c r="F115" i="40"/>
  <c r="G115" i="40"/>
  <c r="I115" i="40"/>
  <c r="L115" i="40"/>
  <c r="M115" i="40"/>
  <c r="N115" i="40"/>
  <c r="O115" i="40"/>
  <c r="A116" i="40"/>
  <c r="B116" i="40"/>
  <c r="D116" i="40"/>
  <c r="E116" i="40"/>
  <c r="F116" i="40"/>
  <c r="G116" i="40"/>
  <c r="I116" i="40"/>
  <c r="L116" i="40"/>
  <c r="M116" i="40"/>
  <c r="N116" i="40"/>
  <c r="O116" i="40"/>
  <c r="A117" i="40"/>
  <c r="B117" i="40"/>
  <c r="D117" i="40"/>
  <c r="E117" i="40"/>
  <c r="F117" i="40"/>
  <c r="G117" i="40"/>
  <c r="I117" i="40"/>
  <c r="L117" i="40"/>
  <c r="M117" i="40"/>
  <c r="N117" i="40"/>
  <c r="O117" i="40"/>
  <c r="A118" i="40"/>
  <c r="B118" i="40"/>
  <c r="D118" i="40"/>
  <c r="E118" i="40"/>
  <c r="F118" i="40"/>
  <c r="G118" i="40"/>
  <c r="I118" i="40"/>
  <c r="L118" i="40"/>
  <c r="M118" i="40"/>
  <c r="N118" i="40"/>
  <c r="O118" i="40"/>
  <c r="A119" i="40"/>
  <c r="B119" i="40"/>
  <c r="D119" i="40"/>
  <c r="E119" i="40"/>
  <c r="F119" i="40"/>
  <c r="G119" i="40"/>
  <c r="I119" i="40"/>
  <c r="L119" i="40"/>
  <c r="M119" i="40"/>
  <c r="N119" i="40"/>
  <c r="O119" i="40"/>
  <c r="A120" i="40"/>
  <c r="B120" i="40"/>
  <c r="D120" i="40"/>
  <c r="E120" i="40"/>
  <c r="F120" i="40"/>
  <c r="G120" i="40"/>
  <c r="I120" i="40"/>
  <c r="L120" i="40"/>
  <c r="M120" i="40"/>
  <c r="N120" i="40"/>
  <c r="O120" i="40"/>
  <c r="A121" i="40"/>
  <c r="B121" i="40"/>
  <c r="D121" i="40"/>
  <c r="E121" i="40"/>
  <c r="F121" i="40"/>
  <c r="G121" i="40"/>
  <c r="I121" i="40"/>
  <c r="L121" i="40"/>
  <c r="M121" i="40"/>
  <c r="N121" i="40"/>
  <c r="O121" i="40"/>
  <c r="A122" i="40"/>
  <c r="B122" i="40"/>
  <c r="D122" i="40"/>
  <c r="E122" i="40"/>
  <c r="F122" i="40"/>
  <c r="G122" i="40"/>
  <c r="I122" i="40"/>
  <c r="L122" i="40"/>
  <c r="M122" i="40"/>
  <c r="N122" i="40"/>
  <c r="O122" i="40"/>
  <c r="A123" i="40"/>
  <c r="B123" i="40"/>
  <c r="D123" i="40"/>
  <c r="E123" i="40"/>
  <c r="F123" i="40"/>
  <c r="G123" i="40"/>
  <c r="I123" i="40"/>
  <c r="L123" i="40"/>
  <c r="M123" i="40"/>
  <c r="N123" i="40"/>
  <c r="O123" i="40"/>
  <c r="A124" i="40"/>
  <c r="B124" i="40"/>
  <c r="D124" i="40"/>
  <c r="E124" i="40"/>
  <c r="F124" i="40"/>
  <c r="G124" i="40"/>
  <c r="I124" i="40"/>
  <c r="L124" i="40"/>
  <c r="M124" i="40"/>
  <c r="N124" i="40"/>
  <c r="O124" i="40"/>
  <c r="A125" i="40"/>
  <c r="B125" i="40"/>
  <c r="D125" i="40"/>
  <c r="E125" i="40"/>
  <c r="F125" i="40"/>
  <c r="G125" i="40"/>
  <c r="I125" i="40"/>
  <c r="L125" i="40"/>
  <c r="M125" i="40"/>
  <c r="N125" i="40"/>
  <c r="O125" i="40"/>
  <c r="A126" i="40"/>
  <c r="B126" i="40"/>
  <c r="D126" i="40"/>
  <c r="E126" i="40"/>
  <c r="F126" i="40"/>
  <c r="G126" i="40"/>
  <c r="I126" i="40"/>
  <c r="L126" i="40"/>
  <c r="M126" i="40"/>
  <c r="N126" i="40"/>
  <c r="O126" i="40"/>
  <c r="A127" i="40"/>
  <c r="B127" i="40"/>
  <c r="D127" i="40"/>
  <c r="E127" i="40"/>
  <c r="F127" i="40"/>
  <c r="G127" i="40"/>
  <c r="I127" i="40"/>
  <c r="L127" i="40"/>
  <c r="M127" i="40"/>
  <c r="N127" i="40"/>
  <c r="O127" i="40"/>
  <c r="A128" i="40"/>
  <c r="B128" i="40"/>
  <c r="D128" i="40"/>
  <c r="E128" i="40"/>
  <c r="F128" i="40"/>
  <c r="G128" i="40"/>
  <c r="I128" i="40"/>
  <c r="L128" i="40"/>
  <c r="M128" i="40"/>
  <c r="N128" i="40"/>
  <c r="O128" i="40"/>
  <c r="A129" i="40"/>
  <c r="B129" i="40"/>
  <c r="D129" i="40"/>
  <c r="E129" i="40"/>
  <c r="F129" i="40"/>
  <c r="G129" i="40"/>
  <c r="I129" i="40"/>
  <c r="L129" i="40"/>
  <c r="M129" i="40"/>
  <c r="N129" i="40"/>
  <c r="O129" i="40"/>
  <c r="A130" i="40"/>
  <c r="B130" i="40"/>
  <c r="D130" i="40"/>
  <c r="E130" i="40"/>
  <c r="F130" i="40"/>
  <c r="G130" i="40"/>
  <c r="I130" i="40"/>
  <c r="L130" i="40"/>
  <c r="M130" i="40"/>
  <c r="N130" i="40"/>
  <c r="O130" i="40"/>
  <c r="A131" i="40"/>
  <c r="B131" i="40"/>
  <c r="D131" i="40"/>
  <c r="E131" i="40"/>
  <c r="F131" i="40"/>
  <c r="G131" i="40"/>
  <c r="I131" i="40"/>
  <c r="L131" i="40"/>
  <c r="M131" i="40"/>
  <c r="N131" i="40"/>
  <c r="O131" i="40"/>
  <c r="A132" i="40"/>
  <c r="B132" i="40"/>
  <c r="D132" i="40"/>
  <c r="E132" i="40"/>
  <c r="F132" i="40"/>
  <c r="G132" i="40"/>
  <c r="I132" i="40"/>
  <c r="L132" i="40"/>
  <c r="M132" i="40"/>
  <c r="N132" i="40"/>
  <c r="O132" i="40"/>
  <c r="A133" i="40"/>
  <c r="B133" i="40"/>
  <c r="D133" i="40"/>
  <c r="E133" i="40"/>
  <c r="F133" i="40"/>
  <c r="G133" i="40"/>
  <c r="I133" i="40"/>
  <c r="L133" i="40"/>
  <c r="M133" i="40"/>
  <c r="N133" i="40"/>
  <c r="O133" i="40"/>
  <c r="A134" i="40"/>
  <c r="B134" i="40"/>
  <c r="D134" i="40"/>
  <c r="E134" i="40"/>
  <c r="F134" i="40"/>
  <c r="G134" i="40"/>
  <c r="I134" i="40"/>
  <c r="L134" i="40"/>
  <c r="M134" i="40"/>
  <c r="N134" i="40"/>
  <c r="O134" i="40"/>
  <c r="A135" i="40"/>
  <c r="B135" i="40"/>
  <c r="D135" i="40"/>
  <c r="E135" i="40"/>
  <c r="F135" i="40"/>
  <c r="G135" i="40"/>
  <c r="I135" i="40"/>
  <c r="L135" i="40"/>
  <c r="M135" i="40"/>
  <c r="N135" i="40"/>
  <c r="O135" i="40"/>
  <c r="A136" i="40"/>
  <c r="B136" i="40"/>
  <c r="D136" i="40"/>
  <c r="E136" i="40"/>
  <c r="F136" i="40"/>
  <c r="G136" i="40"/>
  <c r="I136" i="40"/>
  <c r="L136" i="40"/>
  <c r="M136" i="40"/>
  <c r="N136" i="40"/>
  <c r="O136" i="40"/>
  <c r="A137" i="40"/>
  <c r="B137" i="40"/>
  <c r="D137" i="40"/>
  <c r="E137" i="40"/>
  <c r="F137" i="40"/>
  <c r="G137" i="40"/>
  <c r="I137" i="40"/>
  <c r="L137" i="40"/>
  <c r="M137" i="40"/>
  <c r="N137" i="40"/>
  <c r="O137" i="40"/>
  <c r="A138" i="40"/>
  <c r="B138" i="40"/>
  <c r="D138" i="40"/>
  <c r="E138" i="40"/>
  <c r="F138" i="40"/>
  <c r="G138" i="40"/>
  <c r="I138" i="40"/>
  <c r="L138" i="40"/>
  <c r="M138" i="40"/>
  <c r="N138" i="40"/>
  <c r="O138" i="40"/>
  <c r="A139" i="40"/>
  <c r="B139" i="40"/>
  <c r="D139" i="40"/>
  <c r="E139" i="40"/>
  <c r="F139" i="40"/>
  <c r="G139" i="40"/>
  <c r="I139" i="40"/>
  <c r="L139" i="40"/>
  <c r="M139" i="40"/>
  <c r="N139" i="40"/>
  <c r="O139" i="40"/>
  <c r="A140" i="40"/>
  <c r="B140" i="40"/>
  <c r="D140" i="40"/>
  <c r="E140" i="40"/>
  <c r="F140" i="40"/>
  <c r="G140" i="40"/>
  <c r="I140" i="40"/>
  <c r="L140" i="40"/>
  <c r="M140" i="40"/>
  <c r="N140" i="40"/>
  <c r="O140" i="40"/>
  <c r="A141" i="40"/>
  <c r="B141" i="40"/>
  <c r="D141" i="40"/>
  <c r="E141" i="40"/>
  <c r="F141" i="40"/>
  <c r="G141" i="40"/>
  <c r="I141" i="40"/>
  <c r="L141" i="40"/>
  <c r="M141" i="40"/>
  <c r="N141" i="40"/>
  <c r="O141" i="40"/>
  <c r="A142" i="40"/>
  <c r="B142" i="40"/>
  <c r="D142" i="40"/>
  <c r="E142" i="40"/>
  <c r="F142" i="40"/>
  <c r="G142" i="40"/>
  <c r="I142" i="40"/>
  <c r="L142" i="40"/>
  <c r="M142" i="40"/>
  <c r="N142" i="40"/>
  <c r="O142" i="40"/>
  <c r="A143" i="40"/>
  <c r="B143" i="40"/>
  <c r="D143" i="40"/>
  <c r="E143" i="40"/>
  <c r="F143" i="40"/>
  <c r="G143" i="40"/>
  <c r="I143" i="40"/>
  <c r="L143" i="40"/>
  <c r="M143" i="40"/>
  <c r="N143" i="40"/>
  <c r="O143" i="40"/>
  <c r="A144" i="40"/>
  <c r="B144" i="40"/>
  <c r="D144" i="40"/>
  <c r="E144" i="40"/>
  <c r="F144" i="40"/>
  <c r="G144" i="40"/>
  <c r="I144" i="40"/>
  <c r="L144" i="40"/>
  <c r="M144" i="40"/>
  <c r="N144" i="40"/>
  <c r="O144" i="40"/>
  <c r="A145" i="40"/>
  <c r="B145" i="40"/>
  <c r="D145" i="40"/>
  <c r="E145" i="40"/>
  <c r="F145" i="40"/>
  <c r="G145" i="40"/>
  <c r="I145" i="40"/>
  <c r="L145" i="40"/>
  <c r="M145" i="40"/>
  <c r="N145" i="40"/>
  <c r="O145" i="40"/>
  <c r="A146" i="40"/>
  <c r="B146" i="40"/>
  <c r="D146" i="40"/>
  <c r="E146" i="40"/>
  <c r="F146" i="40"/>
  <c r="G146" i="40"/>
  <c r="I146" i="40"/>
  <c r="L146" i="40"/>
  <c r="M146" i="40"/>
  <c r="N146" i="40"/>
  <c r="O146" i="40"/>
  <c r="A147" i="40"/>
  <c r="B147" i="40"/>
  <c r="D147" i="40"/>
  <c r="E147" i="40"/>
  <c r="F147" i="40"/>
  <c r="G147" i="40"/>
  <c r="I147" i="40"/>
  <c r="L147" i="40"/>
  <c r="M147" i="40"/>
  <c r="N147" i="40"/>
  <c r="O147" i="40"/>
  <c r="A148" i="40"/>
  <c r="B148" i="40"/>
  <c r="D148" i="40"/>
  <c r="E148" i="40"/>
  <c r="F148" i="40"/>
  <c r="G148" i="40"/>
  <c r="I148" i="40"/>
  <c r="L148" i="40"/>
  <c r="M148" i="40"/>
  <c r="N148" i="40"/>
  <c r="O148" i="40"/>
  <c r="A149" i="40"/>
  <c r="B149" i="40"/>
  <c r="D149" i="40"/>
  <c r="E149" i="40"/>
  <c r="F149" i="40"/>
  <c r="G149" i="40"/>
  <c r="I149" i="40"/>
  <c r="L149" i="40"/>
  <c r="M149" i="40"/>
  <c r="N149" i="40"/>
  <c r="O149" i="40"/>
  <c r="A150" i="40"/>
  <c r="B150" i="40"/>
  <c r="D150" i="40"/>
  <c r="E150" i="40"/>
  <c r="F150" i="40"/>
  <c r="G150" i="40"/>
  <c r="I150" i="40"/>
  <c r="L150" i="40"/>
  <c r="M150" i="40"/>
  <c r="N150" i="40"/>
  <c r="O150" i="40"/>
</calcChain>
</file>

<file path=xl/sharedStrings.xml><?xml version="1.0" encoding="utf-8"?>
<sst xmlns="http://schemas.openxmlformats.org/spreadsheetml/2006/main" count="1028" uniqueCount="308">
  <si>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</si>
  <si>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</si>
  <si>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</si>
  <si>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</si>
  <si>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</si>
  <si>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</si>
  <si>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</si>
  <si>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</si>
  <si>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</si>
  <si>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</si>
  <si>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</si>
  <si>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</si>
  <si>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</si>
  <si>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</si>
  <si>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</si>
  <si>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</si>
  <si>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</si>
  <si>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</si>
  <si>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</si>
  <si>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</si>
  <si>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</si>
  <si>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</si>
  <si>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</si>
  <si>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</si>
  <si>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</si>
  <si>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</si>
  <si>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int rate</t>
  </si>
  <si>
    <t>IMPVOL</t>
  </si>
  <si>
    <t>DELTA</t>
  </si>
  <si>
    <t>GAMMA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</si>
  <si>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</si>
  <si>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</si>
  <si>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</si>
  <si>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</si>
  <si>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</si>
  <si>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</si>
  <si>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</si>
  <si>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</si>
  <si>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value</t>
  </si>
  <si>
    <t>SWAP</t>
  </si>
  <si>
    <t>ADJ SWAP</t>
  </si>
  <si>
    <t>START</t>
  </si>
  <si>
    <t>END</t>
  </si>
  <si>
    <t>CUSTOM</t>
  </si>
  <si>
    <t>VOLUME</t>
  </si>
  <si>
    <t>STRIKE1</t>
  </si>
  <si>
    <t>STRIKE2</t>
  </si>
  <si>
    <t>OPT 1</t>
  </si>
  <si>
    <t>OPT 2</t>
  </si>
  <si>
    <t>LAST MONTH</t>
  </si>
  <si>
    <t>ADJ VOL1</t>
  </si>
  <si>
    <t>ADJ VOL2</t>
  </si>
  <si>
    <t>VOL ADJ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</si>
  <si>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</si>
  <si>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</si>
  <si>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</si>
  <si>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</si>
  <si>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</si>
  <si>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</si>
  <si>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</si>
  <si>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</si>
  <si>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</si>
  <si>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</si>
  <si>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</si>
  <si>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</si>
  <si>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</si>
  <si>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</si>
  <si>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</si>
  <si>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</si>
  <si>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</si>
  <si>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</si>
  <si>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</si>
  <si>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</si>
  <si>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</si>
  <si>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</si>
  <si>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</si>
  <si>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</si>
  <si>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</si>
  <si>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</si>
  <si>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</si>
  <si>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</si>
  <si>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</si>
  <si>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</si>
  <si>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</si>
  <si>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</si>
  <si>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</si>
  <si>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</si>
  <si>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</si>
  <si>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</si>
  <si>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</si>
  <si>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</si>
  <si>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</si>
  <si>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</si>
  <si>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</si>
  <si>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</si>
  <si>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</si>
  <si>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</si>
  <si>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</si>
  <si>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</si>
  <si>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</si>
  <si>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</si>
  <si>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</si>
  <si>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</si>
  <si>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</si>
  <si>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</si>
  <si>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</si>
  <si>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</si>
  <si>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STRIKE</t>
  </si>
  <si>
    <t>BASIS ADJ</t>
  </si>
  <si>
    <t>NYMEX SWAP</t>
  </si>
  <si>
    <t>SKEW 1</t>
  </si>
  <si>
    <t>SKEW 2</t>
  </si>
  <si>
    <t>OPT TYPE</t>
  </si>
  <si>
    <t>SKEW</t>
  </si>
  <si>
    <t>ADJ</t>
  </si>
  <si>
    <t>STRADDLE</t>
  </si>
  <si>
    <t>xh</t>
  </si>
  <si>
    <t>CAL2</t>
  </si>
  <si>
    <t>CAL3</t>
  </si>
  <si>
    <t>CAL4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</si>
  <si>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</si>
  <si>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</si>
  <si>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</si>
  <si>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</si>
  <si>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</si>
  <si>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</si>
  <si>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</si>
  <si>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</si>
  <si>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</si>
  <si>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</si>
  <si>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</si>
  <si>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</si>
  <si>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</si>
  <si>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</si>
  <si>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NYMEX ADJ</t>
  </si>
  <si>
    <t>EOL PRICE</t>
  </si>
  <si>
    <t>\</t>
  </si>
  <si>
    <t>OPT2</t>
  </si>
  <si>
    <t>OPT3</t>
  </si>
  <si>
    <t>OPT4</t>
  </si>
  <si>
    <t>IF-TETCO/M3</t>
  </si>
  <si>
    <t>FIRST DAY</t>
  </si>
  <si>
    <t>LAST DAY</t>
  </si>
  <si>
    <t>PRICING DAY</t>
  </si>
  <si>
    <t>vol1</t>
  </si>
  <si>
    <t>vol2</t>
  </si>
  <si>
    <t>NGI-MALIN</t>
  </si>
  <si>
    <t>premium</t>
  </si>
  <si>
    <t>delta</t>
  </si>
  <si>
    <t>PIPE EXP</t>
  </si>
  <si>
    <t>OPT EXP</t>
  </si>
  <si>
    <t>combos</t>
  </si>
  <si>
    <t>settle, last or eol?</t>
  </si>
  <si>
    <t>1=call,2=put,3=straddle</t>
  </si>
  <si>
    <t>jv</t>
  </si>
  <si>
    <t>IF-WAHA-TX</t>
  </si>
  <si>
    <t>GDM-DAWN</t>
  </si>
  <si>
    <t>MICH/CONS</t>
  </si>
  <si>
    <t>PIPE</t>
  </si>
  <si>
    <t>MONTH1</t>
  </si>
  <si>
    <t>MONTH2</t>
  </si>
  <si>
    <t>VOL CHANGE</t>
  </si>
  <si>
    <t>ANR/ML7-GDM</t>
  </si>
  <si>
    <t>EXP</t>
  </si>
  <si>
    <t>settle</t>
  </si>
  <si>
    <t>PIPE OPT</t>
  </si>
  <si>
    <t>DAYS</t>
  </si>
  <si>
    <t>GAS DAILY VOL</t>
  </si>
  <si>
    <t>GD VOL DEL</t>
  </si>
  <si>
    <t>socal</t>
  </si>
  <si>
    <t>FWD ST FLAG</t>
  </si>
  <si>
    <t/>
  </si>
  <si>
    <t>+</t>
  </si>
  <si>
    <t>-</t>
  </si>
  <si>
    <t>gas daily premiums</t>
  </si>
  <si>
    <t>UNDERLYING</t>
  </si>
  <si>
    <t>I</t>
  </si>
  <si>
    <t>APR-OCT</t>
  </si>
  <si>
    <t>nv</t>
  </si>
  <si>
    <t>jv02</t>
  </si>
  <si>
    <t>x2h3</t>
  </si>
  <si>
    <t>jv03</t>
  </si>
  <si>
    <t>x3h4</t>
  </si>
  <si>
    <t>jv04</t>
  </si>
  <si>
    <t>PRICE FOR REGULAR</t>
  </si>
  <si>
    <t>FULL PREMIUM</t>
  </si>
  <si>
    <t>PEAKER PREMIUM</t>
  </si>
  <si>
    <t>PERCENTAGE CHARGED</t>
  </si>
  <si>
    <t>PEAKER DAYS</t>
  </si>
  <si>
    <t>NUMBER OF DAYS IN STRIP</t>
  </si>
  <si>
    <t>PERCENTAGE DAYS</t>
  </si>
  <si>
    <t>nwpl</t>
  </si>
  <si>
    <t>sj</t>
  </si>
  <si>
    <t>fixed/float</t>
  </si>
  <si>
    <t>current</t>
  </si>
  <si>
    <t>physical</t>
  </si>
  <si>
    <t>prior</t>
  </si>
  <si>
    <t>phy</t>
  </si>
  <si>
    <t>pecent</t>
  </si>
  <si>
    <t>set</t>
  </si>
  <si>
    <t>est</t>
  </si>
  <si>
    <t>index</t>
  </si>
  <si>
    <t>ep perm</t>
  </si>
  <si>
    <t>xz02</t>
  </si>
  <si>
    <t>cal3</t>
  </si>
  <si>
    <t>cal4</t>
  </si>
  <si>
    <t>price adj</t>
  </si>
  <si>
    <t>1=call, 2=put, 3=straddle</t>
  </si>
  <si>
    <t>DELTA IN CONTRACTS</t>
  </si>
  <si>
    <t>PAYOFF</t>
  </si>
  <si>
    <t>YIELD</t>
  </si>
  <si>
    <t>CALL/PUT</t>
  </si>
  <si>
    <t>nymex</t>
  </si>
  <si>
    <t>f</t>
  </si>
  <si>
    <t>g</t>
  </si>
  <si>
    <t>h</t>
  </si>
  <si>
    <t>xz02 (current arb)</t>
  </si>
  <si>
    <t>DEUTSCHEBANAKT</t>
  </si>
  <si>
    <t>E</t>
  </si>
  <si>
    <t>YC7510.1</t>
  </si>
  <si>
    <t>F</t>
  </si>
  <si>
    <t>C</t>
  </si>
  <si>
    <t>37257NGI-SOCAL</t>
  </si>
  <si>
    <t>NGI-SOCAL0102</t>
  </si>
  <si>
    <t>37288NGI-SOCAL</t>
  </si>
  <si>
    <t>NGI-SOCAL0202</t>
  </si>
  <si>
    <t>37316NGI-SOCAL</t>
  </si>
  <si>
    <t>NGI-SOCAL0302</t>
  </si>
  <si>
    <t>37347NGI-SOCAL</t>
  </si>
  <si>
    <t>NGI-SOCAL0402</t>
  </si>
  <si>
    <t>37377NGI-SOCAL</t>
  </si>
  <si>
    <t>NGI-SOCAL0502</t>
  </si>
  <si>
    <t>37408NGI-SOCAL</t>
  </si>
  <si>
    <t>NGI-SOCAL0602</t>
  </si>
  <si>
    <t>37438NGI-SOCAL</t>
  </si>
  <si>
    <t>NGI-SOCAL0702</t>
  </si>
  <si>
    <t>37469NGI-SOCAL</t>
  </si>
  <si>
    <t>NGI-SOCAL0802</t>
  </si>
  <si>
    <t>37500NGI-SOCAL</t>
  </si>
  <si>
    <t>NGI-SOCAL0902</t>
  </si>
  <si>
    <t>37530NGI-SOCAL</t>
  </si>
  <si>
    <t>NGI-SOCAL1002</t>
  </si>
  <si>
    <t>37561NGI-SOCAL</t>
  </si>
  <si>
    <t>NGI-SOCAL1102</t>
  </si>
  <si>
    <t>37591NGI-SOCAL</t>
  </si>
  <si>
    <t>NGI-SOCAL1202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</si>
  <si>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</si>
  <si>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</si>
  <si>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</si>
  <si>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</si>
  <si>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</si>
  <si>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</si>
  <si>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</si>
  <si>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</si>
  <si>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</si>
  <si>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</si>
  <si>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</si>
  <si>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</si>
  <si>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</si>
  <si>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</si>
  <si>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</si>
  <si>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</si>
  <si>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</si>
  <si>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</si>
  <si>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</si>
  <si>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</si>
  <si>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</si>
  <si>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</si>
  <si>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</si>
  <si>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</si>
  <si>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re</t>
  </si>
  <si>
    <t>Contracts</t>
  </si>
  <si>
    <t>Index Vol Skew</t>
  </si>
  <si>
    <t>Gamma</t>
  </si>
  <si>
    <t>Adj Gamma</t>
  </si>
  <si>
    <t>Core Vega</t>
  </si>
  <si>
    <t>Theta</t>
  </si>
  <si>
    <t>Vol A</t>
  </si>
  <si>
    <t>Vol B</t>
  </si>
  <si>
    <t>Nymex Gamma</t>
  </si>
  <si>
    <t>Prior Day</t>
  </si>
  <si>
    <t>Shift/Gamma</t>
  </si>
  <si>
    <t>Rho</t>
  </si>
  <si>
    <t>Drift</t>
  </si>
  <si>
    <t>Vega</t>
  </si>
  <si>
    <t>Skew</t>
  </si>
  <si>
    <t>Total Change</t>
  </si>
  <si>
    <t>Today Curve Row</t>
  </si>
  <si>
    <t>Correlation Row</t>
  </si>
  <si>
    <t>Previous Nymex</t>
  </si>
  <si>
    <t>Previous Index</t>
  </si>
  <si>
    <t>Previous IntRate</t>
  </si>
  <si>
    <t>Previous NG Vol</t>
  </si>
  <si>
    <t>Previous Index Vol</t>
  </si>
  <si>
    <t>Previous Correlation</t>
  </si>
  <si>
    <t>Previous Skew</t>
  </si>
  <si>
    <t>Previous SkewAdj Vol</t>
  </si>
  <si>
    <t>Previous Day MTM</t>
  </si>
  <si>
    <t>Days to Expiry</t>
  </si>
  <si>
    <t>Days to Expiry(Prior)</t>
  </si>
  <si>
    <t>Previous Strike</t>
  </si>
  <si>
    <t>Today Discount</t>
  </si>
  <si>
    <t>Prior Discount</t>
  </si>
  <si>
    <t>Index</t>
  </si>
  <si>
    <t>Skew Lookup</t>
  </si>
  <si>
    <t>CAL5</t>
  </si>
  <si>
    <t>cal5</t>
  </si>
  <si>
    <t>STRIKE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</si>
</sst>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165" formatCode="0.000"/>
    <numFmt numFmtId="166" formatCode="0.000%"/>
    <numFmt numFmtId="167" formatCode="&quot;$&quot;#,##0"/>
    <numFmt numFmtId="168" formatCode="0.0000"/>
    <numFmt numFmtId="169" formatCode="#,##0.0000"/>
    <numFmt numFmtId="170" formatCode="0.0"/>
    <numFmt numFmtId="172" formatCode="0.00000"/>
    <numFmt numFmtId="173" formatCode="0.0000_);[Red]\(0.0000\)"/>
    <numFmt numFmtId="174" formatCode="0.0000%"/>
    <numFmt numFmtId="175" formatCode="mmm\-yyyy"/>
    <numFmt numFmtId="178" formatCode="dd\-mmm\-yy"/>
    <numFmt numFmtId="179" formatCode="0.000_);[Red]\(0.000\)"/>
    <numFmt numFmtId="180" formatCode="0.00_);[Red]\(0.00\)"/>
    <numFmt numFmtId="181" formatCode="#,##0.000_);[Red]\(#,##0.000\)"/>
    <numFmt numFmtId="183" formatCode="0_);[Red]\(0\)"/>
    <numFmt numFmtId="187" formatCode="#,##0_ ;[Red]\-#,##0\ "/>
    <numFmt numFmtId="188" formatCode="&quot;$&quot;#,##0.0000;[Red]\-&quot;$&quot;#,##0.0000"/>
    <numFmt numFmtId="189" formatCode="#,##0.0000_ ;[Red]\-#,##0.0000\ "/>
    <numFmt numFmtId="190" formatCode="&quot;$&quot;#,##0;[Red]\-&quot;$&quot;#,##0"/>
    <numFmt numFmtId="191" formatCode="&quot;$&quot;#,##0.0000"/>
    <numFmt numFmtId="192" formatCode="&quot;$&quot;#,##0.000"/>
    <numFmt numFmtId="193" formatCode="&quot;$&quot;#,##0.000_);[Red]\(&quot;$&quot;#,##0.000\)"/>
  </numFmts>
  <fonts count="49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8"/>
      <name val="Helv"/>
    </font>
    <font>
      <b/>
      <sz val="8"/>
      <color indexed="10"/>
      <name val="Arial"/>
      <family val="2"/>
    </font>
    <font>
      <b/>
      <sz val="8"/>
      <color indexed="10"/>
      <name val="MS Sans Serif"/>
      <family val="2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b/>
      <sz val="8"/>
      <color indexed="8"/>
      <name val="Arial"/>
      <family val="2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b/>
      <sz val="8"/>
      <color indexed="18"/>
      <name val="MS Sans Serif"/>
    </font>
    <font>
      <b/>
      <sz val="8"/>
      <name val="Arial"/>
      <family val="2"/>
    </font>
    <font>
      <b/>
      <sz val="12"/>
      <name val="Arial"/>
      <family val="2"/>
    </font>
    <font>
      <b/>
      <sz val="6"/>
      <name val="MS Sans Serif"/>
      <family val="2"/>
    </font>
    <font>
      <b/>
      <sz val="6"/>
      <name val="Arial"/>
      <family val="2"/>
    </font>
    <font>
      <b/>
      <i/>
      <sz val="14"/>
      <color indexed="18"/>
      <name val="Arial"/>
      <family val="2"/>
    </font>
    <font>
      <b/>
      <i/>
      <sz val="12"/>
      <color indexed="18"/>
      <name val="Arial"/>
      <family val="2"/>
    </font>
    <font>
      <b/>
      <sz val="16"/>
      <color indexed="10"/>
      <name val="Arial"/>
      <family val="2"/>
    </font>
    <font>
      <b/>
      <sz val="6"/>
      <color indexed="10"/>
      <name val="Arial"/>
    </font>
    <font>
      <b/>
      <sz val="6"/>
      <color indexed="10"/>
      <name val="MS Sans Serif"/>
    </font>
    <font>
      <sz val="10"/>
      <color indexed="55"/>
      <name val="Arial"/>
      <family val="2"/>
    </font>
    <font>
      <b/>
      <sz val="10"/>
      <color indexed="55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403">
    <xf numFmtId="0" fontId="0" fillId="0" borderId="0" xfId="0"/>
    <xf numFmtId="37" fontId="4" fillId="0" borderId="0" xfId="1" applyNumberFormat="1" applyFont="1" applyFill="1" applyBorder="1" applyProtection="1"/>
    <xf numFmtId="0" fontId="6" fillId="0" borderId="0" xfId="1" applyFont="1"/>
    <xf numFmtId="0" fontId="7" fillId="0" borderId="0" xfId="0" applyFont="1"/>
    <xf numFmtId="0" fontId="6" fillId="0" borderId="1" xfId="1" applyFont="1" applyBorder="1" applyAlignment="1">
      <alignment horizontal="centerContinuous"/>
    </xf>
    <xf numFmtId="0" fontId="6" fillId="0" borderId="2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17" fontId="6" fillId="0" borderId="10" xfId="1" applyNumberFormat="1" applyFont="1" applyBorder="1"/>
    <xf numFmtId="17" fontId="6" fillId="0" borderId="11" xfId="1" applyNumberFormat="1" applyFont="1" applyBorder="1"/>
    <xf numFmtId="15" fontId="6" fillId="0" borderId="12" xfId="1" applyNumberFormat="1" applyFont="1" applyBorder="1"/>
    <xf numFmtId="15" fontId="6" fillId="0" borderId="2" xfId="1" applyNumberFormat="1" applyFont="1" applyBorder="1"/>
    <xf numFmtId="15" fontId="6" fillId="0" borderId="6" xfId="1" applyNumberFormat="1" applyFont="1" applyBorder="1"/>
    <xf numFmtId="15" fontId="6" fillId="0" borderId="3" xfId="1" applyNumberFormat="1" applyFont="1" applyBorder="1"/>
    <xf numFmtId="15" fontId="6" fillId="0" borderId="8" xfId="1" applyNumberFormat="1" applyFont="1" applyBorder="1"/>
    <xf numFmtId="15" fontId="6" fillId="0" borderId="13" xfId="1" applyNumberFormat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1" applyNumberFormat="1" applyFont="1" applyBorder="1" applyAlignment="1">
      <alignment horizontal="centerContinuous"/>
    </xf>
    <xf numFmtId="17" fontId="6" fillId="0" borderId="0" xfId="1" applyNumberFormat="1" applyFont="1" applyBorder="1" applyAlignment="1">
      <alignment horizontal="centerContinuous"/>
    </xf>
    <xf numFmtId="17" fontId="9" fillId="0" borderId="14" xfId="1" applyNumberFormat="1" applyFont="1" applyBorder="1" applyAlignment="1">
      <alignment horizontal="center"/>
    </xf>
    <xf numFmtId="17" fontId="9" fillId="0" borderId="15" xfId="1" applyNumberFormat="1" applyFont="1" applyBorder="1" applyAlignment="1">
      <alignment horizontal="center"/>
    </xf>
    <xf numFmtId="17" fontId="9" fillId="0" borderId="16" xfId="1" applyNumberFormat="1" applyFont="1" applyBorder="1" applyAlignment="1">
      <alignment horizontal="center"/>
    </xf>
    <xf numFmtId="17" fontId="6" fillId="0" borderId="1" xfId="1" applyNumberFormat="1" applyFont="1" applyBorder="1"/>
    <xf numFmtId="17" fontId="6" fillId="0" borderId="0" xfId="1" applyNumberFormat="1" applyFont="1" applyBorder="1"/>
    <xf numFmtId="17" fontId="5" fillId="0" borderId="0" xfId="1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14" fontId="6" fillId="0" borderId="0" xfId="1" applyNumberFormat="1" applyFont="1" applyBorder="1"/>
    <xf numFmtId="17" fontId="6" fillId="0" borderId="0" xfId="1" applyNumberFormat="1" applyFont="1" applyBorder="1" applyProtection="1"/>
    <xf numFmtId="17" fontId="10" fillId="0" borderId="0" xfId="1" applyNumberFormat="1" applyFont="1" applyBorder="1"/>
    <xf numFmtId="165" fontId="10" fillId="0" borderId="0" xfId="1" applyNumberFormat="1" applyFont="1" applyBorder="1"/>
    <xf numFmtId="10" fontId="10" fillId="0" borderId="0" xfId="1" applyNumberFormat="1" applyFont="1" applyBorder="1"/>
    <xf numFmtId="0" fontId="10" fillId="0" borderId="0" xfId="1" applyFont="1" applyBorder="1"/>
    <xf numFmtId="0" fontId="7" fillId="0" borderId="0" xfId="0" applyFont="1" applyBorder="1"/>
    <xf numFmtId="0" fontId="6" fillId="0" borderId="0" xfId="1" applyFont="1" applyFill="1" applyBorder="1"/>
    <xf numFmtId="17" fontId="5" fillId="0" borderId="0" xfId="1" applyNumberFormat="1" applyFont="1" applyFill="1" applyBorder="1"/>
    <xf numFmtId="17" fontId="8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/>
    <xf numFmtId="17" fontId="6" fillId="0" borderId="0" xfId="1" applyNumberFormat="1" applyFont="1" applyFill="1" applyBorder="1" applyProtection="1"/>
    <xf numFmtId="17" fontId="10" fillId="0" borderId="0" xfId="1" applyNumberFormat="1" applyFont="1" applyFill="1" applyBorder="1"/>
    <xf numFmtId="165" fontId="10" fillId="0" borderId="0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14" fontId="14" fillId="0" borderId="0" xfId="0" applyNumberFormat="1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5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5" fontId="13" fillId="2" borderId="0" xfId="0" applyNumberFormat="1" applyFont="1" applyFill="1" applyBorder="1" applyProtection="1">
      <protection locked="0"/>
    </xf>
    <xf numFmtId="165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5" fillId="0" borderId="22" xfId="0" applyFont="1" applyBorder="1" applyProtection="1">
      <protection locked="0"/>
    </xf>
    <xf numFmtId="0" fontId="16" fillId="0" borderId="22" xfId="0" quotePrefix="1" applyFont="1" applyBorder="1"/>
    <xf numFmtId="10" fontId="16" fillId="0" borderId="22" xfId="0" applyNumberFormat="1" applyFont="1" applyBorder="1" applyProtection="1">
      <protection locked="0"/>
    </xf>
    <xf numFmtId="0" fontId="15" fillId="0" borderId="22" xfId="0" applyFont="1" applyBorder="1" applyAlignment="1" applyProtection="1">
      <alignment horizontal="center"/>
      <protection locked="0"/>
    </xf>
    <xf numFmtId="165" fontId="16" fillId="0" borderId="22" xfId="0" applyNumberFormat="1" applyFont="1" applyBorder="1" applyProtection="1">
      <protection locked="0"/>
    </xf>
    <xf numFmtId="2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2" fontId="15" fillId="2" borderId="0" xfId="0" applyNumberFormat="1" applyFont="1" applyFill="1" applyBorder="1" applyProtection="1"/>
    <xf numFmtId="165" fontId="17" fillId="0" borderId="22" xfId="0" applyNumberFormat="1" applyFont="1" applyFill="1" applyBorder="1" applyAlignment="1" applyProtection="1">
      <alignment horizontal="center"/>
      <protection locked="0"/>
    </xf>
    <xf numFmtId="168" fontId="17" fillId="0" borderId="22" xfId="0" applyNumberFormat="1" applyFont="1" applyFill="1" applyBorder="1" applyAlignment="1" applyProtection="1">
      <alignment horizontal="center"/>
      <protection locked="0"/>
    </xf>
    <xf numFmtId="10" fontId="17" fillId="0" borderId="22" xfId="0" applyNumberFormat="1" applyFont="1" applyFill="1" applyBorder="1" applyAlignment="1" applyProtection="1">
      <alignment horizontal="center"/>
      <protection locked="0"/>
    </xf>
    <xf numFmtId="168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5" fontId="16" fillId="0" borderId="22" xfId="0" applyNumberFormat="1" applyFont="1" applyBorder="1"/>
    <xf numFmtId="165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5" fontId="16" fillId="2" borderId="0" xfId="0" applyNumberFormat="1" applyFont="1" applyFill="1" applyBorder="1" applyProtection="1">
      <protection locked="0"/>
    </xf>
    <xf numFmtId="172" fontId="15" fillId="0" borderId="0" xfId="0" applyNumberFormat="1" applyFont="1"/>
    <xf numFmtId="165" fontId="15" fillId="0" borderId="0" xfId="0" applyNumberFormat="1" applyFont="1" applyBorder="1"/>
    <xf numFmtId="17" fontId="18" fillId="0" borderId="19" xfId="0" applyNumberFormat="1" applyFont="1" applyBorder="1"/>
    <xf numFmtId="165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5" fillId="0" borderId="0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5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67" fontId="15" fillId="0" borderId="0" xfId="0" applyNumberFormat="1" applyFont="1"/>
    <xf numFmtId="0" fontId="16" fillId="0" borderId="0" xfId="0" quotePrefix="1" applyFont="1" applyBorder="1"/>
    <xf numFmtId="168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74" fontId="13" fillId="0" borderId="0" xfId="0" applyNumberFormat="1" applyFont="1" applyBorder="1"/>
    <xf numFmtId="174" fontId="13" fillId="0" borderId="0" xfId="0" applyNumberFormat="1" applyFont="1" applyBorder="1" applyProtection="1"/>
    <xf numFmtId="174" fontId="13" fillId="0" borderId="18" xfId="0" applyNumberFormat="1" applyFont="1" applyBorder="1"/>
    <xf numFmtId="175" fontId="3" fillId="0" borderId="24" xfId="0" applyNumberFormat="1" applyFont="1" applyBorder="1" applyAlignment="1">
      <alignment vertical="top" wrapText="1"/>
    </xf>
    <xf numFmtId="168" fontId="19" fillId="0" borderId="22" xfId="0" applyNumberFormat="1" applyFont="1" applyFill="1" applyBorder="1" applyAlignment="1" applyProtection="1">
      <alignment horizontal="center"/>
      <protection locked="0"/>
    </xf>
    <xf numFmtId="17" fontId="14" fillId="0" borderId="0" xfId="0" applyNumberFormat="1" applyFont="1"/>
    <xf numFmtId="165" fontId="19" fillId="0" borderId="22" xfId="0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/>
    <xf numFmtId="0" fontId="21" fillId="2" borderId="22" xfId="0" applyFont="1" applyFill="1" applyBorder="1"/>
    <xf numFmtId="0" fontId="22" fillId="2" borderId="22" xfId="0" applyFont="1" applyFill="1" applyBorder="1"/>
    <xf numFmtId="14" fontId="23" fillId="2" borderId="22" xfId="0" applyNumberFormat="1" applyFont="1" applyFill="1" applyBorder="1"/>
    <xf numFmtId="0" fontId="24" fillId="0" borderId="0" xfId="0" applyFont="1"/>
    <xf numFmtId="0" fontId="13" fillId="0" borderId="22" xfId="0" applyFont="1" applyBorder="1"/>
    <xf numFmtId="0" fontId="24" fillId="0" borderId="22" xfId="0" applyFont="1" applyBorder="1"/>
    <xf numFmtId="0" fontId="21" fillId="0" borderId="22" xfId="0" quotePrefix="1" applyFont="1" applyBorder="1"/>
    <xf numFmtId="10" fontId="21" fillId="2" borderId="22" xfId="0" applyNumberFormat="1" applyFont="1" applyFill="1" applyBorder="1" applyProtection="1">
      <protection locked="0"/>
    </xf>
    <xf numFmtId="1" fontId="20" fillId="0" borderId="0" xfId="0" applyNumberFormat="1" applyFont="1"/>
    <xf numFmtId="1" fontId="16" fillId="2" borderId="22" xfId="0" applyNumberFormat="1" applyFont="1" applyFill="1" applyBorder="1"/>
    <xf numFmtId="10" fontId="12" fillId="0" borderId="0" xfId="0" applyNumberFormat="1" applyFont="1"/>
    <xf numFmtId="1" fontId="16" fillId="2" borderId="0" xfId="0" applyNumberFormat="1" applyFont="1" applyFill="1" applyBorder="1" applyProtection="1">
      <protection locked="0"/>
    </xf>
    <xf numFmtId="17" fontId="25" fillId="0" borderId="0" xfId="0" applyNumberFormat="1" applyFont="1"/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26" fillId="0" borderId="0" xfId="0" applyFont="1" applyBorder="1"/>
    <xf numFmtId="179" fontId="13" fillId="0" borderId="0" xfId="0" applyNumberFormat="1" applyFont="1"/>
    <xf numFmtId="173" fontId="14" fillId="0" borderId="0" xfId="0" applyNumberFormat="1" applyFont="1"/>
    <xf numFmtId="173" fontId="14" fillId="0" borderId="27" xfId="0" applyNumberFormat="1" applyFont="1" applyBorder="1"/>
    <xf numFmtId="165" fontId="16" fillId="0" borderId="0" xfId="0" applyNumberFormat="1" applyFont="1" applyBorder="1" applyProtection="1">
      <protection locked="0"/>
    </xf>
    <xf numFmtId="0" fontId="16" fillId="0" borderId="0" xfId="0" applyFont="1" applyBorder="1" applyProtection="1">
      <protection locked="0"/>
    </xf>
    <xf numFmtId="173" fontId="12" fillId="0" borderId="0" xfId="0" applyNumberFormat="1" applyFont="1" applyBorder="1"/>
    <xf numFmtId="179" fontId="12" fillId="0" borderId="0" xfId="0" applyNumberFormat="1" applyFont="1"/>
    <xf numFmtId="17" fontId="28" fillId="0" borderId="0" xfId="0" applyNumberFormat="1" applyFont="1"/>
    <xf numFmtId="0" fontId="27" fillId="0" borderId="0" xfId="0" applyFont="1" applyBorder="1"/>
    <xf numFmtId="0" fontId="27" fillId="0" borderId="0" xfId="0" applyFont="1" applyBorder="1" applyProtection="1">
      <protection locked="0"/>
    </xf>
    <xf numFmtId="173" fontId="15" fillId="0" borderId="0" xfId="0" applyNumberFormat="1" applyFont="1" applyBorder="1"/>
    <xf numFmtId="15" fontId="17" fillId="0" borderId="22" xfId="0" applyNumberFormat="1" applyFont="1" applyFill="1" applyBorder="1" applyAlignment="1" applyProtection="1">
      <alignment horizontal="center"/>
      <protection locked="0"/>
    </xf>
    <xf numFmtId="15" fontId="16" fillId="2" borderId="0" xfId="0" applyNumberFormat="1" applyFont="1" applyFill="1" applyBorder="1" applyProtection="1">
      <protection locked="0"/>
    </xf>
    <xf numFmtId="10" fontId="21" fillId="2" borderId="0" xfId="0" applyNumberFormat="1" applyFont="1" applyFill="1" applyBorder="1" applyProtection="1">
      <protection locked="0"/>
    </xf>
    <xf numFmtId="181" fontId="15" fillId="0" borderId="0" xfId="0" applyNumberFormat="1" applyFont="1" applyBorder="1"/>
    <xf numFmtId="179" fontId="15" fillId="0" borderId="0" xfId="0" applyNumberFormat="1" applyFont="1" applyBorder="1"/>
    <xf numFmtId="166" fontId="16" fillId="2" borderId="22" xfId="0" applyNumberFormat="1" applyFont="1" applyFill="1" applyBorder="1" applyProtection="1">
      <protection locked="0"/>
    </xf>
    <xf numFmtId="179" fontId="29" fillId="0" borderId="0" xfId="0" applyNumberFormat="1" applyFont="1"/>
    <xf numFmtId="17" fontId="29" fillId="0" borderId="0" xfId="0" applyNumberFormat="1" applyFont="1"/>
    <xf numFmtId="10" fontId="30" fillId="2" borderId="0" xfId="0" applyNumberFormat="1" applyFont="1" applyFill="1" applyBorder="1" applyProtection="1">
      <protection locked="0"/>
    </xf>
    <xf numFmtId="0" fontId="29" fillId="0" borderId="0" xfId="0" applyFont="1" applyBorder="1"/>
    <xf numFmtId="0" fontId="30" fillId="0" borderId="0" xfId="0" quotePrefix="1" applyFont="1" applyBorder="1"/>
    <xf numFmtId="0" fontId="31" fillId="0" borderId="0" xfId="0" applyFont="1" applyBorder="1"/>
    <xf numFmtId="0" fontId="32" fillId="0" borderId="0" xfId="0" quotePrefix="1" applyFont="1" applyBorder="1"/>
    <xf numFmtId="0" fontId="32" fillId="2" borderId="0" xfId="0" applyFont="1" applyFill="1" applyBorder="1"/>
    <xf numFmtId="17" fontId="33" fillId="0" borderId="0" xfId="0" applyNumberFormat="1" applyFont="1"/>
    <xf numFmtId="0" fontId="34" fillId="0" borderId="0" xfId="0" applyFont="1"/>
    <xf numFmtId="173" fontId="15" fillId="0" borderId="0" xfId="0" applyNumberFormat="1" applyFont="1"/>
    <xf numFmtId="10" fontId="35" fillId="2" borderId="0" xfId="0" applyNumberFormat="1" applyFont="1" applyFill="1" applyBorder="1" applyProtection="1">
      <protection locked="0"/>
    </xf>
    <xf numFmtId="179" fontId="14" fillId="0" borderId="0" xfId="0" applyNumberFormat="1" applyFont="1" applyBorder="1"/>
    <xf numFmtId="180" fontId="14" fillId="0" borderId="0" xfId="0" applyNumberFormat="1" applyFont="1"/>
    <xf numFmtId="179" fontId="33" fillId="0" borderId="28" xfId="0" applyNumberFormat="1" applyFont="1" applyBorder="1"/>
    <xf numFmtId="165" fontId="14" fillId="0" borderId="28" xfId="0" applyNumberFormat="1" applyFont="1" applyBorder="1"/>
    <xf numFmtId="165" fontId="0" fillId="0" borderId="0" xfId="0" applyNumberFormat="1"/>
    <xf numFmtId="0" fontId="3" fillId="0" borderId="0" xfId="0" applyFont="1"/>
    <xf numFmtId="1" fontId="14" fillId="0" borderId="0" xfId="0" applyNumberFormat="1" applyFont="1"/>
    <xf numFmtId="169" fontId="13" fillId="0" borderId="0" xfId="0" applyNumberFormat="1" applyFont="1" applyBorder="1"/>
    <xf numFmtId="15" fontId="14" fillId="0" borderId="0" xfId="0" applyNumberFormat="1" applyFont="1"/>
    <xf numFmtId="168" fontId="0" fillId="0" borderId="0" xfId="0" applyNumberFormat="1"/>
    <xf numFmtId="4" fontId="27" fillId="0" borderId="0" xfId="0" applyNumberFormat="1" applyFont="1" applyBorder="1" applyProtection="1">
      <protection locked="0"/>
    </xf>
    <xf numFmtId="165" fontId="32" fillId="0" borderId="29" xfId="0" applyNumberFormat="1" applyFont="1" applyBorder="1"/>
    <xf numFmtId="168" fontId="14" fillId="0" borderId="28" xfId="0" applyNumberFormat="1" applyFont="1" applyBorder="1"/>
    <xf numFmtId="168" fontId="14" fillId="0" borderId="0" xfId="0" applyNumberFormat="1" applyFont="1"/>
    <xf numFmtId="0" fontId="36" fillId="0" borderId="0" xfId="0" applyFont="1"/>
    <xf numFmtId="165" fontId="24" fillId="0" borderId="0" xfId="0" applyNumberFormat="1" applyFont="1"/>
    <xf numFmtId="178" fontId="7" fillId="0" borderId="0" xfId="0" applyNumberFormat="1" applyFont="1"/>
    <xf numFmtId="172" fontId="14" fillId="0" borderId="0" xfId="0" applyNumberFormat="1" applyFont="1"/>
    <xf numFmtId="168" fontId="24" fillId="0" borderId="0" xfId="0" applyNumberFormat="1" applyFont="1"/>
    <xf numFmtId="168" fontId="14" fillId="0" borderId="30" xfId="0" applyNumberFormat="1" applyFont="1" applyBorder="1"/>
    <xf numFmtId="0" fontId="0" fillId="0" borderId="0" xfId="0" applyBorder="1"/>
    <xf numFmtId="0" fontId="38" fillId="0" borderId="0" xfId="0" applyFont="1" applyAlignment="1">
      <alignment horizontal="center"/>
    </xf>
    <xf numFmtId="1" fontId="38" fillId="3" borderId="31" xfId="0" applyNumberFormat="1" applyFont="1" applyFill="1" applyBorder="1" applyAlignment="1">
      <alignment horizontal="center"/>
    </xf>
    <xf numFmtId="1" fontId="38" fillId="3" borderId="2" xfId="0" applyNumberFormat="1" applyFont="1" applyFill="1" applyBorder="1" applyAlignment="1">
      <alignment horizontal="center"/>
    </xf>
    <xf numFmtId="170" fontId="38" fillId="3" borderId="1" xfId="0" applyNumberFormat="1" applyFont="1" applyFill="1" applyBorder="1" applyAlignment="1">
      <alignment horizontal="center"/>
    </xf>
    <xf numFmtId="1" fontId="38" fillId="3" borderId="32" xfId="0" applyNumberFormat="1" applyFont="1" applyFill="1" applyBorder="1" applyAlignment="1">
      <alignment horizontal="center"/>
    </xf>
    <xf numFmtId="1" fontId="38" fillId="3" borderId="33" xfId="0" applyNumberFormat="1" applyFont="1" applyFill="1" applyBorder="1" applyAlignment="1">
      <alignment horizontal="center"/>
    </xf>
    <xf numFmtId="17" fontId="38" fillId="3" borderId="31" xfId="0" applyNumberFormat="1" applyFont="1" applyFill="1" applyBorder="1" applyAlignment="1">
      <alignment horizontal="center"/>
    </xf>
    <xf numFmtId="17" fontId="38" fillId="3" borderId="10" xfId="0" applyNumberFormat="1" applyFont="1" applyFill="1" applyBorder="1" applyAlignment="1">
      <alignment horizontal="center"/>
    </xf>
    <xf numFmtId="17" fontId="38" fillId="4" borderId="10" xfId="0" applyNumberFormat="1" applyFont="1" applyFill="1" applyBorder="1" applyAlignment="1">
      <alignment horizontal="center"/>
    </xf>
    <xf numFmtId="17" fontId="38" fillId="4" borderId="11" xfId="0" applyNumberFormat="1" applyFont="1" applyFill="1" applyBorder="1" applyAlignment="1">
      <alignment horizontal="center"/>
    </xf>
    <xf numFmtId="165" fontId="38" fillId="0" borderId="0" xfId="3" applyNumberFormat="1" applyFont="1" applyBorder="1"/>
    <xf numFmtId="0" fontId="15" fillId="0" borderId="31" xfId="0" applyFont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0" fontId="15" fillId="0" borderId="10" xfId="0" applyFont="1" applyBorder="1"/>
    <xf numFmtId="165" fontId="15" fillId="0" borderId="3" xfId="0" applyNumberFormat="1" applyFont="1" applyBorder="1"/>
    <xf numFmtId="0" fontId="15" fillId="0" borderId="11" xfId="0" applyFont="1" applyBorder="1"/>
    <xf numFmtId="165" fontId="15" fillId="0" borderId="18" xfId="0" applyNumberFormat="1" applyFont="1" applyBorder="1"/>
    <xf numFmtId="165" fontId="15" fillId="0" borderId="13" xfId="0" applyNumberFormat="1" applyFont="1" applyBorder="1"/>
    <xf numFmtId="0" fontId="15" fillId="0" borderId="0" xfId="0" applyFont="1" applyBorder="1" applyAlignment="1"/>
    <xf numFmtId="180" fontId="38" fillId="5" borderId="34" xfId="4" applyNumberFormat="1" applyFont="1" applyFill="1" applyBorder="1" applyAlignment="1">
      <alignment horizontal="center"/>
    </xf>
    <xf numFmtId="180" fontId="38" fillId="5" borderId="35" xfId="4" applyNumberFormat="1" applyFont="1" applyFill="1" applyBorder="1" applyAlignment="1">
      <alignment horizontal="center"/>
    </xf>
    <xf numFmtId="180" fontId="39" fillId="6" borderId="36" xfId="0" applyNumberFormat="1" applyFont="1" applyFill="1" applyBorder="1" applyAlignment="1">
      <alignment horizontal="center"/>
    </xf>
    <xf numFmtId="180" fontId="38" fillId="6" borderId="37" xfId="4" applyNumberFormat="1" applyFont="1" applyFill="1" applyBorder="1" applyAlignment="1">
      <alignment horizontal="center"/>
    </xf>
    <xf numFmtId="180" fontId="39" fillId="6" borderId="37" xfId="0" applyNumberFormat="1" applyFont="1" applyFill="1" applyBorder="1" applyAlignment="1">
      <alignment horizontal="center"/>
    </xf>
    <xf numFmtId="180" fontId="38" fillId="6" borderId="35" xfId="4" applyNumberFormat="1" applyFont="1" applyFill="1" applyBorder="1" applyAlignment="1">
      <alignment horizontal="center"/>
    </xf>
    <xf numFmtId="180" fontId="38" fillId="5" borderId="36" xfId="4" applyNumberFormat="1" applyFont="1" applyFill="1" applyBorder="1" applyAlignment="1">
      <alignment horizontal="center"/>
    </xf>
    <xf numFmtId="180" fontId="38" fillId="5" borderId="38" xfId="4" applyNumberFormat="1" applyFont="1" applyFill="1" applyBorder="1" applyAlignment="1">
      <alignment horizontal="center"/>
    </xf>
    <xf numFmtId="180" fontId="38" fillId="5" borderId="39" xfId="4" applyNumberFormat="1" applyFont="1" applyFill="1" applyBorder="1" applyAlignment="1">
      <alignment horizontal="center"/>
    </xf>
    <xf numFmtId="180" fontId="39" fillId="6" borderId="25" xfId="0" applyNumberFormat="1" applyFont="1" applyFill="1" applyBorder="1" applyAlignment="1">
      <alignment horizontal="center"/>
    </xf>
    <xf numFmtId="180" fontId="38" fillId="6" borderId="22" xfId="4" applyNumberFormat="1" applyFont="1" applyFill="1" applyBorder="1" applyAlignment="1">
      <alignment horizontal="center"/>
    </xf>
    <xf numFmtId="180" fontId="39" fillId="6" borderId="22" xfId="0" applyNumberFormat="1" applyFont="1" applyFill="1" applyBorder="1" applyAlignment="1">
      <alignment horizontal="center"/>
    </xf>
    <xf numFmtId="180" fontId="38" fillId="6" borderId="39" xfId="4" applyNumberFormat="1" applyFont="1" applyFill="1" applyBorder="1" applyAlignment="1">
      <alignment horizontal="center"/>
    </xf>
    <xf numFmtId="180" fontId="38" fillId="5" borderId="25" xfId="4" applyNumberFormat="1" applyFont="1" applyFill="1" applyBorder="1" applyAlignment="1">
      <alignment horizontal="center"/>
    </xf>
    <xf numFmtId="180" fontId="38" fillId="5" borderId="38" xfId="0" applyNumberFormat="1" applyFont="1" applyFill="1" applyBorder="1" applyAlignment="1">
      <alignment horizontal="center"/>
    </xf>
    <xf numFmtId="180" fontId="38" fillId="5" borderId="39" xfId="0" applyNumberFormat="1" applyFont="1" applyFill="1" applyBorder="1" applyAlignment="1">
      <alignment horizontal="center"/>
    </xf>
    <xf numFmtId="180" fontId="38" fillId="6" borderId="22" xfId="0" applyNumberFormat="1" applyFont="1" applyFill="1" applyBorder="1" applyAlignment="1">
      <alignment horizontal="center"/>
    </xf>
    <xf numFmtId="180" fontId="38" fillId="6" borderId="39" xfId="0" applyNumberFormat="1" applyFont="1" applyFill="1" applyBorder="1" applyAlignment="1">
      <alignment horizontal="center"/>
    </xf>
    <xf numFmtId="180" fontId="38" fillId="5" borderId="25" xfId="0" applyNumberFormat="1" applyFont="1" applyFill="1" applyBorder="1" applyAlignment="1">
      <alignment horizontal="center"/>
    </xf>
    <xf numFmtId="180" fontId="38" fillId="5" borderId="14" xfId="0" applyNumberFormat="1" applyFont="1" applyFill="1" applyBorder="1" applyAlignment="1">
      <alignment horizontal="center"/>
    </xf>
    <xf numFmtId="180" fontId="38" fillId="5" borderId="5" xfId="0" applyNumberFormat="1" applyFont="1" applyFill="1" applyBorder="1" applyAlignment="1">
      <alignment horizontal="center"/>
    </xf>
    <xf numFmtId="180" fontId="38" fillId="4" borderId="38" xfId="0" applyNumberFormat="1" applyFont="1" applyFill="1" applyBorder="1" applyAlignment="1">
      <alignment horizontal="center"/>
    </xf>
    <xf numFmtId="180" fontId="38" fillId="4" borderId="39" xfId="0" applyNumberFormat="1" applyFont="1" applyFill="1" applyBorder="1" applyAlignment="1">
      <alignment horizontal="center"/>
    </xf>
    <xf numFmtId="180" fontId="39" fillId="4" borderId="25" xfId="0" applyNumberFormat="1" applyFont="1" applyFill="1" applyBorder="1" applyAlignment="1">
      <alignment horizontal="center"/>
    </xf>
    <xf numFmtId="180" fontId="38" fillId="4" borderId="22" xfId="0" applyNumberFormat="1" applyFont="1" applyFill="1" applyBorder="1" applyAlignment="1">
      <alignment horizontal="center"/>
    </xf>
    <xf numFmtId="180" fontId="39" fillId="4" borderId="22" xfId="0" applyNumberFormat="1" applyFont="1" applyFill="1" applyBorder="1" applyAlignment="1">
      <alignment horizontal="center"/>
    </xf>
    <xf numFmtId="180" fontId="38" fillId="4" borderId="25" xfId="0" applyNumberFormat="1" applyFont="1" applyFill="1" applyBorder="1" applyAlignment="1">
      <alignment horizontal="center"/>
    </xf>
    <xf numFmtId="180" fontId="38" fillId="4" borderId="40" xfId="0" applyNumberFormat="1" applyFont="1" applyFill="1" applyBorder="1" applyAlignment="1">
      <alignment horizontal="center"/>
    </xf>
    <xf numFmtId="180" fontId="38" fillId="4" borderId="41" xfId="0" applyNumberFormat="1" applyFont="1" applyFill="1" applyBorder="1" applyAlignment="1">
      <alignment horizontal="center"/>
    </xf>
    <xf numFmtId="180" fontId="38" fillId="4" borderId="42" xfId="0" applyNumberFormat="1" applyFont="1" applyFill="1" applyBorder="1" applyAlignment="1">
      <alignment horizontal="center"/>
    </xf>
    <xf numFmtId="180" fontId="39" fillId="4" borderId="43" xfId="0" applyNumberFormat="1" applyFont="1" applyFill="1" applyBorder="1" applyAlignment="1">
      <alignment horizontal="center"/>
    </xf>
    <xf numFmtId="180" fontId="38" fillId="4" borderId="44" xfId="0" applyNumberFormat="1" applyFont="1" applyFill="1" applyBorder="1" applyAlignment="1">
      <alignment horizontal="center"/>
    </xf>
    <xf numFmtId="180" fontId="39" fillId="4" borderId="44" xfId="0" applyNumberFormat="1" applyFont="1" applyFill="1" applyBorder="1" applyAlignment="1">
      <alignment horizontal="center"/>
    </xf>
    <xf numFmtId="180" fontId="38" fillId="4" borderId="43" xfId="0" applyNumberFormat="1" applyFont="1" applyFill="1" applyBorder="1" applyAlignment="1">
      <alignment horizontal="center"/>
    </xf>
    <xf numFmtId="180" fontId="38" fillId="4" borderId="45" xfId="0" applyNumberFormat="1" applyFont="1" applyFill="1" applyBorder="1" applyAlignment="1">
      <alignment horizontal="center"/>
    </xf>
    <xf numFmtId="165" fontId="16" fillId="0" borderId="22" xfId="0" quotePrefix="1" applyNumberFormat="1" applyFont="1" applyBorder="1"/>
    <xf numFmtId="17" fontId="41" fillId="0" borderId="0" xfId="0" applyNumberFormat="1" applyFont="1"/>
    <xf numFmtId="1" fontId="36" fillId="0" borderId="0" xfId="0" applyNumberFormat="1" applyFont="1"/>
    <xf numFmtId="167" fontId="14" fillId="0" borderId="0" xfId="0" applyNumberFormat="1" applyFont="1"/>
    <xf numFmtId="183" fontId="42" fillId="0" borderId="23" xfId="0" applyNumberFormat="1" applyFont="1" applyBorder="1"/>
    <xf numFmtId="10" fontId="24" fillId="0" borderId="0" xfId="0" applyNumberFormat="1" applyFont="1"/>
    <xf numFmtId="8" fontId="0" fillId="0" borderId="0" xfId="0" applyNumberFormat="1"/>
    <xf numFmtId="180" fontId="14" fillId="0" borderId="0" xfId="0" applyNumberFormat="1" applyFont="1" applyFill="1" applyBorder="1"/>
    <xf numFmtId="180" fontId="0" fillId="0" borderId="0" xfId="0" applyNumberFormat="1"/>
    <xf numFmtId="9" fontId="27" fillId="0" borderId="0" xfId="0" applyNumberFormat="1" applyFont="1" applyBorder="1"/>
    <xf numFmtId="0" fontId="27" fillId="0" borderId="46" xfId="0" applyFont="1" applyBorder="1" applyProtection="1">
      <protection locked="0"/>
    </xf>
    <xf numFmtId="0" fontId="27" fillId="0" borderId="27" xfId="0" applyFont="1" applyBorder="1"/>
    <xf numFmtId="0" fontId="27" fillId="0" borderId="47" xfId="0" applyFont="1" applyBorder="1" applyProtection="1">
      <protection locked="0"/>
    </xf>
    <xf numFmtId="9" fontId="27" fillId="0" borderId="23" xfId="0" applyNumberFormat="1" applyFont="1" applyBorder="1"/>
    <xf numFmtId="168" fontId="16" fillId="0" borderId="22" xfId="0" quotePrefix="1" applyNumberFormat="1" applyFont="1" applyBorder="1"/>
    <xf numFmtId="2" fontId="0" fillId="0" borderId="0" xfId="0" applyNumberFormat="1"/>
    <xf numFmtId="2" fontId="14" fillId="0" borderId="48" xfId="0" applyNumberFormat="1" applyFont="1" applyBorder="1"/>
    <xf numFmtId="2" fontId="14" fillId="0" borderId="49" xfId="0" applyNumberFormat="1" applyFont="1" applyBorder="1"/>
    <xf numFmtId="179" fontId="14" fillId="0" borderId="50" xfId="0" applyNumberFormat="1" applyFont="1" applyBorder="1"/>
    <xf numFmtId="179" fontId="14" fillId="0" borderId="29" xfId="0" applyNumberFormat="1" applyFont="1" applyBorder="1"/>
    <xf numFmtId="179" fontId="14" fillId="0" borderId="51" xfId="0" applyNumberFormat="1" applyFont="1" applyBorder="1"/>
    <xf numFmtId="2" fontId="27" fillId="0" borderId="0" xfId="0" applyNumberFormat="1" applyFont="1" applyBorder="1"/>
    <xf numFmtId="6" fontId="36" fillId="0" borderId="0" xfId="0" applyNumberFormat="1" applyFont="1"/>
    <xf numFmtId="14" fontId="36" fillId="0" borderId="0" xfId="0" applyNumberFormat="1" applyFont="1"/>
    <xf numFmtId="8" fontId="36" fillId="0" borderId="0" xfId="0" applyNumberFormat="1" applyFont="1"/>
    <xf numFmtId="40" fontId="36" fillId="0" borderId="0" xfId="0" applyNumberFormat="1" applyFont="1"/>
    <xf numFmtId="14" fontId="15" fillId="0" borderId="0" xfId="0" applyNumberFormat="1" applyFont="1" applyBorder="1" applyProtection="1">
      <protection locked="0"/>
    </xf>
    <xf numFmtId="179" fontId="14" fillId="0" borderId="0" xfId="0" applyNumberFormat="1" applyFont="1"/>
    <xf numFmtId="0" fontId="6" fillId="2" borderId="0" xfId="0" applyFont="1" applyFill="1"/>
    <xf numFmtId="0" fontId="6" fillId="0" borderId="0" xfId="0" applyFont="1" applyFill="1"/>
    <xf numFmtId="17" fontId="3" fillId="0" borderId="0" xfId="2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1" fontId="11" fillId="0" borderId="0" xfId="0" applyNumberFormat="1" applyFont="1"/>
    <xf numFmtId="167" fontId="24" fillId="0" borderId="0" xfId="0" applyNumberFormat="1" applyFont="1"/>
    <xf numFmtId="0" fontId="43" fillId="0" borderId="0" xfId="0" applyFont="1"/>
    <xf numFmtId="0" fontId="43" fillId="0" borderId="15" xfId="0" applyFont="1" applyBorder="1"/>
    <xf numFmtId="17" fontId="43" fillId="0" borderId="0" xfId="0" applyNumberFormat="1" applyFont="1"/>
    <xf numFmtId="2" fontId="44" fillId="2" borderId="22" xfId="0" applyNumberFormat="1" applyFont="1" applyFill="1" applyBorder="1" applyProtection="1">
      <protection locked="0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87" fontId="0" fillId="0" borderId="0" xfId="0" applyNumberFormat="1" applyBorder="1" applyAlignment="1">
      <alignment horizontal="right"/>
    </xf>
    <xf numFmtId="188" fontId="0" fillId="0" borderId="0" xfId="0" applyNumberFormat="1" applyBorder="1" applyAlignment="1">
      <alignment horizontal="right"/>
    </xf>
    <xf numFmtId="188" fontId="0" fillId="0" borderId="0" xfId="0" applyNumberFormat="1" applyFill="1" applyBorder="1" applyAlignment="1">
      <alignment horizontal="right"/>
    </xf>
    <xf numFmtId="174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5" fontId="0" fillId="0" borderId="0" xfId="0" applyNumberFormat="1" applyFill="1" applyBorder="1" applyAlignment="1">
      <alignment horizontal="right"/>
    </xf>
    <xf numFmtId="189" fontId="0" fillId="0" borderId="0" xfId="0" applyNumberFormat="1" applyFill="1" applyBorder="1" applyAlignment="1">
      <alignment horizontal="right"/>
    </xf>
    <xf numFmtId="190" fontId="0" fillId="3" borderId="0" xfId="0" applyNumberFormat="1" applyFill="1" applyBorder="1" applyAlignment="1">
      <alignment horizontal="right"/>
    </xf>
    <xf numFmtId="187" fontId="0" fillId="0" borderId="21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89" fontId="0" fillId="7" borderId="0" xfId="0" applyNumberFormat="1" applyFill="1" applyBorder="1" applyAlignment="1">
      <alignment horizontal="right"/>
    </xf>
    <xf numFmtId="187" fontId="0" fillId="7" borderId="0" xfId="0" applyNumberFormat="1" applyFill="1" applyBorder="1" applyAlignment="1">
      <alignment horizontal="right"/>
    </xf>
    <xf numFmtId="190" fontId="0" fillId="7" borderId="0" xfId="0" applyNumberFormat="1" applyFill="1" applyBorder="1" applyAlignment="1">
      <alignment horizontal="right"/>
    </xf>
    <xf numFmtId="0" fontId="0" fillId="0" borderId="21" xfId="0" applyBorder="1"/>
    <xf numFmtId="187" fontId="45" fillId="0" borderId="21" xfId="0" applyNumberFormat="1" applyFont="1" applyBorder="1" applyAlignment="1">
      <alignment horizontal="right"/>
    </xf>
    <xf numFmtId="0" fontId="45" fillId="0" borderId="21" xfId="0" applyFont="1" applyBorder="1" applyAlignment="1">
      <alignment horizontal="right"/>
    </xf>
    <xf numFmtId="191" fontId="45" fillId="0" borderId="21" xfId="0" applyNumberFormat="1" applyFont="1" applyBorder="1" applyAlignment="1">
      <alignment horizontal="right"/>
    </xf>
    <xf numFmtId="174" fontId="45" fillId="0" borderId="21" xfId="0" applyNumberFormat="1" applyFont="1" applyBorder="1" applyAlignment="1">
      <alignment horizontal="right"/>
    </xf>
    <xf numFmtId="0" fontId="45" fillId="0" borderId="21" xfId="0" applyFont="1" applyBorder="1"/>
    <xf numFmtId="167" fontId="45" fillId="0" borderId="21" xfId="0" applyNumberFormat="1" applyFont="1" applyBorder="1" applyAlignment="1">
      <alignment horizontal="right"/>
    </xf>
    <xf numFmtId="10" fontId="45" fillId="0" borderId="21" xfId="0" applyNumberFormat="1" applyFont="1" applyBorder="1" applyAlignment="1">
      <alignment horizontal="right"/>
    </xf>
    <xf numFmtId="0" fontId="45" fillId="3" borderId="21" xfId="0" applyFont="1" applyFill="1" applyBorder="1"/>
    <xf numFmtId="0" fontId="12" fillId="7" borderId="52" xfId="0" applyFont="1" applyFill="1" applyBorder="1" applyAlignment="1">
      <alignment wrapText="1"/>
    </xf>
    <xf numFmtId="0" fontId="12" fillId="7" borderId="53" xfId="0" applyFont="1" applyFill="1" applyBorder="1" applyAlignment="1">
      <alignment horizontal="center" wrapText="1"/>
    </xf>
    <xf numFmtId="0" fontId="12" fillId="7" borderId="54" xfId="0" applyFont="1" applyFill="1" applyBorder="1" applyAlignment="1">
      <alignment wrapText="1"/>
    </xf>
    <xf numFmtId="0" fontId="12" fillId="7" borderId="54" xfId="0" applyFont="1" applyFill="1" applyBorder="1" applyAlignment="1">
      <alignment horizontal="center" wrapText="1"/>
    </xf>
    <xf numFmtId="15" fontId="12" fillId="7" borderId="54" xfId="0" applyNumberFormat="1" applyFont="1" applyFill="1" applyBorder="1" applyAlignment="1">
      <alignment horizontal="right" wrapText="1"/>
    </xf>
    <xf numFmtId="187" fontId="12" fillId="7" borderId="54" xfId="0" applyNumberFormat="1" applyFont="1" applyFill="1" applyBorder="1" applyAlignment="1">
      <alignment horizontal="right" wrapText="1"/>
    </xf>
    <xf numFmtId="188" fontId="12" fillId="7" borderId="55" xfId="0" applyNumberFormat="1" applyFont="1" applyFill="1" applyBorder="1" applyAlignment="1">
      <alignment horizontal="right" wrapText="1"/>
    </xf>
    <xf numFmtId="188" fontId="12" fillId="4" borderId="52" xfId="0" applyNumberFormat="1" applyFont="1" applyFill="1" applyBorder="1" applyAlignment="1">
      <alignment horizontal="right" wrapText="1"/>
    </xf>
    <xf numFmtId="188" fontId="12" fillId="4" borderId="54" xfId="0" applyNumberFormat="1" applyFont="1" applyFill="1" applyBorder="1" applyAlignment="1">
      <alignment horizontal="right" wrapText="1"/>
    </xf>
    <xf numFmtId="174" fontId="12" fillId="4" borderId="54" xfId="0" applyNumberFormat="1" applyFont="1" applyFill="1" applyBorder="1" applyAlignment="1">
      <alignment horizontal="right" wrapText="1"/>
    </xf>
    <xf numFmtId="10" fontId="12" fillId="4" borderId="54" xfId="0" applyNumberFormat="1" applyFont="1" applyFill="1" applyBorder="1" applyAlignment="1">
      <alignment horizontal="right" wrapText="1"/>
    </xf>
    <xf numFmtId="15" fontId="12" fillId="4" borderId="54" xfId="0" applyNumberFormat="1" applyFont="1" applyFill="1" applyBorder="1" applyAlignment="1">
      <alignment horizontal="right" wrapText="1"/>
    </xf>
    <xf numFmtId="188" fontId="12" fillId="6" borderId="52" xfId="0" applyNumberFormat="1" applyFont="1" applyFill="1" applyBorder="1" applyAlignment="1">
      <alignment horizontal="right" wrapText="1"/>
    </xf>
    <xf numFmtId="188" fontId="12" fillId="6" borderId="53" xfId="0" applyNumberFormat="1" applyFont="1" applyFill="1" applyBorder="1" applyAlignment="1">
      <alignment horizontal="right" wrapText="1"/>
    </xf>
    <xf numFmtId="189" fontId="12" fillId="6" borderId="25" xfId="0" applyNumberFormat="1" applyFont="1" applyFill="1" applyBorder="1" applyAlignment="1">
      <alignment horizontal="right" wrapText="1"/>
    </xf>
    <xf numFmtId="190" fontId="12" fillId="3" borderId="52" xfId="0" applyNumberFormat="1" applyFont="1" applyFill="1" applyBorder="1" applyAlignment="1">
      <alignment horizontal="right" wrapText="1"/>
    </xf>
    <xf numFmtId="187" fontId="12" fillId="8" borderId="54" xfId="0" applyNumberFormat="1" applyFont="1" applyFill="1" applyBorder="1" applyAlignment="1">
      <alignment horizontal="right" wrapText="1"/>
    </xf>
    <xf numFmtId="187" fontId="12" fillId="8" borderId="25" xfId="0" applyNumberFormat="1" applyFont="1" applyFill="1" applyBorder="1" applyAlignment="1">
      <alignment horizontal="right" wrapText="1"/>
    </xf>
    <xf numFmtId="187" fontId="12" fillId="0" borderId="0" xfId="0" applyNumberFormat="1" applyFont="1" applyAlignment="1">
      <alignment horizontal="right" wrapText="1"/>
    </xf>
    <xf numFmtId="189" fontId="12" fillId="7" borderId="0" xfId="0" applyNumberFormat="1" applyFont="1" applyFill="1" applyAlignment="1">
      <alignment horizontal="right" wrapText="1"/>
    </xf>
    <xf numFmtId="187" fontId="12" fillId="7" borderId="0" xfId="0" applyNumberFormat="1" applyFont="1" applyFill="1" applyAlignment="1">
      <alignment horizontal="right" wrapText="1"/>
    </xf>
    <xf numFmtId="190" fontId="12" fillId="7" borderId="0" xfId="0" applyNumberFormat="1" applyFont="1" applyFill="1" applyAlignment="1">
      <alignment horizontal="right" wrapText="1"/>
    </xf>
    <xf numFmtId="0" fontId="12" fillId="0" borderId="0" xfId="0" applyFont="1" applyAlignment="1">
      <alignment wrapText="1"/>
    </xf>
    <xf numFmtId="187" fontId="46" fillId="0" borderId="0" xfId="0" applyNumberFormat="1" applyFont="1" applyAlignment="1">
      <alignment horizontal="right" wrapText="1"/>
    </xf>
    <xf numFmtId="0" fontId="46" fillId="0" borderId="0" xfId="0" applyFont="1" applyAlignment="1">
      <alignment horizontal="right" wrapText="1"/>
    </xf>
    <xf numFmtId="191" fontId="46" fillId="0" borderId="0" xfId="0" applyNumberFormat="1" applyFont="1" applyAlignment="1">
      <alignment horizontal="right" wrapText="1"/>
    </xf>
    <xf numFmtId="174" fontId="46" fillId="0" borderId="0" xfId="0" applyNumberFormat="1" applyFont="1" applyAlignment="1">
      <alignment horizontal="right" wrapText="1"/>
    </xf>
    <xf numFmtId="167" fontId="46" fillId="0" borderId="0" xfId="0" applyNumberFormat="1" applyFont="1" applyAlignment="1">
      <alignment horizontal="right" wrapText="1"/>
    </xf>
    <xf numFmtId="10" fontId="46" fillId="0" borderId="0" xfId="0" applyNumberFormat="1" applyFont="1" applyAlignment="1">
      <alignment horizontal="right" wrapText="1"/>
    </xf>
    <xf numFmtId="0" fontId="46" fillId="0" borderId="0" xfId="0" applyFont="1" applyAlignment="1">
      <alignment wrapText="1"/>
    </xf>
    <xf numFmtId="0" fontId="46" fillId="3" borderId="0" xfId="0" applyFont="1" applyFill="1" applyAlignment="1">
      <alignment wrapText="1"/>
    </xf>
    <xf numFmtId="0" fontId="47" fillId="0" borderId="0" xfId="0" applyFont="1" applyAlignment="1">
      <alignment horizontal="center"/>
    </xf>
    <xf numFmtId="1" fontId="48" fillId="3" borderId="31" xfId="0" applyNumberFormat="1" applyFont="1" applyFill="1" applyBorder="1" applyAlignment="1">
      <alignment horizontal="center"/>
    </xf>
    <xf numFmtId="1" fontId="48" fillId="3" borderId="2" xfId="0" applyNumberFormat="1" applyFont="1" applyFill="1" applyBorder="1" applyAlignment="1">
      <alignment horizontal="center"/>
    </xf>
    <xf numFmtId="170" fontId="48" fillId="3" borderId="1" xfId="0" applyNumberFormat="1" applyFont="1" applyFill="1" applyBorder="1" applyAlignment="1">
      <alignment horizontal="center"/>
    </xf>
    <xf numFmtId="1" fontId="48" fillId="3" borderId="32" xfId="0" applyNumberFormat="1" applyFont="1" applyFill="1" applyBorder="1" applyAlignment="1">
      <alignment horizontal="center"/>
    </xf>
    <xf numFmtId="1" fontId="48" fillId="3" borderId="33" xfId="0" applyNumberFormat="1" applyFont="1" applyFill="1" applyBorder="1" applyAlignment="1">
      <alignment horizontal="center"/>
    </xf>
    <xf numFmtId="17" fontId="48" fillId="3" borderId="10" xfId="0" applyNumberFormat="1" applyFont="1" applyFill="1" applyBorder="1" applyAlignment="1">
      <alignment horizontal="center"/>
    </xf>
    <xf numFmtId="2" fontId="48" fillId="5" borderId="38" xfId="4" applyNumberFormat="1" applyFont="1" applyFill="1" applyBorder="1" applyAlignment="1">
      <alignment horizontal="center"/>
    </xf>
    <xf numFmtId="2" fontId="48" fillId="5" borderId="39" xfId="4" applyNumberFormat="1" applyFont="1" applyFill="1" applyBorder="1" applyAlignment="1">
      <alignment horizontal="center"/>
    </xf>
    <xf numFmtId="2" fontId="12" fillId="6" borderId="25" xfId="0" applyNumberFormat="1" applyFont="1" applyFill="1" applyBorder="1" applyAlignment="1">
      <alignment horizontal="center"/>
    </xf>
    <xf numFmtId="2" fontId="48" fillId="6" borderId="22" xfId="4" applyNumberFormat="1" applyFont="1" applyFill="1" applyBorder="1" applyAlignment="1">
      <alignment horizontal="center"/>
    </xf>
    <xf numFmtId="2" fontId="12" fillId="6" borderId="22" xfId="0" applyNumberFormat="1" applyFont="1" applyFill="1" applyBorder="1" applyAlignment="1">
      <alignment horizontal="center"/>
    </xf>
    <xf numFmtId="2" fontId="48" fillId="6" borderId="39" xfId="4" applyNumberFormat="1" applyFont="1" applyFill="1" applyBorder="1" applyAlignment="1">
      <alignment horizontal="center"/>
    </xf>
    <xf numFmtId="2" fontId="48" fillId="5" borderId="25" xfId="4" applyNumberFormat="1" applyFont="1" applyFill="1" applyBorder="1" applyAlignment="1">
      <alignment horizontal="center"/>
    </xf>
    <xf numFmtId="2" fontId="48" fillId="5" borderId="38" xfId="0" applyNumberFormat="1" applyFont="1" applyFill="1" applyBorder="1" applyAlignment="1">
      <alignment horizontal="center"/>
    </xf>
    <xf numFmtId="2" fontId="48" fillId="5" borderId="39" xfId="0" applyNumberFormat="1" applyFont="1" applyFill="1" applyBorder="1" applyAlignment="1">
      <alignment horizontal="center"/>
    </xf>
    <xf numFmtId="2" fontId="48" fillId="6" borderId="22" xfId="0" applyNumberFormat="1" applyFont="1" applyFill="1" applyBorder="1" applyAlignment="1">
      <alignment horizontal="center"/>
    </xf>
    <xf numFmtId="2" fontId="48" fillId="6" borderId="39" xfId="0" applyNumberFormat="1" applyFont="1" applyFill="1" applyBorder="1" applyAlignment="1">
      <alignment horizontal="center"/>
    </xf>
    <xf numFmtId="2" fontId="48" fillId="5" borderId="25" xfId="0" applyNumberFormat="1" applyFont="1" applyFill="1" applyBorder="1" applyAlignment="1">
      <alignment horizontal="center"/>
    </xf>
    <xf numFmtId="2" fontId="48" fillId="5" borderId="14" xfId="0" applyNumberFormat="1" applyFont="1" applyFill="1" applyBorder="1" applyAlignment="1">
      <alignment horizontal="center"/>
    </xf>
    <xf numFmtId="2" fontId="48" fillId="5" borderId="5" xfId="0" applyNumberFormat="1" applyFont="1" applyFill="1" applyBorder="1" applyAlignment="1">
      <alignment horizontal="center"/>
    </xf>
    <xf numFmtId="17" fontId="48" fillId="4" borderId="10" xfId="0" applyNumberFormat="1" applyFont="1" applyFill="1" applyBorder="1" applyAlignment="1">
      <alignment horizontal="center"/>
    </xf>
    <xf numFmtId="2" fontId="48" fillId="4" borderId="38" xfId="0" applyNumberFormat="1" applyFont="1" applyFill="1" applyBorder="1" applyAlignment="1">
      <alignment horizontal="center"/>
    </xf>
    <xf numFmtId="2" fontId="48" fillId="4" borderId="39" xfId="0" applyNumberFormat="1" applyFont="1" applyFill="1" applyBorder="1" applyAlignment="1">
      <alignment horizontal="center"/>
    </xf>
    <xf numFmtId="0" fontId="12" fillId="4" borderId="25" xfId="0" applyFont="1" applyFill="1" applyBorder="1" applyAlignment="1">
      <alignment horizontal="center"/>
    </xf>
    <xf numFmtId="2" fontId="48" fillId="4" borderId="22" xfId="0" applyNumberFormat="1" applyFont="1" applyFill="1" applyBorder="1" applyAlignment="1">
      <alignment horizontal="center"/>
    </xf>
    <xf numFmtId="2" fontId="12" fillId="4" borderId="22" xfId="0" applyNumberFormat="1" applyFont="1" applyFill="1" applyBorder="1" applyAlignment="1">
      <alignment horizontal="center"/>
    </xf>
    <xf numFmtId="2" fontId="48" fillId="4" borderId="25" xfId="0" applyNumberFormat="1" applyFont="1" applyFill="1" applyBorder="1" applyAlignment="1">
      <alignment horizontal="center"/>
    </xf>
    <xf numFmtId="2" fontId="48" fillId="4" borderId="40" xfId="0" applyNumberFormat="1" applyFont="1" applyFill="1" applyBorder="1" applyAlignment="1">
      <alignment horizontal="center"/>
    </xf>
    <xf numFmtId="17" fontId="48" fillId="4" borderId="11" xfId="0" applyNumberFormat="1" applyFont="1" applyFill="1" applyBorder="1" applyAlignment="1">
      <alignment horizontal="center"/>
    </xf>
    <xf numFmtId="2" fontId="48" fillId="4" borderId="41" xfId="0" applyNumberFormat="1" applyFont="1" applyFill="1" applyBorder="1" applyAlignment="1">
      <alignment horizontal="center"/>
    </xf>
    <xf numFmtId="2" fontId="48" fillId="4" borderId="42" xfId="0" applyNumberFormat="1" applyFont="1" applyFill="1" applyBorder="1" applyAlignment="1">
      <alignment horizontal="center"/>
    </xf>
    <xf numFmtId="0" fontId="12" fillId="4" borderId="43" xfId="0" applyFont="1" applyFill="1" applyBorder="1" applyAlignment="1">
      <alignment horizontal="center"/>
    </xf>
    <xf numFmtId="2" fontId="48" fillId="4" borderId="44" xfId="0" applyNumberFormat="1" applyFont="1" applyFill="1" applyBorder="1" applyAlignment="1">
      <alignment horizontal="center"/>
    </xf>
    <xf numFmtId="0" fontId="12" fillId="4" borderId="44" xfId="0" applyFont="1" applyFill="1" applyBorder="1" applyAlignment="1">
      <alignment horizontal="center"/>
    </xf>
    <xf numFmtId="2" fontId="12" fillId="4" borderId="44" xfId="0" applyNumberFormat="1" applyFont="1" applyFill="1" applyBorder="1" applyAlignment="1">
      <alignment horizontal="center"/>
    </xf>
    <xf numFmtId="2" fontId="48" fillId="4" borderId="43" xfId="0" applyNumberFormat="1" applyFont="1" applyFill="1" applyBorder="1" applyAlignment="1">
      <alignment horizontal="center"/>
    </xf>
    <xf numFmtId="2" fontId="48" fillId="4" borderId="45" xfId="0" applyNumberFormat="1" applyFont="1" applyFill="1" applyBorder="1" applyAlignment="1">
      <alignment horizontal="center"/>
    </xf>
    <xf numFmtId="0" fontId="40" fillId="0" borderId="0" xfId="0" applyFont="1" applyBorder="1"/>
    <xf numFmtId="192" fontId="13" fillId="0" borderId="0" xfId="0" applyNumberFormat="1" applyFont="1" applyBorder="1"/>
    <xf numFmtId="193" fontId="14" fillId="0" borderId="0" xfId="0" applyNumberFormat="1" applyFont="1"/>
    <xf numFmtId="17" fontId="37" fillId="3" borderId="32" xfId="0" applyNumberFormat="1" applyFont="1" applyFill="1" applyBorder="1" applyAlignment="1">
      <alignment horizontal="center"/>
    </xf>
    <xf numFmtId="17" fontId="37" fillId="3" borderId="33" xfId="0" applyNumberFormat="1" applyFont="1" applyFill="1" applyBorder="1" applyAlignment="1">
      <alignment horizontal="center"/>
    </xf>
  </cellXfs>
  <cellStyles count="5">
    <cellStyle name="Normal" xfId="0" builtinId="0"/>
    <cellStyle name="Normal_Curves" xfId="1"/>
    <cellStyle name="Normal_June Options 97" xfId="2"/>
    <cellStyle name="Normal_modelmark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Global_Trading\Gasdaily\GD%20Vol%20Curves\New%20Vol%20Load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CLc1 LAST">
        <values>
          <value>
            <val>27.58</val>
          </value>
        </values>
      </ddeItem>
      <ddeItem name="CLc10 LAST">
        <values>
          <value>
            <val>0</val>
          </value>
        </values>
      </ddeItem>
      <ddeItem name="CLc11 LAST">
        <values>
          <value>
            <val>0</val>
          </value>
        </values>
      </ddeItem>
      <ddeItem name="CLc12 LAST">
        <values>
          <value>
            <val>0</val>
          </value>
        </values>
      </ddeItem>
      <ddeItem name="CLc13 LAST">
        <values>
          <value>
            <val>0</val>
          </value>
        </values>
      </ddeItem>
      <ddeItem name="CLc2 LAST">
        <values>
          <value>
            <val>27.66</val>
          </value>
        </values>
      </ddeItem>
      <ddeItem name="CLc3 LAST">
        <values>
          <value>
            <val>27.61</val>
          </value>
        </values>
      </ddeItem>
      <ddeItem name="CLc4 LAST">
        <values>
          <value>
            <val>27.26</val>
          </value>
        </values>
      </ddeItem>
      <ddeItem name="CLc5 LAST">
        <values>
          <value>
            <val>26.94</val>
          </value>
        </values>
      </ddeItem>
      <ddeItem name="CLc6 LAST">
        <values>
          <value>
            <val>0</val>
          </value>
        </values>
      </ddeItem>
      <ddeItem name="CLc7 LAST">
        <values>
          <value>
            <val>26.33</val>
          </value>
        </values>
      </ddeItem>
      <ddeItem name="CLc8 LAST">
        <values>
          <value>
            <val>0</val>
          </value>
        </values>
      </ddeItem>
      <ddeItem name="CLc9 LAST">
        <values>
          <value>
            <val>0</val>
          </value>
        </values>
      </ddeItem>
      <ddeItem name="NGc1 cls">
        <values>
          <value>
            <val>2.44</val>
          </value>
        </values>
      </ddeItem>
      <ddeItem name="NGc1 LAST" advise="1"/>
      <ddeItem name="NGc10 cls">
        <values>
          <value>
            <val>3.1120000000000001</val>
          </value>
        </values>
      </ddeItem>
      <ddeItem name="NGc10 LAST" advise="1"/>
      <ddeItem name="NGc11 cls">
        <values>
          <value>
            <val>3.1469999999999998</val>
          </value>
        </values>
      </ddeItem>
      <ddeItem name="NGc11 LAST" advise="1"/>
      <ddeItem name="NGc12 cls">
        <values>
          <value>
            <val>3.1459999999999999</val>
          </value>
        </values>
      </ddeItem>
      <ddeItem name="NGc12 LAST" advise="1"/>
      <ddeItem name="NGc13 cls">
        <values>
          <value>
            <val>3.157</val>
          </value>
        </values>
      </ddeItem>
      <ddeItem name="NGc13 LAST" advise="1"/>
      <ddeItem name="NGc14 cls">
        <values>
          <value>
            <val>3.3170000000000002</val>
          </value>
        </values>
      </ddeItem>
      <ddeItem name="NGc14 LAST" advise="1"/>
      <ddeItem name="NGc15 cls">
        <values>
          <value>
            <val>3.4780000000000002</val>
          </value>
        </values>
      </ddeItem>
      <ddeItem name="NGc15 LAST" advise="1"/>
      <ddeItem name="NGc16 cls">
        <values>
          <value>
            <val>3.5550000000000002</val>
          </value>
        </values>
      </ddeItem>
      <ddeItem name="NGc16 LAST" advise="1"/>
      <ddeItem name="NGc17 cls">
        <values>
          <value>
            <val>3.4449999999999998</val>
          </value>
        </values>
      </ddeItem>
      <ddeItem name="NGc17 LAST" advise="1"/>
      <ddeItem name="NGc18 cls">
        <values>
          <value>
            <val>3.3180000000000001</val>
          </value>
        </values>
      </ddeItem>
      <ddeItem name="NGc18 LAST" advise="1"/>
      <ddeItem name="NGc19 cls">
        <values>
          <value>
            <val>3.1379999999999999</val>
          </value>
        </values>
      </ddeItem>
      <ddeItem name="NGc19 LAST" advise="1"/>
      <ddeItem name="NGc2 cls">
        <values>
          <value>
            <val>2.74</val>
          </value>
        </values>
      </ddeItem>
      <ddeItem name="NGc2 LAST" advise="1"/>
      <ddeItem name="NGc20 cls">
        <values>
          <value>
            <val>3.1429999999999998</val>
          </value>
        </values>
      </ddeItem>
      <ddeItem name="NGc20 LAST" advise="1"/>
      <ddeItem name="NGc21 cls">
        <values>
          <value>
            <val>3.1709999999999998</val>
          </value>
        </values>
      </ddeItem>
      <ddeItem name="NGc21 LAST" advise="1"/>
      <ddeItem name="NGc22 cls">
        <values>
          <value>
            <val>3.1960000000000002</val>
          </value>
        </values>
      </ddeItem>
      <ddeItem name="NGc22 LAST" advise="1"/>
      <ddeItem name="NGc23 cls">
        <values>
          <value>
            <val>3.2160000000000002</val>
          </value>
        </values>
      </ddeItem>
      <ddeItem name="NGc23 LAST" advise="1"/>
      <ddeItem name="NGc24 cls">
        <values>
          <value>
            <val>3.2160000000000002</val>
          </value>
        </values>
      </ddeItem>
      <ddeItem name="NGc24 LAST" advise="1"/>
      <ddeItem name="NGc25 cls">
        <values>
          <value>
            <val>3.2210000000000001</val>
          </value>
        </values>
      </ddeItem>
      <ddeItem name="NGc25 LAST" advise="1"/>
      <ddeItem name="NGc26 cls">
        <values>
          <value>
            <val>3.371</val>
          </value>
        </values>
      </ddeItem>
      <ddeItem name="NGc26 LAST" advise="1"/>
      <ddeItem name="NGc27 cls">
        <values>
          <value>
            <val>3.5259999999999998</val>
          </value>
        </values>
      </ddeItem>
      <ddeItem name="NGc27 LAST" advise="1"/>
      <ddeItem name="NGc28 cls">
        <values>
          <value>
            <val>3.581</val>
          </value>
        </values>
      </ddeItem>
      <ddeItem name="NGc28 LAST" advise="1"/>
      <ddeItem name="NGc29 cls">
        <values>
          <value>
            <val>3.4670000000000001</val>
          </value>
        </values>
      </ddeItem>
      <ddeItem name="NGc29 LAST" advise="1"/>
      <ddeItem name="NGc3 cls">
        <values>
          <value>
            <val>3.06</val>
          </value>
        </values>
      </ddeItem>
      <ddeItem name="NGc3 LAST" advise="1"/>
      <ddeItem name="NGc30 cls">
        <values>
          <value>
            <val>3.335</val>
          </value>
        </values>
      </ddeItem>
      <ddeItem name="NGc30 LAST" advise="1"/>
      <ddeItem name="NGc31 cls">
        <values>
          <value>
            <val>3.137</val>
          </value>
        </values>
      </ddeItem>
      <ddeItem name="NGc31 LAST" advise="1"/>
      <ddeItem name="NGc32 cls">
        <values>
          <value>
            <val>3.133</val>
          </value>
        </values>
      </ddeItem>
      <ddeItem name="NGc32 LAST" advise="1"/>
      <ddeItem name="NGc33 cls">
        <values>
          <value>
            <val>3.165</val>
          </value>
        </values>
      </ddeItem>
      <ddeItem name="NGc33 LAST" advise="1"/>
      <ddeItem name="NGc34 cls">
        <values>
          <value>
            <val>3.2149999999999999</val>
          </value>
        </values>
      </ddeItem>
      <ddeItem name="NGc34 LAST" advise="1"/>
      <ddeItem name="NGc35 cls">
        <values>
          <value>
            <val>3.2490000000000001</val>
          </value>
        </values>
      </ddeItem>
      <ddeItem name="NGc35 LAST" advise="1"/>
      <ddeItem name="NGc36 cls">
        <values>
          <value>
            <val>3.262</val>
          </value>
        </values>
      </ddeItem>
      <ddeItem name="NGc36 LAST" advise="1"/>
      <ddeItem name="NGc4 cls">
        <values>
          <value>
            <val>3.2050000000000001</val>
          </value>
        </values>
      </ddeItem>
      <ddeItem name="NGc4 LAST" advise="1"/>
      <ddeItem name="NGc5 cls">
        <values>
          <value>
            <val>3.177</val>
          </value>
        </values>
      </ddeItem>
      <ddeItem name="NGc5 LAST" advise="1"/>
      <ddeItem name="NGc6 cls">
        <values>
          <value>
            <val>3.105</val>
          </value>
        </values>
      </ddeItem>
      <ddeItem name="NGc6 LAST" advise="1"/>
      <ddeItem name="NGc7 cls">
        <values>
          <value>
            <val>3.012</val>
          </value>
        </values>
      </ddeItem>
      <ddeItem name="NGc7 LAST" advise="1"/>
      <ddeItem name="NGc8 cls">
        <values>
          <value>
            <val>3.0350000000000001</val>
          </value>
        </values>
      </ddeItem>
      <ddeItem name="NGc8 LAST" advise="1"/>
      <ddeItem name="NGc9 cls">
        <values>
          <value>
            <val>3.07</val>
          </value>
        </values>
      </ddeItem>
      <ddeItem name="NGc9 LAST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S"/>
      <sheetName val="Curves"/>
      <sheetName val="Curve Load"/>
      <sheetName val="Prior VOLS"/>
      <sheetName val="Difference"/>
      <sheetName val="CHANGE"/>
      <sheetName val="Data"/>
      <sheetName val="Copy Pipe Vols"/>
    </sheetNames>
    <sheetDataSet>
      <sheetData sheetId="0" refreshError="1"/>
      <sheetData sheetId="1"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6</v>
          </cell>
          <cell r="I10">
            <v>7</v>
          </cell>
          <cell r="J10">
            <v>8</v>
          </cell>
          <cell r="K10">
            <v>9</v>
          </cell>
          <cell r="L10">
            <v>10</v>
          </cell>
          <cell r="M10">
            <v>11</v>
          </cell>
          <cell r="N10">
            <v>12</v>
          </cell>
          <cell r="O10">
            <v>13</v>
          </cell>
          <cell r="P10">
            <v>14</v>
          </cell>
          <cell r="Q10">
            <v>15</v>
          </cell>
          <cell r="R10">
            <v>16</v>
          </cell>
        </row>
        <row r="13">
          <cell r="B13" t="str">
            <v>Curve Code</v>
          </cell>
          <cell r="C13" t="str">
            <v>NG_OMICRON_1</v>
          </cell>
          <cell r="D13" t="str">
            <v>NG_OMICRON_2</v>
          </cell>
          <cell r="E13" t="str">
            <v>NG_OMICRON_3</v>
          </cell>
          <cell r="F13" t="str">
            <v>NG_OMICRON_4</v>
          </cell>
          <cell r="G13" t="str">
            <v>NG_OMICRON_5</v>
          </cell>
          <cell r="H13" t="str">
            <v>NG_OMICRON_6</v>
          </cell>
          <cell r="I13" t="str">
            <v>NG_OMICRON_7</v>
          </cell>
          <cell r="J13" t="str">
            <v>NG_OMICRON_8</v>
          </cell>
          <cell r="K13" t="str">
            <v>NG_OMICRON_9</v>
          </cell>
          <cell r="L13" t="str">
            <v>NG_OMICRON_10</v>
          </cell>
          <cell r="M13" t="str">
            <v>NG_OMICRON_11</v>
          </cell>
          <cell r="N13" t="str">
            <v>NG_OMICRON_12</v>
          </cell>
          <cell r="O13" t="str">
            <v>NG_OMICRON_13</v>
          </cell>
          <cell r="P13" t="str">
            <v>NG_OMICRON_14</v>
          </cell>
          <cell r="Q13" t="str">
            <v>NG_OMICRON_15</v>
          </cell>
          <cell r="R13" t="str">
            <v>NG_OMICRON_51</v>
          </cell>
        </row>
        <row r="14">
          <cell r="B14" t="str">
            <v>Curve Type</v>
          </cell>
          <cell r="C14" t="str">
            <v>VO</v>
          </cell>
          <cell r="D14" t="str">
            <v>VO</v>
          </cell>
          <cell r="E14" t="str">
            <v>VO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VO</v>
          </cell>
          <cell r="J14" t="str">
            <v>VO</v>
          </cell>
          <cell r="K14" t="str">
            <v>VO</v>
          </cell>
          <cell r="L14" t="str">
            <v>VO</v>
          </cell>
          <cell r="M14" t="str">
            <v>VO</v>
          </cell>
          <cell r="N14" t="str">
            <v>VO</v>
          </cell>
          <cell r="O14" t="str">
            <v>VO</v>
          </cell>
          <cell r="P14" t="str">
            <v>VO</v>
          </cell>
          <cell r="Q14" t="str">
            <v>VO</v>
          </cell>
          <cell r="R14" t="str">
            <v>VO</v>
          </cell>
        </row>
        <row r="15">
          <cell r="B15" t="str">
            <v>Book Code 1</v>
          </cell>
          <cell r="C15" t="str">
            <v>P</v>
          </cell>
          <cell r="D15" t="str">
            <v>P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P</v>
          </cell>
          <cell r="J15" t="str">
            <v>P</v>
          </cell>
          <cell r="K15" t="str">
            <v>P</v>
          </cell>
          <cell r="L15" t="str">
            <v>P</v>
          </cell>
          <cell r="M15" t="str">
            <v>P</v>
          </cell>
          <cell r="N15" t="str">
            <v>P</v>
          </cell>
          <cell r="O15" t="str">
            <v>P</v>
          </cell>
          <cell r="P15" t="str">
            <v>P</v>
          </cell>
          <cell r="Q15" t="str">
            <v>P</v>
          </cell>
          <cell r="R15" t="str">
            <v>P</v>
          </cell>
        </row>
        <row r="16">
          <cell r="B16">
            <v>36770</v>
          </cell>
          <cell r="C16">
            <v>0</v>
          </cell>
          <cell r="D16">
            <v>0.37</v>
          </cell>
          <cell r="E16">
            <v>0.42</v>
          </cell>
          <cell r="F16">
            <v>0.63500000000000001</v>
          </cell>
          <cell r="G16">
            <v>0.42</v>
          </cell>
          <cell r="H16">
            <v>0.47</v>
          </cell>
          <cell r="I16">
            <v>0.4</v>
          </cell>
          <cell r="J16">
            <v>0.41499999999999998</v>
          </cell>
          <cell r="K16">
            <v>0.42</v>
          </cell>
          <cell r="L16">
            <v>0</v>
          </cell>
          <cell r="M16">
            <v>0.40500000000000003</v>
          </cell>
          <cell r="N16">
            <v>0.42</v>
          </cell>
          <cell r="O16">
            <v>0.52</v>
          </cell>
          <cell r="P16">
            <v>0.45</v>
          </cell>
          <cell r="Q16">
            <v>0.63500000000000001</v>
          </cell>
          <cell r="R16">
            <v>0</v>
          </cell>
        </row>
        <row r="17">
          <cell r="B17">
            <v>36800</v>
          </cell>
          <cell r="C17">
            <v>0</v>
          </cell>
          <cell r="D17">
            <v>0</v>
          </cell>
          <cell r="E17">
            <v>0.55500000000000005</v>
          </cell>
          <cell r="F17">
            <v>0.6</v>
          </cell>
          <cell r="G17">
            <v>0.60499999999999998</v>
          </cell>
          <cell r="H17">
            <v>0.65500000000000003</v>
          </cell>
          <cell r="I17">
            <v>0.505</v>
          </cell>
          <cell r="J17">
            <v>0.4</v>
          </cell>
          <cell r="K17">
            <v>0.505</v>
          </cell>
          <cell r="L17">
            <v>0</v>
          </cell>
          <cell r="M17">
            <v>0.59</v>
          </cell>
          <cell r="N17">
            <v>0.505</v>
          </cell>
          <cell r="O17">
            <v>0.65500000000000003</v>
          </cell>
          <cell r="P17">
            <v>0.65500000000000003</v>
          </cell>
          <cell r="Q17">
            <v>0.6</v>
          </cell>
          <cell r="R17">
            <v>0.505</v>
          </cell>
        </row>
        <row r="18">
          <cell r="B18">
            <v>36831</v>
          </cell>
          <cell r="C18">
            <v>0</v>
          </cell>
          <cell r="D18">
            <v>0.57999999999999996</v>
          </cell>
          <cell r="E18">
            <v>0.57999999999999996</v>
          </cell>
          <cell r="F18">
            <v>0.68</v>
          </cell>
          <cell r="G18">
            <v>0.63</v>
          </cell>
          <cell r="H18">
            <v>0.73</v>
          </cell>
          <cell r="I18">
            <v>0.63</v>
          </cell>
          <cell r="J18">
            <v>0.73</v>
          </cell>
          <cell r="K18">
            <v>0.73</v>
          </cell>
          <cell r="L18">
            <v>0.53</v>
          </cell>
          <cell r="M18">
            <v>0.55500000000000005</v>
          </cell>
          <cell r="N18">
            <v>0.57999999999999996</v>
          </cell>
          <cell r="O18">
            <v>0.81499999999999995</v>
          </cell>
          <cell r="P18">
            <v>0.68</v>
          </cell>
          <cell r="Q18">
            <v>0.78</v>
          </cell>
          <cell r="R18">
            <v>0.72499999999999998</v>
          </cell>
        </row>
        <row r="19">
          <cell r="B19">
            <v>36861</v>
          </cell>
          <cell r="C19">
            <v>0.85</v>
          </cell>
          <cell r="D19">
            <v>0.875</v>
          </cell>
          <cell r="E19">
            <v>0.875</v>
          </cell>
          <cell r="F19">
            <v>1.2250000000000001</v>
          </cell>
          <cell r="G19">
            <v>0.97499999999999998</v>
          </cell>
          <cell r="H19">
            <v>1.175</v>
          </cell>
          <cell r="I19">
            <v>0.97499999999999998</v>
          </cell>
          <cell r="J19">
            <v>0.92500000000000004</v>
          </cell>
          <cell r="K19">
            <v>1.2250000000000001</v>
          </cell>
          <cell r="L19">
            <v>0.85</v>
          </cell>
          <cell r="M19">
            <v>0.92500000000000004</v>
          </cell>
          <cell r="N19">
            <v>0.85</v>
          </cell>
          <cell r="O19">
            <v>3.2549999999999999</v>
          </cell>
          <cell r="P19">
            <v>1</v>
          </cell>
          <cell r="Q19">
            <v>1.325</v>
          </cell>
          <cell r="R19">
            <v>3.355</v>
          </cell>
        </row>
        <row r="20">
          <cell r="B20">
            <v>36892</v>
          </cell>
          <cell r="C20">
            <v>1.43</v>
          </cell>
          <cell r="D20">
            <v>1.4550000000000001</v>
          </cell>
          <cell r="E20">
            <v>1.4550000000000001</v>
          </cell>
          <cell r="F20">
            <v>1.8049999999999999</v>
          </cell>
          <cell r="G20">
            <v>1.5549999999999999</v>
          </cell>
          <cell r="H20">
            <v>2.4049999999999998</v>
          </cell>
          <cell r="I20">
            <v>1.5049999999999999</v>
          </cell>
          <cell r="J20">
            <v>1.5049999999999999</v>
          </cell>
          <cell r="K20">
            <v>1.8049999999999999</v>
          </cell>
          <cell r="L20">
            <v>1.43</v>
          </cell>
          <cell r="M20">
            <v>1.605</v>
          </cell>
          <cell r="N20">
            <v>1.43</v>
          </cell>
          <cell r="O20">
            <v>5.3849999999999998</v>
          </cell>
          <cell r="P20">
            <v>1.58</v>
          </cell>
          <cell r="Q20">
            <v>3.4049999999999998</v>
          </cell>
          <cell r="R20">
            <v>3.3849999999999998</v>
          </cell>
        </row>
        <row r="21">
          <cell r="B21">
            <v>36923</v>
          </cell>
          <cell r="C21">
            <v>0.9</v>
          </cell>
          <cell r="D21">
            <v>0.97499999999999998</v>
          </cell>
          <cell r="E21">
            <v>0.92500000000000004</v>
          </cell>
          <cell r="F21">
            <v>1.2749999999999999</v>
          </cell>
          <cell r="G21">
            <v>1.0249999999999999</v>
          </cell>
          <cell r="H21">
            <v>2.0750000000000002</v>
          </cell>
          <cell r="I21">
            <v>1.175</v>
          </cell>
          <cell r="J21">
            <v>0.97499999999999998</v>
          </cell>
          <cell r="K21">
            <v>1.2749999999999999</v>
          </cell>
          <cell r="L21">
            <v>0.9</v>
          </cell>
          <cell r="M21">
            <v>1.325</v>
          </cell>
          <cell r="N21">
            <v>0.9</v>
          </cell>
          <cell r="O21">
            <v>5.085</v>
          </cell>
          <cell r="P21">
            <v>1.05</v>
          </cell>
          <cell r="Q21">
            <v>1.4</v>
          </cell>
          <cell r="R21">
            <v>3.3849999999999998</v>
          </cell>
        </row>
        <row r="22">
          <cell r="B22">
            <v>36951</v>
          </cell>
          <cell r="C22">
            <v>0.48499999999999999</v>
          </cell>
          <cell r="D22">
            <v>0.56000000000000005</v>
          </cell>
          <cell r="E22">
            <v>0.51</v>
          </cell>
          <cell r="F22">
            <v>0.86</v>
          </cell>
          <cell r="G22">
            <v>0.56000000000000005</v>
          </cell>
          <cell r="H22">
            <v>0.76</v>
          </cell>
          <cell r="I22">
            <v>0.51</v>
          </cell>
          <cell r="J22">
            <v>0.66</v>
          </cell>
          <cell r="K22">
            <v>0.71</v>
          </cell>
          <cell r="L22">
            <v>0.48499999999999999</v>
          </cell>
          <cell r="M22">
            <v>0.81</v>
          </cell>
          <cell r="N22">
            <v>0.48499999999999999</v>
          </cell>
          <cell r="O22">
            <v>3.03</v>
          </cell>
          <cell r="P22">
            <v>0.60499999999999998</v>
          </cell>
          <cell r="Q22">
            <v>2.2599999999999998</v>
          </cell>
          <cell r="R22">
            <v>1</v>
          </cell>
        </row>
        <row r="23">
          <cell r="B23">
            <v>36982</v>
          </cell>
          <cell r="C23">
            <v>0.5</v>
          </cell>
          <cell r="D23">
            <v>0.63</v>
          </cell>
          <cell r="E23">
            <v>0.5</v>
          </cell>
          <cell r="F23">
            <v>0.65</v>
          </cell>
          <cell r="G23">
            <v>0.55000000000000004</v>
          </cell>
          <cell r="H23">
            <v>0.55000000000000004</v>
          </cell>
          <cell r="I23">
            <v>0.55000000000000004</v>
          </cell>
          <cell r="J23">
            <v>0.55000000000000004</v>
          </cell>
          <cell r="K23">
            <v>0.6</v>
          </cell>
          <cell r="L23">
            <v>0.5</v>
          </cell>
          <cell r="M23">
            <v>0.6</v>
          </cell>
          <cell r="N23">
            <v>0.5</v>
          </cell>
          <cell r="O23">
            <v>0.6</v>
          </cell>
          <cell r="P23">
            <v>0.7</v>
          </cell>
          <cell r="Q23">
            <v>2.85</v>
          </cell>
          <cell r="R23">
            <v>0.55000000000000004</v>
          </cell>
        </row>
        <row r="24">
          <cell r="B24">
            <v>37012</v>
          </cell>
          <cell r="C24">
            <v>0.45</v>
          </cell>
          <cell r="D24">
            <v>0.57999999999999996</v>
          </cell>
          <cell r="E24">
            <v>0.4</v>
          </cell>
          <cell r="F24">
            <v>0.5</v>
          </cell>
          <cell r="G24">
            <v>0.45</v>
          </cell>
          <cell r="H24">
            <v>0.5</v>
          </cell>
          <cell r="I24">
            <v>0.45</v>
          </cell>
          <cell r="J24">
            <v>0.4</v>
          </cell>
          <cell r="K24">
            <v>0.45</v>
          </cell>
          <cell r="L24">
            <v>0.45</v>
          </cell>
          <cell r="M24">
            <v>0.55000000000000004</v>
          </cell>
          <cell r="N24">
            <v>0.45</v>
          </cell>
          <cell r="O24">
            <v>0.55000000000000004</v>
          </cell>
          <cell r="P24">
            <v>0.65</v>
          </cell>
          <cell r="Q24">
            <v>1.73</v>
          </cell>
          <cell r="R24">
            <v>0.5</v>
          </cell>
        </row>
        <row r="25">
          <cell r="B25">
            <v>37043</v>
          </cell>
          <cell r="C25">
            <v>0.43</v>
          </cell>
          <cell r="D25">
            <v>0.56000000000000005</v>
          </cell>
          <cell r="E25">
            <v>0.38</v>
          </cell>
          <cell r="F25">
            <v>0.57999999999999996</v>
          </cell>
          <cell r="G25">
            <v>0.43</v>
          </cell>
          <cell r="H25">
            <v>0.48</v>
          </cell>
          <cell r="I25">
            <v>0.48</v>
          </cell>
          <cell r="J25">
            <v>0.48</v>
          </cell>
          <cell r="K25">
            <v>0.48</v>
          </cell>
          <cell r="L25">
            <v>0.43</v>
          </cell>
          <cell r="M25">
            <v>0.53</v>
          </cell>
          <cell r="N25">
            <v>0.43</v>
          </cell>
          <cell r="O25">
            <v>0.53</v>
          </cell>
          <cell r="P25">
            <v>0.63</v>
          </cell>
          <cell r="Q25">
            <v>1.21</v>
          </cell>
          <cell r="R25">
            <v>0.5</v>
          </cell>
        </row>
        <row r="26">
          <cell r="B26">
            <v>37073</v>
          </cell>
          <cell r="C26">
            <v>0.48</v>
          </cell>
          <cell r="D26">
            <v>0.56000000000000005</v>
          </cell>
          <cell r="E26">
            <v>0.38</v>
          </cell>
          <cell r="F26">
            <v>0.57999999999999996</v>
          </cell>
          <cell r="G26">
            <v>0.48</v>
          </cell>
          <cell r="H26">
            <v>0.48</v>
          </cell>
          <cell r="I26">
            <v>0.48</v>
          </cell>
          <cell r="J26">
            <v>0.48</v>
          </cell>
          <cell r="K26">
            <v>0.48</v>
          </cell>
          <cell r="L26">
            <v>0.48</v>
          </cell>
          <cell r="M26">
            <v>0.57999999999999996</v>
          </cell>
          <cell r="N26">
            <v>0.48</v>
          </cell>
          <cell r="O26">
            <v>0.53</v>
          </cell>
          <cell r="P26">
            <v>0.68</v>
          </cell>
          <cell r="Q26">
            <v>1.46</v>
          </cell>
          <cell r="R26">
            <v>0.55000000000000004</v>
          </cell>
        </row>
        <row r="27">
          <cell r="B27">
            <v>37104</v>
          </cell>
          <cell r="C27">
            <v>0.53</v>
          </cell>
          <cell r="D27">
            <v>0.61</v>
          </cell>
          <cell r="E27">
            <v>0.48</v>
          </cell>
          <cell r="F27">
            <v>0.68</v>
          </cell>
          <cell r="G27">
            <v>0.53</v>
          </cell>
          <cell r="H27">
            <v>0.57999999999999996</v>
          </cell>
          <cell r="I27">
            <v>0.53</v>
          </cell>
          <cell r="J27">
            <v>0.57999999999999996</v>
          </cell>
          <cell r="K27">
            <v>0.43</v>
          </cell>
          <cell r="L27">
            <v>0.53</v>
          </cell>
          <cell r="M27">
            <v>0.63</v>
          </cell>
          <cell r="N27">
            <v>0.53</v>
          </cell>
          <cell r="O27">
            <v>0.63</v>
          </cell>
          <cell r="P27">
            <v>0.73</v>
          </cell>
          <cell r="Q27">
            <v>1.46</v>
          </cell>
          <cell r="R27">
            <v>0.6</v>
          </cell>
        </row>
        <row r="28">
          <cell r="B28">
            <v>37135</v>
          </cell>
          <cell r="C28">
            <v>0.53</v>
          </cell>
          <cell r="D28">
            <v>0.61</v>
          </cell>
          <cell r="E28">
            <v>0.53</v>
          </cell>
          <cell r="F28">
            <v>0.63</v>
          </cell>
          <cell r="G28">
            <v>0.53</v>
          </cell>
          <cell r="H28">
            <v>0.57999999999999996</v>
          </cell>
          <cell r="I28">
            <v>0.57999999999999996</v>
          </cell>
          <cell r="J28">
            <v>0.53</v>
          </cell>
          <cell r="K28">
            <v>0.48</v>
          </cell>
          <cell r="L28">
            <v>0.53</v>
          </cell>
          <cell r="M28">
            <v>0.63</v>
          </cell>
          <cell r="N28">
            <v>0.53</v>
          </cell>
          <cell r="O28">
            <v>0.63</v>
          </cell>
          <cell r="P28">
            <v>0.73</v>
          </cell>
          <cell r="Q28">
            <v>1.41</v>
          </cell>
          <cell r="R28">
            <v>0.6</v>
          </cell>
        </row>
        <row r="29">
          <cell r="B29">
            <v>37165</v>
          </cell>
          <cell r="C29">
            <v>0.57999999999999996</v>
          </cell>
          <cell r="D29">
            <v>0.66</v>
          </cell>
          <cell r="E29">
            <v>0.53</v>
          </cell>
          <cell r="F29">
            <v>0.68</v>
          </cell>
          <cell r="G29">
            <v>0.57999999999999996</v>
          </cell>
          <cell r="H29">
            <v>0.63</v>
          </cell>
          <cell r="I29">
            <v>0.63</v>
          </cell>
          <cell r="J29">
            <v>0.57999999999999996</v>
          </cell>
          <cell r="K29">
            <v>0.48</v>
          </cell>
          <cell r="L29">
            <v>0.57999999999999996</v>
          </cell>
          <cell r="M29">
            <v>0.68</v>
          </cell>
          <cell r="N29">
            <v>0.57999999999999996</v>
          </cell>
          <cell r="O29">
            <v>0.68</v>
          </cell>
          <cell r="P29">
            <v>0.78</v>
          </cell>
          <cell r="Q29">
            <v>1.31</v>
          </cell>
          <cell r="R29">
            <v>0.65</v>
          </cell>
        </row>
        <row r="30">
          <cell r="B30">
            <v>37196</v>
          </cell>
          <cell r="C30">
            <v>0.8</v>
          </cell>
          <cell r="D30">
            <v>0.82499999999999996</v>
          </cell>
          <cell r="E30">
            <v>0.8</v>
          </cell>
          <cell r="F30">
            <v>0.8</v>
          </cell>
          <cell r="G30">
            <v>0.9</v>
          </cell>
          <cell r="H30">
            <v>0.95</v>
          </cell>
          <cell r="I30">
            <v>0.85</v>
          </cell>
          <cell r="J30">
            <v>0.8</v>
          </cell>
          <cell r="K30">
            <v>0.95</v>
          </cell>
          <cell r="L30">
            <v>0.8</v>
          </cell>
          <cell r="M30">
            <v>0.8</v>
          </cell>
          <cell r="N30">
            <v>0.8</v>
          </cell>
          <cell r="O30">
            <v>1.325</v>
          </cell>
          <cell r="P30">
            <v>0.95</v>
          </cell>
          <cell r="Q30">
            <v>1.38</v>
          </cell>
          <cell r="R30">
            <v>1</v>
          </cell>
        </row>
        <row r="31">
          <cell r="B31">
            <v>37226</v>
          </cell>
          <cell r="C31">
            <v>1</v>
          </cell>
          <cell r="D31">
            <v>1.0249999999999999</v>
          </cell>
          <cell r="E31">
            <v>1</v>
          </cell>
          <cell r="F31">
            <v>1</v>
          </cell>
          <cell r="G31">
            <v>1.1499999999999999</v>
          </cell>
          <cell r="H31">
            <v>1.25</v>
          </cell>
          <cell r="I31">
            <v>1.05</v>
          </cell>
          <cell r="J31">
            <v>1</v>
          </cell>
          <cell r="K31">
            <v>1.35</v>
          </cell>
          <cell r="L31">
            <v>1</v>
          </cell>
          <cell r="M31">
            <v>1.1000000000000001</v>
          </cell>
          <cell r="N31">
            <v>1</v>
          </cell>
          <cell r="O31">
            <v>1.825</v>
          </cell>
          <cell r="P31">
            <v>1.1499999999999999</v>
          </cell>
          <cell r="Q31">
            <v>1.58</v>
          </cell>
          <cell r="R31">
            <v>1.2</v>
          </cell>
        </row>
        <row r="32">
          <cell r="B32">
            <v>37257</v>
          </cell>
          <cell r="C32">
            <v>1</v>
          </cell>
          <cell r="D32">
            <v>1.0249999999999999</v>
          </cell>
          <cell r="E32">
            <v>1</v>
          </cell>
          <cell r="F32">
            <v>1</v>
          </cell>
          <cell r="G32">
            <v>1.1499999999999999</v>
          </cell>
          <cell r="H32">
            <v>1.45</v>
          </cell>
          <cell r="I32">
            <v>1.05</v>
          </cell>
          <cell r="J32">
            <v>1</v>
          </cell>
          <cell r="K32">
            <v>1.35</v>
          </cell>
          <cell r="L32">
            <v>1</v>
          </cell>
          <cell r="M32">
            <v>1.1000000000000001</v>
          </cell>
          <cell r="N32">
            <v>1</v>
          </cell>
          <cell r="O32">
            <v>2.0249999999999999</v>
          </cell>
          <cell r="P32">
            <v>1.1499999999999999</v>
          </cell>
          <cell r="Q32">
            <v>1.1299999999999999</v>
          </cell>
          <cell r="R32">
            <v>1.2</v>
          </cell>
        </row>
        <row r="33">
          <cell r="B33">
            <v>37288</v>
          </cell>
          <cell r="C33">
            <v>1</v>
          </cell>
          <cell r="D33">
            <v>1.0249999999999999</v>
          </cell>
          <cell r="E33">
            <v>1</v>
          </cell>
          <cell r="F33">
            <v>1</v>
          </cell>
          <cell r="G33">
            <v>1.1499999999999999</v>
          </cell>
          <cell r="H33">
            <v>1.45</v>
          </cell>
          <cell r="I33">
            <v>1.05</v>
          </cell>
          <cell r="J33">
            <v>1</v>
          </cell>
          <cell r="K33">
            <v>1.35</v>
          </cell>
          <cell r="L33">
            <v>1</v>
          </cell>
          <cell r="M33">
            <v>1.1000000000000001</v>
          </cell>
          <cell r="N33">
            <v>1</v>
          </cell>
          <cell r="O33">
            <v>2.0249999999999999</v>
          </cell>
          <cell r="P33">
            <v>1.1499999999999999</v>
          </cell>
          <cell r="Q33">
            <v>1.1299999999999999</v>
          </cell>
          <cell r="R33">
            <v>1.2</v>
          </cell>
        </row>
        <row r="34">
          <cell r="B34">
            <v>37316</v>
          </cell>
          <cell r="C34">
            <v>0.75</v>
          </cell>
          <cell r="D34">
            <v>0.77500000000000002</v>
          </cell>
          <cell r="E34">
            <v>0.75</v>
          </cell>
          <cell r="F34">
            <v>0.75</v>
          </cell>
          <cell r="G34">
            <v>0.85</v>
          </cell>
          <cell r="H34">
            <v>1</v>
          </cell>
          <cell r="I34">
            <v>0.75</v>
          </cell>
          <cell r="J34">
            <v>0.75</v>
          </cell>
          <cell r="K34">
            <v>0.95</v>
          </cell>
          <cell r="L34">
            <v>0.75</v>
          </cell>
          <cell r="M34">
            <v>0.75</v>
          </cell>
          <cell r="N34">
            <v>0.75</v>
          </cell>
          <cell r="O34">
            <v>1.575</v>
          </cell>
          <cell r="P34">
            <v>0.9</v>
          </cell>
          <cell r="Q34">
            <v>0.88</v>
          </cell>
          <cell r="R34">
            <v>0.95</v>
          </cell>
        </row>
        <row r="35">
          <cell r="B35">
            <v>37347</v>
          </cell>
          <cell r="C35">
            <v>0.4</v>
          </cell>
          <cell r="D35">
            <v>0.45</v>
          </cell>
          <cell r="E35">
            <v>0.4</v>
          </cell>
          <cell r="F35">
            <v>0.45</v>
          </cell>
          <cell r="G35">
            <v>0.45</v>
          </cell>
          <cell r="H35">
            <v>0.45</v>
          </cell>
          <cell r="I35">
            <v>0.45</v>
          </cell>
          <cell r="J35">
            <v>0.45</v>
          </cell>
          <cell r="K35">
            <v>0.5</v>
          </cell>
          <cell r="L35">
            <v>0.4</v>
          </cell>
          <cell r="M35">
            <v>0.45</v>
          </cell>
          <cell r="N35">
            <v>0.4</v>
          </cell>
          <cell r="O35">
            <v>0.45</v>
          </cell>
          <cell r="P35">
            <v>0.55000000000000004</v>
          </cell>
          <cell r="Q35">
            <v>0.55000000000000004</v>
          </cell>
          <cell r="R35">
            <v>0.4</v>
          </cell>
        </row>
        <row r="36">
          <cell r="B36">
            <v>37377</v>
          </cell>
          <cell r="C36">
            <v>0.45</v>
          </cell>
          <cell r="D36">
            <v>0.5</v>
          </cell>
          <cell r="E36">
            <v>0.4</v>
          </cell>
          <cell r="F36">
            <v>0.4</v>
          </cell>
          <cell r="G36">
            <v>0.45</v>
          </cell>
          <cell r="H36">
            <v>0.5</v>
          </cell>
          <cell r="I36">
            <v>0.45</v>
          </cell>
          <cell r="J36">
            <v>0.4</v>
          </cell>
          <cell r="K36">
            <v>0.45</v>
          </cell>
          <cell r="L36">
            <v>0.45</v>
          </cell>
          <cell r="M36">
            <v>0.5</v>
          </cell>
          <cell r="N36">
            <v>0.45</v>
          </cell>
          <cell r="O36">
            <v>0.5</v>
          </cell>
          <cell r="P36">
            <v>0.6</v>
          </cell>
          <cell r="Q36">
            <v>0.5</v>
          </cell>
          <cell r="R36">
            <v>0.45</v>
          </cell>
        </row>
        <row r="37">
          <cell r="B37">
            <v>37408</v>
          </cell>
          <cell r="C37">
            <v>0.45</v>
          </cell>
          <cell r="D37">
            <v>0.5</v>
          </cell>
          <cell r="E37">
            <v>0.4</v>
          </cell>
          <cell r="F37">
            <v>0.5</v>
          </cell>
          <cell r="G37">
            <v>0.45</v>
          </cell>
          <cell r="H37">
            <v>0.5</v>
          </cell>
          <cell r="I37">
            <v>0.5</v>
          </cell>
          <cell r="J37">
            <v>0.5</v>
          </cell>
          <cell r="K37">
            <v>0.5</v>
          </cell>
          <cell r="L37">
            <v>0.45</v>
          </cell>
          <cell r="M37">
            <v>0.5</v>
          </cell>
          <cell r="N37">
            <v>0.45</v>
          </cell>
          <cell r="O37">
            <v>0.5</v>
          </cell>
          <cell r="P37">
            <v>0.6</v>
          </cell>
          <cell r="Q37">
            <v>0.6</v>
          </cell>
          <cell r="R37">
            <v>0.45</v>
          </cell>
        </row>
        <row r="38">
          <cell r="B38">
            <v>37438</v>
          </cell>
          <cell r="C38">
            <v>0.5</v>
          </cell>
          <cell r="D38">
            <v>0.5</v>
          </cell>
          <cell r="E38">
            <v>0.4</v>
          </cell>
          <cell r="F38">
            <v>0.5</v>
          </cell>
          <cell r="G38">
            <v>0.5</v>
          </cell>
          <cell r="H38">
            <v>0.5</v>
          </cell>
          <cell r="I38">
            <v>0.5</v>
          </cell>
          <cell r="J38">
            <v>0.5</v>
          </cell>
          <cell r="K38">
            <v>0.5</v>
          </cell>
          <cell r="L38">
            <v>0.5</v>
          </cell>
          <cell r="M38">
            <v>0.55000000000000004</v>
          </cell>
          <cell r="N38">
            <v>0.5</v>
          </cell>
          <cell r="O38">
            <v>0.5</v>
          </cell>
          <cell r="P38">
            <v>0.65</v>
          </cell>
          <cell r="Q38">
            <v>0.6</v>
          </cell>
          <cell r="R38">
            <v>0.5</v>
          </cell>
        </row>
        <row r="39">
          <cell r="B39">
            <v>37469</v>
          </cell>
          <cell r="C39">
            <v>0.55000000000000004</v>
          </cell>
          <cell r="D39">
            <v>0.55000000000000004</v>
          </cell>
          <cell r="E39">
            <v>0.5</v>
          </cell>
          <cell r="F39">
            <v>0.6</v>
          </cell>
          <cell r="G39">
            <v>0.55000000000000004</v>
          </cell>
          <cell r="H39">
            <v>0.6</v>
          </cell>
          <cell r="I39">
            <v>0.55000000000000004</v>
          </cell>
          <cell r="J39">
            <v>0.6</v>
          </cell>
          <cell r="K39">
            <v>0.45</v>
          </cell>
          <cell r="L39">
            <v>0.55000000000000004</v>
          </cell>
          <cell r="M39">
            <v>0.6</v>
          </cell>
          <cell r="N39">
            <v>0.55000000000000004</v>
          </cell>
          <cell r="O39">
            <v>0.6</v>
          </cell>
          <cell r="P39">
            <v>0.7</v>
          </cell>
          <cell r="Q39">
            <v>0.7</v>
          </cell>
          <cell r="R39">
            <v>0.55000000000000004</v>
          </cell>
        </row>
        <row r="40">
          <cell r="B40">
            <v>37500</v>
          </cell>
          <cell r="C40">
            <v>0.55000000000000004</v>
          </cell>
          <cell r="D40">
            <v>0.55000000000000004</v>
          </cell>
          <cell r="E40">
            <v>0.55000000000000004</v>
          </cell>
          <cell r="F40">
            <v>0.55000000000000004</v>
          </cell>
          <cell r="G40">
            <v>0.55000000000000004</v>
          </cell>
          <cell r="H40">
            <v>0.6</v>
          </cell>
          <cell r="I40">
            <v>0.6</v>
          </cell>
          <cell r="J40">
            <v>0.55000000000000004</v>
          </cell>
          <cell r="K40">
            <v>0.5</v>
          </cell>
          <cell r="L40">
            <v>0.55000000000000004</v>
          </cell>
          <cell r="M40">
            <v>0.6</v>
          </cell>
          <cell r="N40">
            <v>0.55000000000000004</v>
          </cell>
          <cell r="O40">
            <v>0.6</v>
          </cell>
          <cell r="P40">
            <v>0.7</v>
          </cell>
          <cell r="Q40">
            <v>0.65</v>
          </cell>
          <cell r="R40">
            <v>0.55000000000000004</v>
          </cell>
        </row>
        <row r="41">
          <cell r="B41">
            <v>37530</v>
          </cell>
          <cell r="C41">
            <v>0.6</v>
          </cell>
          <cell r="D41">
            <v>0.6</v>
          </cell>
          <cell r="E41">
            <v>0.55000000000000004</v>
          </cell>
          <cell r="F41">
            <v>0.6</v>
          </cell>
          <cell r="G41">
            <v>0.6</v>
          </cell>
          <cell r="H41">
            <v>0.65</v>
          </cell>
          <cell r="I41">
            <v>0.65</v>
          </cell>
          <cell r="J41">
            <v>0.6</v>
          </cell>
          <cell r="K41">
            <v>0.5</v>
          </cell>
          <cell r="L41">
            <v>0.6</v>
          </cell>
          <cell r="M41">
            <v>0.65</v>
          </cell>
          <cell r="N41">
            <v>0.6</v>
          </cell>
          <cell r="O41">
            <v>0.65</v>
          </cell>
          <cell r="P41">
            <v>0.75</v>
          </cell>
          <cell r="Q41">
            <v>0.7</v>
          </cell>
          <cell r="R41">
            <v>0.6</v>
          </cell>
        </row>
        <row r="42">
          <cell r="B42">
            <v>37561</v>
          </cell>
          <cell r="C42">
            <v>0.8</v>
          </cell>
          <cell r="D42">
            <v>0.85</v>
          </cell>
          <cell r="E42">
            <v>0.8</v>
          </cell>
          <cell r="F42">
            <v>0.8</v>
          </cell>
          <cell r="G42">
            <v>0.9</v>
          </cell>
          <cell r="H42">
            <v>0.95</v>
          </cell>
          <cell r="I42">
            <v>0.85</v>
          </cell>
          <cell r="J42">
            <v>0.8</v>
          </cell>
          <cell r="K42">
            <v>0.95</v>
          </cell>
          <cell r="L42">
            <v>0.8</v>
          </cell>
          <cell r="M42">
            <v>0.8</v>
          </cell>
          <cell r="N42">
            <v>0.8</v>
          </cell>
          <cell r="O42">
            <v>1.75</v>
          </cell>
          <cell r="P42">
            <v>0.95</v>
          </cell>
          <cell r="Q42">
            <v>0.9</v>
          </cell>
          <cell r="R42">
            <v>0.8</v>
          </cell>
        </row>
        <row r="43">
          <cell r="B43">
            <v>37591</v>
          </cell>
          <cell r="C43">
            <v>1</v>
          </cell>
          <cell r="D43">
            <v>1.05</v>
          </cell>
          <cell r="E43">
            <v>1</v>
          </cell>
          <cell r="F43">
            <v>1</v>
          </cell>
          <cell r="G43">
            <v>1.1499999999999999</v>
          </cell>
          <cell r="H43">
            <v>1.25</v>
          </cell>
          <cell r="I43">
            <v>1.05</v>
          </cell>
          <cell r="J43">
            <v>1</v>
          </cell>
          <cell r="K43">
            <v>1.35</v>
          </cell>
          <cell r="L43">
            <v>1</v>
          </cell>
          <cell r="M43">
            <v>1.1000000000000001</v>
          </cell>
          <cell r="N43">
            <v>1</v>
          </cell>
          <cell r="O43">
            <v>2.0499999999999998</v>
          </cell>
          <cell r="P43">
            <v>1.1499999999999999</v>
          </cell>
          <cell r="Q43">
            <v>1.1000000000000001</v>
          </cell>
          <cell r="R43">
            <v>1</v>
          </cell>
        </row>
        <row r="44">
          <cell r="B44">
            <v>37622</v>
          </cell>
          <cell r="C44">
            <v>1</v>
          </cell>
          <cell r="D44">
            <v>1.05</v>
          </cell>
          <cell r="E44">
            <v>1</v>
          </cell>
          <cell r="F44">
            <v>1</v>
          </cell>
          <cell r="G44">
            <v>1.1499999999999999</v>
          </cell>
          <cell r="H44">
            <v>1.45</v>
          </cell>
          <cell r="I44">
            <v>1.05</v>
          </cell>
          <cell r="J44">
            <v>1</v>
          </cell>
          <cell r="K44">
            <v>1.35</v>
          </cell>
          <cell r="L44">
            <v>1</v>
          </cell>
          <cell r="M44">
            <v>1.1000000000000001</v>
          </cell>
          <cell r="N44">
            <v>1</v>
          </cell>
          <cell r="O44">
            <v>2.25</v>
          </cell>
          <cell r="P44">
            <v>1.1499999999999999</v>
          </cell>
          <cell r="Q44">
            <v>1.1000000000000001</v>
          </cell>
          <cell r="R44">
            <v>1</v>
          </cell>
        </row>
        <row r="45">
          <cell r="B45">
            <v>37653</v>
          </cell>
          <cell r="C45">
            <v>1</v>
          </cell>
          <cell r="D45">
            <v>1.05</v>
          </cell>
          <cell r="E45">
            <v>1</v>
          </cell>
          <cell r="F45">
            <v>1</v>
          </cell>
          <cell r="G45">
            <v>1.1499999999999999</v>
          </cell>
          <cell r="H45">
            <v>1.45</v>
          </cell>
          <cell r="I45">
            <v>1.05</v>
          </cell>
          <cell r="J45">
            <v>1</v>
          </cell>
          <cell r="K45">
            <v>1.35</v>
          </cell>
          <cell r="L45">
            <v>1</v>
          </cell>
          <cell r="M45">
            <v>1.1000000000000001</v>
          </cell>
          <cell r="N45">
            <v>1</v>
          </cell>
          <cell r="O45">
            <v>2.25</v>
          </cell>
          <cell r="P45">
            <v>1.1499999999999999</v>
          </cell>
          <cell r="Q45">
            <v>1.1000000000000001</v>
          </cell>
          <cell r="R45">
            <v>1</v>
          </cell>
        </row>
        <row r="46">
          <cell r="B46">
            <v>37681</v>
          </cell>
          <cell r="C46">
            <v>0.75</v>
          </cell>
          <cell r="D46">
            <v>0.8</v>
          </cell>
          <cell r="E46">
            <v>0.75</v>
          </cell>
          <cell r="F46">
            <v>0.75</v>
          </cell>
          <cell r="G46">
            <v>0.85</v>
          </cell>
          <cell r="H46">
            <v>1</v>
          </cell>
          <cell r="I46">
            <v>0.75</v>
          </cell>
          <cell r="J46">
            <v>0.75</v>
          </cell>
          <cell r="K46">
            <v>0.95</v>
          </cell>
          <cell r="L46">
            <v>0.75</v>
          </cell>
          <cell r="M46">
            <v>0.75</v>
          </cell>
          <cell r="N46">
            <v>0.75</v>
          </cell>
          <cell r="O46">
            <v>1.8</v>
          </cell>
          <cell r="P46">
            <v>0.9</v>
          </cell>
          <cell r="Q46">
            <v>0.85</v>
          </cell>
          <cell r="R46">
            <v>0.75</v>
          </cell>
        </row>
        <row r="47">
          <cell r="B47">
            <v>37712</v>
          </cell>
          <cell r="C47">
            <v>0.4</v>
          </cell>
          <cell r="D47">
            <v>0.45</v>
          </cell>
          <cell r="E47">
            <v>0.4</v>
          </cell>
          <cell r="F47">
            <v>0.45</v>
          </cell>
          <cell r="G47">
            <v>0.45</v>
          </cell>
          <cell r="H47">
            <v>0.45</v>
          </cell>
          <cell r="I47">
            <v>0.45</v>
          </cell>
          <cell r="J47">
            <v>0.45</v>
          </cell>
          <cell r="K47">
            <v>0.5</v>
          </cell>
          <cell r="L47">
            <v>0.4</v>
          </cell>
          <cell r="M47">
            <v>0.45</v>
          </cell>
          <cell r="N47">
            <v>0.4</v>
          </cell>
          <cell r="O47">
            <v>0.45</v>
          </cell>
          <cell r="P47">
            <v>0.55000000000000004</v>
          </cell>
          <cell r="Q47">
            <v>0.55000000000000004</v>
          </cell>
          <cell r="R47">
            <v>0.4</v>
          </cell>
        </row>
        <row r="48">
          <cell r="B48">
            <v>37742</v>
          </cell>
          <cell r="C48">
            <v>0.45</v>
          </cell>
          <cell r="D48">
            <v>0.5</v>
          </cell>
          <cell r="E48">
            <v>0.4</v>
          </cell>
          <cell r="F48">
            <v>0.4</v>
          </cell>
          <cell r="G48">
            <v>0.45</v>
          </cell>
          <cell r="H48">
            <v>0.5</v>
          </cell>
          <cell r="I48">
            <v>0.45</v>
          </cell>
          <cell r="J48">
            <v>0.4</v>
          </cell>
          <cell r="K48">
            <v>0.45</v>
          </cell>
          <cell r="L48">
            <v>0.45</v>
          </cell>
          <cell r="M48">
            <v>0.5</v>
          </cell>
          <cell r="N48">
            <v>0.45</v>
          </cell>
          <cell r="O48">
            <v>0.5</v>
          </cell>
          <cell r="P48">
            <v>0.6</v>
          </cell>
          <cell r="Q48">
            <v>0.5</v>
          </cell>
          <cell r="R48">
            <v>0.45</v>
          </cell>
        </row>
        <row r="49">
          <cell r="B49">
            <v>37773</v>
          </cell>
          <cell r="C49">
            <v>0.45</v>
          </cell>
          <cell r="D49">
            <v>0.5</v>
          </cell>
          <cell r="E49">
            <v>0.4</v>
          </cell>
          <cell r="F49">
            <v>0.5</v>
          </cell>
          <cell r="G49">
            <v>0.45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0.45</v>
          </cell>
          <cell r="M49">
            <v>0.5</v>
          </cell>
          <cell r="N49">
            <v>0.45</v>
          </cell>
          <cell r="O49">
            <v>0.5</v>
          </cell>
          <cell r="P49">
            <v>0.6</v>
          </cell>
          <cell r="Q49">
            <v>0.6</v>
          </cell>
          <cell r="R49">
            <v>0.45</v>
          </cell>
        </row>
        <row r="50">
          <cell r="B50">
            <v>37803</v>
          </cell>
          <cell r="C50">
            <v>0.5</v>
          </cell>
          <cell r="D50">
            <v>0.5</v>
          </cell>
          <cell r="E50">
            <v>0.4</v>
          </cell>
          <cell r="F50">
            <v>0.5</v>
          </cell>
          <cell r="G50">
            <v>0.5</v>
          </cell>
          <cell r="H50">
            <v>0.5</v>
          </cell>
          <cell r="I50">
            <v>0.5</v>
          </cell>
          <cell r="J50">
            <v>0.5</v>
          </cell>
          <cell r="K50">
            <v>0.5</v>
          </cell>
          <cell r="L50">
            <v>0.5</v>
          </cell>
          <cell r="M50">
            <v>0.55000000000000004</v>
          </cell>
          <cell r="N50">
            <v>0.5</v>
          </cell>
          <cell r="O50">
            <v>0.5</v>
          </cell>
          <cell r="P50">
            <v>0.65</v>
          </cell>
          <cell r="Q50">
            <v>0.6</v>
          </cell>
          <cell r="R50">
            <v>0.5</v>
          </cell>
        </row>
        <row r="51">
          <cell r="B51">
            <v>37834</v>
          </cell>
          <cell r="C51">
            <v>0.55000000000000004</v>
          </cell>
          <cell r="D51">
            <v>0.55000000000000004</v>
          </cell>
          <cell r="E51">
            <v>0.5</v>
          </cell>
          <cell r="F51">
            <v>0.6</v>
          </cell>
          <cell r="G51">
            <v>0.55000000000000004</v>
          </cell>
          <cell r="H51">
            <v>0.6</v>
          </cell>
          <cell r="I51">
            <v>0.55000000000000004</v>
          </cell>
          <cell r="J51">
            <v>0.6</v>
          </cell>
          <cell r="K51">
            <v>0.45</v>
          </cell>
          <cell r="L51">
            <v>0.55000000000000004</v>
          </cell>
          <cell r="M51">
            <v>0.6</v>
          </cell>
          <cell r="N51">
            <v>0.55000000000000004</v>
          </cell>
          <cell r="O51">
            <v>0.6</v>
          </cell>
          <cell r="P51">
            <v>0.7</v>
          </cell>
          <cell r="Q51">
            <v>0.7</v>
          </cell>
          <cell r="R51">
            <v>0.55000000000000004</v>
          </cell>
        </row>
        <row r="52">
          <cell r="B52">
            <v>37865</v>
          </cell>
          <cell r="C52">
            <v>0.55000000000000004</v>
          </cell>
          <cell r="D52">
            <v>0.55000000000000004</v>
          </cell>
          <cell r="E52">
            <v>0.55000000000000004</v>
          </cell>
          <cell r="F52">
            <v>0.55000000000000004</v>
          </cell>
          <cell r="G52">
            <v>0.55000000000000004</v>
          </cell>
          <cell r="H52">
            <v>0.6</v>
          </cell>
          <cell r="I52">
            <v>0.6</v>
          </cell>
          <cell r="J52">
            <v>0.55000000000000004</v>
          </cell>
          <cell r="K52">
            <v>0.5</v>
          </cell>
          <cell r="L52">
            <v>0.55000000000000004</v>
          </cell>
          <cell r="M52">
            <v>0.6</v>
          </cell>
          <cell r="N52">
            <v>0.55000000000000004</v>
          </cell>
          <cell r="O52">
            <v>0.6</v>
          </cell>
          <cell r="P52">
            <v>0.7</v>
          </cell>
          <cell r="Q52">
            <v>0.65</v>
          </cell>
          <cell r="R52">
            <v>0.55000000000000004</v>
          </cell>
        </row>
        <row r="53">
          <cell r="B53">
            <v>37895</v>
          </cell>
          <cell r="C53">
            <v>0.6</v>
          </cell>
          <cell r="D53">
            <v>0.6</v>
          </cell>
          <cell r="E53">
            <v>0.55000000000000004</v>
          </cell>
          <cell r="F53">
            <v>0.6</v>
          </cell>
          <cell r="G53">
            <v>0.6</v>
          </cell>
          <cell r="H53">
            <v>0.65</v>
          </cell>
          <cell r="I53">
            <v>0.65</v>
          </cell>
          <cell r="J53">
            <v>0.6</v>
          </cell>
          <cell r="K53">
            <v>0.5</v>
          </cell>
          <cell r="L53">
            <v>0.6</v>
          </cell>
          <cell r="M53">
            <v>0.65</v>
          </cell>
          <cell r="N53">
            <v>0.6</v>
          </cell>
          <cell r="O53">
            <v>0.65</v>
          </cell>
          <cell r="P53">
            <v>0.75</v>
          </cell>
          <cell r="Q53">
            <v>0.7</v>
          </cell>
          <cell r="R53">
            <v>0.6</v>
          </cell>
        </row>
        <row r="54">
          <cell r="B54">
            <v>37926</v>
          </cell>
          <cell r="C54">
            <v>0.8</v>
          </cell>
          <cell r="D54">
            <v>0.85</v>
          </cell>
          <cell r="E54">
            <v>0.8</v>
          </cell>
          <cell r="F54">
            <v>0.8</v>
          </cell>
          <cell r="G54">
            <v>0.9</v>
          </cell>
          <cell r="H54">
            <v>0.95</v>
          </cell>
          <cell r="I54">
            <v>0.85</v>
          </cell>
          <cell r="J54">
            <v>0.8</v>
          </cell>
          <cell r="K54">
            <v>0.95</v>
          </cell>
          <cell r="L54">
            <v>0.8</v>
          </cell>
          <cell r="M54">
            <v>0.8</v>
          </cell>
          <cell r="N54">
            <v>0.8</v>
          </cell>
          <cell r="O54">
            <v>0.95</v>
          </cell>
          <cell r="P54">
            <v>0.95</v>
          </cell>
          <cell r="Q54">
            <v>0.9</v>
          </cell>
          <cell r="R54">
            <v>0.8</v>
          </cell>
        </row>
        <row r="55">
          <cell r="B55">
            <v>37956</v>
          </cell>
          <cell r="C55">
            <v>1</v>
          </cell>
          <cell r="D55">
            <v>1.05</v>
          </cell>
          <cell r="E55">
            <v>1</v>
          </cell>
          <cell r="F55">
            <v>1</v>
          </cell>
          <cell r="G55">
            <v>1.1499999999999999</v>
          </cell>
          <cell r="H55">
            <v>1.25</v>
          </cell>
          <cell r="I55">
            <v>1.05</v>
          </cell>
          <cell r="J55">
            <v>1</v>
          </cell>
          <cell r="K55">
            <v>1.35</v>
          </cell>
          <cell r="L55">
            <v>1</v>
          </cell>
          <cell r="M55">
            <v>1.1000000000000001</v>
          </cell>
          <cell r="N55">
            <v>1</v>
          </cell>
          <cell r="O55">
            <v>1.25</v>
          </cell>
          <cell r="P55">
            <v>1.1499999999999999</v>
          </cell>
          <cell r="Q55">
            <v>1.1000000000000001</v>
          </cell>
          <cell r="R55">
            <v>1</v>
          </cell>
        </row>
        <row r="56">
          <cell r="B56">
            <v>37987</v>
          </cell>
          <cell r="C56">
            <v>1</v>
          </cell>
          <cell r="D56">
            <v>1.05</v>
          </cell>
          <cell r="E56">
            <v>1</v>
          </cell>
          <cell r="F56">
            <v>1</v>
          </cell>
          <cell r="G56">
            <v>1.1499999999999999</v>
          </cell>
          <cell r="H56">
            <v>1.45</v>
          </cell>
          <cell r="I56">
            <v>1.05</v>
          </cell>
          <cell r="J56">
            <v>1</v>
          </cell>
          <cell r="K56">
            <v>1.35</v>
          </cell>
          <cell r="L56">
            <v>1</v>
          </cell>
          <cell r="M56">
            <v>1.1000000000000001</v>
          </cell>
          <cell r="N56">
            <v>1</v>
          </cell>
          <cell r="O56">
            <v>1.45</v>
          </cell>
          <cell r="P56">
            <v>1.1499999999999999</v>
          </cell>
          <cell r="Q56">
            <v>1.1000000000000001</v>
          </cell>
          <cell r="R56">
            <v>1</v>
          </cell>
        </row>
        <row r="57">
          <cell r="B57">
            <v>38018</v>
          </cell>
          <cell r="C57">
            <v>1</v>
          </cell>
          <cell r="D57">
            <v>1.05</v>
          </cell>
          <cell r="E57">
            <v>1</v>
          </cell>
          <cell r="F57">
            <v>1</v>
          </cell>
          <cell r="G57">
            <v>1.1499999999999999</v>
          </cell>
          <cell r="H57">
            <v>1.45</v>
          </cell>
          <cell r="I57">
            <v>1.05</v>
          </cell>
          <cell r="J57">
            <v>1</v>
          </cell>
          <cell r="K57">
            <v>1.35</v>
          </cell>
          <cell r="L57">
            <v>1</v>
          </cell>
          <cell r="M57">
            <v>1.1000000000000001</v>
          </cell>
          <cell r="N57">
            <v>1</v>
          </cell>
          <cell r="O57">
            <v>1.45</v>
          </cell>
          <cell r="P57">
            <v>1.1499999999999999</v>
          </cell>
          <cell r="Q57">
            <v>1.1000000000000001</v>
          </cell>
          <cell r="R57">
            <v>1</v>
          </cell>
        </row>
        <row r="58">
          <cell r="B58">
            <v>38047</v>
          </cell>
          <cell r="C58">
            <v>0.75</v>
          </cell>
          <cell r="D58">
            <v>0.8</v>
          </cell>
          <cell r="E58">
            <v>0.75</v>
          </cell>
          <cell r="F58">
            <v>0.75</v>
          </cell>
          <cell r="G58">
            <v>0.85</v>
          </cell>
          <cell r="H58">
            <v>1</v>
          </cell>
          <cell r="I58">
            <v>0.75</v>
          </cell>
          <cell r="J58">
            <v>0.75</v>
          </cell>
          <cell r="K58">
            <v>0.95</v>
          </cell>
          <cell r="L58">
            <v>0.75</v>
          </cell>
          <cell r="M58">
            <v>0.75</v>
          </cell>
          <cell r="N58">
            <v>0.75</v>
          </cell>
          <cell r="O58">
            <v>1</v>
          </cell>
          <cell r="P58">
            <v>0.9</v>
          </cell>
          <cell r="Q58">
            <v>0.85</v>
          </cell>
          <cell r="R58">
            <v>0.75</v>
          </cell>
        </row>
        <row r="59">
          <cell r="B59">
            <v>38078</v>
          </cell>
          <cell r="C59">
            <v>0.4</v>
          </cell>
          <cell r="D59">
            <v>0.45</v>
          </cell>
          <cell r="E59">
            <v>0.4</v>
          </cell>
          <cell r="F59">
            <v>0.45</v>
          </cell>
          <cell r="G59">
            <v>0.45</v>
          </cell>
          <cell r="H59">
            <v>0.45</v>
          </cell>
          <cell r="I59">
            <v>0.45</v>
          </cell>
          <cell r="J59">
            <v>0.45</v>
          </cell>
          <cell r="K59">
            <v>0.5</v>
          </cell>
          <cell r="L59">
            <v>0.4</v>
          </cell>
          <cell r="M59">
            <v>0.45</v>
          </cell>
          <cell r="N59">
            <v>0.4</v>
          </cell>
          <cell r="O59">
            <v>0.45</v>
          </cell>
          <cell r="P59">
            <v>0.55000000000000004</v>
          </cell>
          <cell r="Q59">
            <v>0.55000000000000004</v>
          </cell>
          <cell r="R59">
            <v>0.4</v>
          </cell>
        </row>
        <row r="60">
          <cell r="B60">
            <v>38108</v>
          </cell>
          <cell r="C60">
            <v>0.45</v>
          </cell>
          <cell r="D60">
            <v>0.5</v>
          </cell>
          <cell r="E60">
            <v>0.4</v>
          </cell>
          <cell r="F60">
            <v>0.4</v>
          </cell>
          <cell r="G60">
            <v>0.45</v>
          </cell>
          <cell r="H60">
            <v>0.5</v>
          </cell>
          <cell r="I60">
            <v>0.45</v>
          </cell>
          <cell r="J60">
            <v>0.4</v>
          </cell>
          <cell r="K60">
            <v>0.45</v>
          </cell>
          <cell r="L60">
            <v>0.45</v>
          </cell>
          <cell r="M60">
            <v>0.5</v>
          </cell>
          <cell r="N60">
            <v>0.45</v>
          </cell>
          <cell r="O60">
            <v>0.5</v>
          </cell>
          <cell r="P60">
            <v>0.6</v>
          </cell>
          <cell r="Q60">
            <v>0.5</v>
          </cell>
          <cell r="R60">
            <v>0.45</v>
          </cell>
        </row>
        <row r="61">
          <cell r="B61">
            <v>38139</v>
          </cell>
          <cell r="C61">
            <v>0.45</v>
          </cell>
          <cell r="D61">
            <v>0.5</v>
          </cell>
          <cell r="E61">
            <v>0.4</v>
          </cell>
          <cell r="F61">
            <v>0.5</v>
          </cell>
          <cell r="G61">
            <v>0.45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0.45</v>
          </cell>
          <cell r="M61">
            <v>0.5</v>
          </cell>
          <cell r="N61">
            <v>0.45</v>
          </cell>
          <cell r="O61">
            <v>0.5</v>
          </cell>
          <cell r="P61">
            <v>0.6</v>
          </cell>
          <cell r="Q61">
            <v>0.6</v>
          </cell>
          <cell r="R61">
            <v>0.45</v>
          </cell>
        </row>
        <row r="62">
          <cell r="B62">
            <v>38169</v>
          </cell>
          <cell r="C62">
            <v>0.5</v>
          </cell>
          <cell r="D62">
            <v>0.5</v>
          </cell>
          <cell r="E62">
            <v>0.4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K62">
            <v>0.5</v>
          </cell>
          <cell r="L62">
            <v>0.5</v>
          </cell>
          <cell r="M62">
            <v>0.55000000000000004</v>
          </cell>
          <cell r="N62">
            <v>0.5</v>
          </cell>
          <cell r="O62">
            <v>0.5</v>
          </cell>
          <cell r="P62">
            <v>0.65</v>
          </cell>
          <cell r="Q62">
            <v>0.6</v>
          </cell>
          <cell r="R62">
            <v>0.5</v>
          </cell>
        </row>
        <row r="63">
          <cell r="B63">
            <v>38200</v>
          </cell>
          <cell r="C63">
            <v>0.55000000000000004</v>
          </cell>
          <cell r="D63">
            <v>0.55000000000000004</v>
          </cell>
          <cell r="E63">
            <v>0.5</v>
          </cell>
          <cell r="F63">
            <v>0.6</v>
          </cell>
          <cell r="G63">
            <v>0.55000000000000004</v>
          </cell>
          <cell r="H63">
            <v>0.6</v>
          </cell>
          <cell r="I63">
            <v>0.55000000000000004</v>
          </cell>
          <cell r="J63">
            <v>0.6</v>
          </cell>
          <cell r="K63">
            <v>0.45</v>
          </cell>
          <cell r="L63">
            <v>0.55000000000000004</v>
          </cell>
          <cell r="M63">
            <v>0.6</v>
          </cell>
          <cell r="N63">
            <v>0.55000000000000004</v>
          </cell>
          <cell r="O63">
            <v>0.6</v>
          </cell>
          <cell r="P63">
            <v>0.7</v>
          </cell>
          <cell r="Q63">
            <v>0.7</v>
          </cell>
          <cell r="R63">
            <v>0.55000000000000004</v>
          </cell>
        </row>
        <row r="64">
          <cell r="B64">
            <v>38231</v>
          </cell>
          <cell r="C64">
            <v>0.55000000000000004</v>
          </cell>
          <cell r="D64">
            <v>0.55000000000000004</v>
          </cell>
          <cell r="E64">
            <v>0.55000000000000004</v>
          </cell>
          <cell r="F64">
            <v>0.55000000000000004</v>
          </cell>
          <cell r="G64">
            <v>0.55000000000000004</v>
          </cell>
          <cell r="H64">
            <v>0.6</v>
          </cell>
          <cell r="I64">
            <v>0.6</v>
          </cell>
          <cell r="J64">
            <v>0.55000000000000004</v>
          </cell>
          <cell r="K64">
            <v>0.5</v>
          </cell>
          <cell r="L64">
            <v>0.55000000000000004</v>
          </cell>
          <cell r="M64">
            <v>0.6</v>
          </cell>
          <cell r="N64">
            <v>0.55000000000000004</v>
          </cell>
          <cell r="O64">
            <v>0.6</v>
          </cell>
          <cell r="P64">
            <v>0.7</v>
          </cell>
          <cell r="Q64">
            <v>0.65</v>
          </cell>
          <cell r="R64">
            <v>0.55000000000000004</v>
          </cell>
        </row>
        <row r="65">
          <cell r="B65">
            <v>38261</v>
          </cell>
          <cell r="C65">
            <v>0.6</v>
          </cell>
          <cell r="D65">
            <v>0.6</v>
          </cell>
          <cell r="E65">
            <v>0.55000000000000004</v>
          </cell>
          <cell r="F65">
            <v>0.6</v>
          </cell>
          <cell r="G65">
            <v>0.6</v>
          </cell>
          <cell r="H65">
            <v>0.65</v>
          </cell>
          <cell r="I65">
            <v>0.65</v>
          </cell>
          <cell r="J65">
            <v>0.6</v>
          </cell>
          <cell r="K65">
            <v>0.5</v>
          </cell>
          <cell r="L65">
            <v>0.6</v>
          </cell>
          <cell r="M65">
            <v>0.65</v>
          </cell>
          <cell r="N65">
            <v>0.6</v>
          </cell>
          <cell r="O65">
            <v>0.65</v>
          </cell>
          <cell r="P65">
            <v>0.75</v>
          </cell>
          <cell r="Q65">
            <v>0.7</v>
          </cell>
          <cell r="R65">
            <v>0.6</v>
          </cell>
        </row>
        <row r="66">
          <cell r="B66">
            <v>38292</v>
          </cell>
          <cell r="C66">
            <v>0.8</v>
          </cell>
          <cell r="D66">
            <v>0.85</v>
          </cell>
          <cell r="E66">
            <v>0.8</v>
          </cell>
          <cell r="F66">
            <v>0.8</v>
          </cell>
          <cell r="G66">
            <v>0.9</v>
          </cell>
          <cell r="H66">
            <v>0.95</v>
          </cell>
          <cell r="I66">
            <v>0.85</v>
          </cell>
          <cell r="J66">
            <v>0.8</v>
          </cell>
          <cell r="K66">
            <v>0.95</v>
          </cell>
          <cell r="L66">
            <v>0.8</v>
          </cell>
          <cell r="M66">
            <v>0.8</v>
          </cell>
          <cell r="N66">
            <v>0.8</v>
          </cell>
          <cell r="O66">
            <v>0.95</v>
          </cell>
          <cell r="P66">
            <v>0.95</v>
          </cell>
          <cell r="Q66">
            <v>0.9</v>
          </cell>
          <cell r="R66">
            <v>0.8</v>
          </cell>
        </row>
        <row r="67">
          <cell r="B67">
            <v>38322</v>
          </cell>
          <cell r="C67">
            <v>1</v>
          </cell>
          <cell r="D67">
            <v>1.05</v>
          </cell>
          <cell r="E67">
            <v>1</v>
          </cell>
          <cell r="F67">
            <v>1</v>
          </cell>
          <cell r="G67">
            <v>1.1499999999999999</v>
          </cell>
          <cell r="H67">
            <v>1.25</v>
          </cell>
          <cell r="I67">
            <v>1.05</v>
          </cell>
          <cell r="J67">
            <v>1</v>
          </cell>
          <cell r="K67">
            <v>1.35</v>
          </cell>
          <cell r="L67">
            <v>1</v>
          </cell>
          <cell r="M67">
            <v>1.1000000000000001</v>
          </cell>
          <cell r="N67">
            <v>1</v>
          </cell>
          <cell r="O67">
            <v>1.25</v>
          </cell>
          <cell r="P67">
            <v>1.1499999999999999</v>
          </cell>
          <cell r="Q67">
            <v>1.1000000000000001</v>
          </cell>
          <cell r="R67">
            <v>1</v>
          </cell>
        </row>
        <row r="68">
          <cell r="B68">
            <v>38353</v>
          </cell>
          <cell r="C68">
            <v>1</v>
          </cell>
          <cell r="D68">
            <v>1.05</v>
          </cell>
          <cell r="E68">
            <v>1</v>
          </cell>
          <cell r="F68">
            <v>1</v>
          </cell>
          <cell r="G68">
            <v>1.1499999999999999</v>
          </cell>
          <cell r="H68">
            <v>1.45</v>
          </cell>
          <cell r="I68">
            <v>1.05</v>
          </cell>
          <cell r="J68">
            <v>1</v>
          </cell>
          <cell r="K68">
            <v>1.35</v>
          </cell>
          <cell r="L68">
            <v>1</v>
          </cell>
          <cell r="M68">
            <v>1.1000000000000001</v>
          </cell>
          <cell r="N68">
            <v>1</v>
          </cell>
          <cell r="O68">
            <v>1.45</v>
          </cell>
          <cell r="P68">
            <v>1.1499999999999999</v>
          </cell>
          <cell r="Q68">
            <v>1.1000000000000001</v>
          </cell>
          <cell r="R68">
            <v>1</v>
          </cell>
        </row>
        <row r="69">
          <cell r="B69">
            <v>38384</v>
          </cell>
          <cell r="C69">
            <v>1</v>
          </cell>
          <cell r="D69">
            <v>1.05</v>
          </cell>
          <cell r="E69">
            <v>1</v>
          </cell>
          <cell r="F69">
            <v>1</v>
          </cell>
          <cell r="G69">
            <v>1.1499999999999999</v>
          </cell>
          <cell r="H69">
            <v>1.45</v>
          </cell>
          <cell r="I69">
            <v>1.05</v>
          </cell>
          <cell r="J69">
            <v>1</v>
          </cell>
          <cell r="K69">
            <v>1.35</v>
          </cell>
          <cell r="L69">
            <v>1</v>
          </cell>
          <cell r="M69">
            <v>1.1000000000000001</v>
          </cell>
          <cell r="N69">
            <v>1</v>
          </cell>
          <cell r="O69">
            <v>1.45</v>
          </cell>
          <cell r="P69">
            <v>1.1499999999999999</v>
          </cell>
          <cell r="Q69">
            <v>1.1000000000000001</v>
          </cell>
          <cell r="R69">
            <v>1</v>
          </cell>
        </row>
        <row r="70">
          <cell r="B70">
            <v>38412</v>
          </cell>
          <cell r="C70">
            <v>0.75</v>
          </cell>
          <cell r="D70">
            <v>0.8</v>
          </cell>
          <cell r="E70">
            <v>0.75</v>
          </cell>
          <cell r="F70">
            <v>0.75</v>
          </cell>
          <cell r="G70">
            <v>0.85</v>
          </cell>
          <cell r="H70">
            <v>1</v>
          </cell>
          <cell r="I70">
            <v>0.75</v>
          </cell>
          <cell r="J70">
            <v>0.75</v>
          </cell>
          <cell r="K70">
            <v>0.95</v>
          </cell>
          <cell r="L70">
            <v>0.75</v>
          </cell>
          <cell r="M70">
            <v>0.75</v>
          </cell>
          <cell r="N70">
            <v>0.75</v>
          </cell>
          <cell r="O70">
            <v>1</v>
          </cell>
          <cell r="P70">
            <v>0.9</v>
          </cell>
          <cell r="Q70">
            <v>0.85</v>
          </cell>
          <cell r="R70">
            <v>0.75</v>
          </cell>
        </row>
        <row r="71">
          <cell r="B71">
            <v>38443</v>
          </cell>
          <cell r="C71">
            <v>0.4</v>
          </cell>
          <cell r="D71">
            <v>0.45</v>
          </cell>
          <cell r="E71">
            <v>0.4</v>
          </cell>
          <cell r="F71">
            <v>0.45</v>
          </cell>
          <cell r="G71">
            <v>0.45</v>
          </cell>
          <cell r="H71">
            <v>0.45</v>
          </cell>
          <cell r="I71">
            <v>0.45</v>
          </cell>
          <cell r="J71">
            <v>0.45</v>
          </cell>
          <cell r="K71">
            <v>0.5</v>
          </cell>
          <cell r="L71">
            <v>0.4</v>
          </cell>
          <cell r="M71">
            <v>0.45</v>
          </cell>
          <cell r="N71">
            <v>0.4</v>
          </cell>
          <cell r="O71">
            <v>0.45</v>
          </cell>
          <cell r="P71">
            <v>0.55000000000000004</v>
          </cell>
          <cell r="Q71">
            <v>0.55000000000000004</v>
          </cell>
          <cell r="R71">
            <v>0.4</v>
          </cell>
        </row>
        <row r="72">
          <cell r="B72">
            <v>38473</v>
          </cell>
          <cell r="C72">
            <v>0.45</v>
          </cell>
          <cell r="D72">
            <v>0.5</v>
          </cell>
          <cell r="E72">
            <v>0.4</v>
          </cell>
          <cell r="F72">
            <v>0.4</v>
          </cell>
          <cell r="G72">
            <v>0.45</v>
          </cell>
          <cell r="H72">
            <v>0.5</v>
          </cell>
          <cell r="I72">
            <v>0.45</v>
          </cell>
          <cell r="J72">
            <v>0.4</v>
          </cell>
          <cell r="K72">
            <v>0.45</v>
          </cell>
          <cell r="L72">
            <v>0.45</v>
          </cell>
          <cell r="M72">
            <v>0.5</v>
          </cell>
          <cell r="N72">
            <v>0.45</v>
          </cell>
          <cell r="O72">
            <v>0.5</v>
          </cell>
          <cell r="P72">
            <v>0.6</v>
          </cell>
          <cell r="Q72">
            <v>0.5</v>
          </cell>
          <cell r="R72">
            <v>0.45</v>
          </cell>
        </row>
        <row r="73">
          <cell r="B73">
            <v>38504</v>
          </cell>
          <cell r="C73">
            <v>0.45</v>
          </cell>
          <cell r="D73">
            <v>0.5</v>
          </cell>
          <cell r="E73">
            <v>0.4</v>
          </cell>
          <cell r="F73">
            <v>0.5</v>
          </cell>
          <cell r="G73">
            <v>0.45</v>
          </cell>
          <cell r="H73">
            <v>0.5</v>
          </cell>
          <cell r="I73">
            <v>0.5</v>
          </cell>
          <cell r="J73">
            <v>0.5</v>
          </cell>
          <cell r="K73">
            <v>0.5</v>
          </cell>
          <cell r="L73">
            <v>0.45</v>
          </cell>
          <cell r="M73">
            <v>0.5</v>
          </cell>
          <cell r="N73">
            <v>0.45</v>
          </cell>
          <cell r="O73">
            <v>0.5</v>
          </cell>
          <cell r="P73">
            <v>0.6</v>
          </cell>
          <cell r="Q73">
            <v>0.6</v>
          </cell>
          <cell r="R73">
            <v>0.45</v>
          </cell>
        </row>
        <row r="74">
          <cell r="B74">
            <v>38534</v>
          </cell>
          <cell r="C74">
            <v>0.5</v>
          </cell>
          <cell r="D74">
            <v>0.5</v>
          </cell>
          <cell r="E74">
            <v>0.4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  <cell r="L74">
            <v>0.5</v>
          </cell>
          <cell r="M74">
            <v>0.55000000000000004</v>
          </cell>
          <cell r="N74">
            <v>0.5</v>
          </cell>
          <cell r="O74">
            <v>0.5</v>
          </cell>
          <cell r="P74">
            <v>0.65</v>
          </cell>
          <cell r="Q74">
            <v>0.6</v>
          </cell>
          <cell r="R74">
            <v>0.5</v>
          </cell>
        </row>
        <row r="75">
          <cell r="B75">
            <v>38565</v>
          </cell>
          <cell r="C75">
            <v>0.55000000000000004</v>
          </cell>
          <cell r="D75">
            <v>0.55000000000000004</v>
          </cell>
          <cell r="E75">
            <v>0.5</v>
          </cell>
          <cell r="F75">
            <v>0.6</v>
          </cell>
          <cell r="G75">
            <v>0.55000000000000004</v>
          </cell>
          <cell r="H75">
            <v>0.6</v>
          </cell>
          <cell r="I75">
            <v>0.55000000000000004</v>
          </cell>
          <cell r="J75">
            <v>0.6</v>
          </cell>
          <cell r="K75">
            <v>0.45</v>
          </cell>
          <cell r="L75">
            <v>0.55000000000000004</v>
          </cell>
          <cell r="M75">
            <v>0.6</v>
          </cell>
          <cell r="N75">
            <v>0.55000000000000004</v>
          </cell>
          <cell r="O75">
            <v>0.6</v>
          </cell>
          <cell r="P75">
            <v>0.7</v>
          </cell>
          <cell r="Q75">
            <v>0.7</v>
          </cell>
          <cell r="R75">
            <v>0.55000000000000004</v>
          </cell>
        </row>
        <row r="76">
          <cell r="B76">
            <v>38596</v>
          </cell>
          <cell r="C76">
            <v>0.55000000000000004</v>
          </cell>
          <cell r="D76">
            <v>0.55000000000000004</v>
          </cell>
          <cell r="E76">
            <v>0.55000000000000004</v>
          </cell>
          <cell r="F76">
            <v>0.55000000000000004</v>
          </cell>
          <cell r="G76">
            <v>0.55000000000000004</v>
          </cell>
          <cell r="H76">
            <v>0.6</v>
          </cell>
          <cell r="I76">
            <v>0.6</v>
          </cell>
          <cell r="J76">
            <v>0.55000000000000004</v>
          </cell>
          <cell r="K76">
            <v>0.5</v>
          </cell>
          <cell r="L76">
            <v>0.55000000000000004</v>
          </cell>
          <cell r="M76">
            <v>0.6</v>
          </cell>
          <cell r="N76">
            <v>0.55000000000000004</v>
          </cell>
          <cell r="O76">
            <v>0.6</v>
          </cell>
          <cell r="P76">
            <v>0.7</v>
          </cell>
          <cell r="Q76">
            <v>0.65</v>
          </cell>
          <cell r="R76">
            <v>0.55000000000000004</v>
          </cell>
        </row>
        <row r="77">
          <cell r="B77">
            <v>38626</v>
          </cell>
          <cell r="C77">
            <v>0.6</v>
          </cell>
          <cell r="D77">
            <v>0.6</v>
          </cell>
          <cell r="E77">
            <v>0.55000000000000004</v>
          </cell>
          <cell r="F77">
            <v>0.6</v>
          </cell>
          <cell r="G77">
            <v>0.6</v>
          </cell>
          <cell r="H77">
            <v>0.65</v>
          </cell>
          <cell r="I77">
            <v>0.65</v>
          </cell>
          <cell r="J77">
            <v>0.6</v>
          </cell>
          <cell r="K77">
            <v>0.5</v>
          </cell>
          <cell r="L77">
            <v>0.6</v>
          </cell>
          <cell r="M77">
            <v>0.65</v>
          </cell>
          <cell r="N77">
            <v>0.6</v>
          </cell>
          <cell r="O77">
            <v>0.65</v>
          </cell>
          <cell r="P77">
            <v>0.75</v>
          </cell>
          <cell r="Q77">
            <v>0.7</v>
          </cell>
          <cell r="R77">
            <v>0.6</v>
          </cell>
        </row>
        <row r="78">
          <cell r="B78">
            <v>38657</v>
          </cell>
          <cell r="C78">
            <v>0.8</v>
          </cell>
          <cell r="D78">
            <v>0.85</v>
          </cell>
          <cell r="E78">
            <v>0.8</v>
          </cell>
          <cell r="F78">
            <v>0.8</v>
          </cell>
          <cell r="G78">
            <v>0.9</v>
          </cell>
          <cell r="H78">
            <v>0.95</v>
          </cell>
          <cell r="I78">
            <v>0.85</v>
          </cell>
          <cell r="J78">
            <v>0.8</v>
          </cell>
          <cell r="K78">
            <v>0.95</v>
          </cell>
          <cell r="L78">
            <v>0.8</v>
          </cell>
          <cell r="M78">
            <v>0.8</v>
          </cell>
          <cell r="N78">
            <v>0.8</v>
          </cell>
          <cell r="O78">
            <v>0.95</v>
          </cell>
          <cell r="P78">
            <v>0.95</v>
          </cell>
          <cell r="Q78">
            <v>0.9</v>
          </cell>
          <cell r="R78">
            <v>0.8</v>
          </cell>
        </row>
        <row r="79">
          <cell r="B79">
            <v>38687</v>
          </cell>
          <cell r="C79">
            <v>1</v>
          </cell>
          <cell r="D79">
            <v>1.05</v>
          </cell>
          <cell r="E79">
            <v>1</v>
          </cell>
          <cell r="F79">
            <v>1</v>
          </cell>
          <cell r="G79">
            <v>1.1499999999999999</v>
          </cell>
          <cell r="H79">
            <v>1.25</v>
          </cell>
          <cell r="I79">
            <v>1.05</v>
          </cell>
          <cell r="J79">
            <v>1</v>
          </cell>
          <cell r="K79">
            <v>1.35</v>
          </cell>
          <cell r="L79">
            <v>1</v>
          </cell>
          <cell r="M79">
            <v>1.1000000000000001</v>
          </cell>
          <cell r="N79">
            <v>1</v>
          </cell>
          <cell r="O79">
            <v>1.25</v>
          </cell>
          <cell r="P79">
            <v>1.1499999999999999</v>
          </cell>
          <cell r="Q79">
            <v>1.1000000000000001</v>
          </cell>
          <cell r="R79">
            <v>1</v>
          </cell>
        </row>
        <row r="80">
          <cell r="B80">
            <v>38718</v>
          </cell>
          <cell r="C80">
            <v>1</v>
          </cell>
          <cell r="D80">
            <v>1.05</v>
          </cell>
          <cell r="E80">
            <v>1</v>
          </cell>
          <cell r="F80">
            <v>1</v>
          </cell>
          <cell r="G80">
            <v>1.1499999999999999</v>
          </cell>
          <cell r="H80">
            <v>1.45</v>
          </cell>
          <cell r="I80">
            <v>1.05</v>
          </cell>
          <cell r="J80">
            <v>1</v>
          </cell>
          <cell r="K80">
            <v>1.35</v>
          </cell>
          <cell r="L80">
            <v>1</v>
          </cell>
          <cell r="M80">
            <v>1.1000000000000001</v>
          </cell>
          <cell r="N80">
            <v>1</v>
          </cell>
          <cell r="O80">
            <v>1.45</v>
          </cell>
          <cell r="P80">
            <v>1.1499999999999999</v>
          </cell>
          <cell r="Q80">
            <v>1.1000000000000001</v>
          </cell>
          <cell r="R80">
            <v>1</v>
          </cell>
        </row>
        <row r="81">
          <cell r="B81">
            <v>38749</v>
          </cell>
          <cell r="C81">
            <v>1</v>
          </cell>
          <cell r="D81">
            <v>1.05</v>
          </cell>
          <cell r="E81">
            <v>1</v>
          </cell>
          <cell r="F81">
            <v>1</v>
          </cell>
          <cell r="G81">
            <v>1.1499999999999999</v>
          </cell>
          <cell r="H81">
            <v>1.45</v>
          </cell>
          <cell r="I81">
            <v>1.05</v>
          </cell>
          <cell r="J81">
            <v>1</v>
          </cell>
          <cell r="K81">
            <v>1.35</v>
          </cell>
          <cell r="L81">
            <v>1</v>
          </cell>
          <cell r="M81">
            <v>1.1000000000000001</v>
          </cell>
          <cell r="N81">
            <v>1</v>
          </cell>
          <cell r="O81">
            <v>1.45</v>
          </cell>
          <cell r="P81">
            <v>1.1499999999999999</v>
          </cell>
          <cell r="Q81">
            <v>1.1000000000000001</v>
          </cell>
          <cell r="R81">
            <v>1</v>
          </cell>
        </row>
        <row r="82">
          <cell r="B82">
            <v>38777</v>
          </cell>
          <cell r="C82">
            <v>0.75</v>
          </cell>
          <cell r="D82">
            <v>0.8</v>
          </cell>
          <cell r="E82">
            <v>0.75</v>
          </cell>
          <cell r="F82">
            <v>0.75</v>
          </cell>
          <cell r="G82">
            <v>0.85</v>
          </cell>
          <cell r="H82">
            <v>1</v>
          </cell>
          <cell r="I82">
            <v>0.75</v>
          </cell>
          <cell r="J82">
            <v>0.75</v>
          </cell>
          <cell r="K82">
            <v>0.95</v>
          </cell>
          <cell r="L82">
            <v>0.75</v>
          </cell>
          <cell r="M82">
            <v>0.75</v>
          </cell>
          <cell r="N82">
            <v>0.75</v>
          </cell>
          <cell r="O82">
            <v>1</v>
          </cell>
          <cell r="P82">
            <v>0.9</v>
          </cell>
          <cell r="Q82">
            <v>0.85</v>
          </cell>
          <cell r="R82">
            <v>0.75</v>
          </cell>
        </row>
        <row r="83">
          <cell r="B83">
            <v>38808</v>
          </cell>
          <cell r="C83">
            <v>0.4</v>
          </cell>
          <cell r="D83">
            <v>0.45</v>
          </cell>
          <cell r="E83">
            <v>0.4</v>
          </cell>
          <cell r="F83">
            <v>0.45</v>
          </cell>
          <cell r="G83">
            <v>0.45</v>
          </cell>
          <cell r="H83">
            <v>0.45</v>
          </cell>
          <cell r="I83">
            <v>0.45</v>
          </cell>
          <cell r="J83">
            <v>0.45</v>
          </cell>
          <cell r="K83">
            <v>0.5</v>
          </cell>
          <cell r="L83">
            <v>0.4</v>
          </cell>
          <cell r="M83">
            <v>0.45</v>
          </cell>
          <cell r="N83">
            <v>0.4</v>
          </cell>
          <cell r="O83">
            <v>0.45</v>
          </cell>
          <cell r="P83">
            <v>0.55000000000000004</v>
          </cell>
          <cell r="Q83">
            <v>0.55000000000000004</v>
          </cell>
          <cell r="R83">
            <v>0.4</v>
          </cell>
        </row>
        <row r="84">
          <cell r="B84">
            <v>38838</v>
          </cell>
          <cell r="C84">
            <v>0.45</v>
          </cell>
          <cell r="D84">
            <v>0.5</v>
          </cell>
          <cell r="E84">
            <v>0.4</v>
          </cell>
          <cell r="F84">
            <v>0.4</v>
          </cell>
          <cell r="G84">
            <v>0.45</v>
          </cell>
          <cell r="H84">
            <v>0.5</v>
          </cell>
          <cell r="I84">
            <v>0.45</v>
          </cell>
          <cell r="J84">
            <v>0.4</v>
          </cell>
          <cell r="K84">
            <v>0.45</v>
          </cell>
          <cell r="L84">
            <v>0.45</v>
          </cell>
          <cell r="M84">
            <v>0.5</v>
          </cell>
          <cell r="N84">
            <v>0.45</v>
          </cell>
          <cell r="O84">
            <v>0.5</v>
          </cell>
          <cell r="P84">
            <v>0.6</v>
          </cell>
          <cell r="Q84">
            <v>0.5</v>
          </cell>
          <cell r="R84">
            <v>0.45</v>
          </cell>
        </row>
        <row r="85">
          <cell r="B85">
            <v>38869</v>
          </cell>
          <cell r="C85">
            <v>0.45</v>
          </cell>
          <cell r="D85">
            <v>0.5</v>
          </cell>
          <cell r="E85">
            <v>0.4</v>
          </cell>
          <cell r="F85">
            <v>0.5</v>
          </cell>
          <cell r="G85">
            <v>0.45</v>
          </cell>
          <cell r="H85">
            <v>0.5</v>
          </cell>
          <cell r="I85">
            <v>0.5</v>
          </cell>
          <cell r="J85">
            <v>0.5</v>
          </cell>
          <cell r="K85">
            <v>0.5</v>
          </cell>
          <cell r="L85">
            <v>0.45</v>
          </cell>
          <cell r="M85">
            <v>0.5</v>
          </cell>
          <cell r="N85">
            <v>0.45</v>
          </cell>
          <cell r="O85">
            <v>0.5</v>
          </cell>
          <cell r="P85">
            <v>0.6</v>
          </cell>
          <cell r="Q85">
            <v>0.6</v>
          </cell>
          <cell r="R85">
            <v>0.45</v>
          </cell>
        </row>
        <row r="86">
          <cell r="B86">
            <v>38899</v>
          </cell>
          <cell r="C86">
            <v>0.5</v>
          </cell>
          <cell r="D86">
            <v>0.5</v>
          </cell>
          <cell r="E86">
            <v>0.4</v>
          </cell>
          <cell r="F86">
            <v>0.5</v>
          </cell>
          <cell r="G86">
            <v>0.5</v>
          </cell>
          <cell r="H86">
            <v>0.5</v>
          </cell>
          <cell r="I86">
            <v>0.5</v>
          </cell>
          <cell r="J86">
            <v>0.5</v>
          </cell>
          <cell r="K86">
            <v>0.5</v>
          </cell>
          <cell r="L86">
            <v>0.5</v>
          </cell>
          <cell r="M86">
            <v>0.55000000000000004</v>
          </cell>
          <cell r="N86">
            <v>0.5</v>
          </cell>
          <cell r="O86">
            <v>0.5</v>
          </cell>
          <cell r="P86">
            <v>0.65</v>
          </cell>
          <cell r="Q86">
            <v>0.6</v>
          </cell>
          <cell r="R86">
            <v>0.5</v>
          </cell>
        </row>
        <row r="87">
          <cell r="B87">
            <v>38930</v>
          </cell>
          <cell r="C87">
            <v>0.55000000000000004</v>
          </cell>
          <cell r="D87">
            <v>0.55000000000000004</v>
          </cell>
          <cell r="E87">
            <v>0.5</v>
          </cell>
          <cell r="F87">
            <v>0.6</v>
          </cell>
          <cell r="G87">
            <v>0.55000000000000004</v>
          </cell>
          <cell r="H87">
            <v>0.6</v>
          </cell>
          <cell r="I87">
            <v>0.55000000000000004</v>
          </cell>
          <cell r="J87">
            <v>0.6</v>
          </cell>
          <cell r="K87">
            <v>0.45</v>
          </cell>
          <cell r="L87">
            <v>0.55000000000000004</v>
          </cell>
          <cell r="M87">
            <v>0.6</v>
          </cell>
          <cell r="N87">
            <v>0.55000000000000004</v>
          </cell>
          <cell r="O87">
            <v>0.6</v>
          </cell>
          <cell r="P87">
            <v>0.7</v>
          </cell>
          <cell r="Q87">
            <v>0.7</v>
          </cell>
          <cell r="R87">
            <v>0.55000000000000004</v>
          </cell>
        </row>
        <row r="88">
          <cell r="B88">
            <v>38961</v>
          </cell>
          <cell r="C88">
            <v>0.55000000000000004</v>
          </cell>
          <cell r="D88">
            <v>0.55000000000000004</v>
          </cell>
          <cell r="E88">
            <v>0.55000000000000004</v>
          </cell>
          <cell r="F88">
            <v>0.55000000000000004</v>
          </cell>
          <cell r="G88">
            <v>0.55000000000000004</v>
          </cell>
          <cell r="H88">
            <v>0.6</v>
          </cell>
          <cell r="I88">
            <v>0.6</v>
          </cell>
          <cell r="J88">
            <v>0.55000000000000004</v>
          </cell>
          <cell r="K88">
            <v>0.5</v>
          </cell>
          <cell r="L88">
            <v>0.55000000000000004</v>
          </cell>
          <cell r="M88">
            <v>0.6</v>
          </cell>
          <cell r="N88">
            <v>0.55000000000000004</v>
          </cell>
          <cell r="O88">
            <v>0.6</v>
          </cell>
          <cell r="P88">
            <v>0.7</v>
          </cell>
          <cell r="Q88">
            <v>0.65</v>
          </cell>
          <cell r="R88">
            <v>0.55000000000000004</v>
          </cell>
        </row>
        <row r="89">
          <cell r="B89">
            <v>38991</v>
          </cell>
          <cell r="C89">
            <v>0.6</v>
          </cell>
          <cell r="D89">
            <v>0.6</v>
          </cell>
          <cell r="E89">
            <v>0.55000000000000004</v>
          </cell>
          <cell r="F89">
            <v>0.6</v>
          </cell>
          <cell r="G89">
            <v>0.6</v>
          </cell>
          <cell r="H89">
            <v>0.65</v>
          </cell>
          <cell r="I89">
            <v>0.65</v>
          </cell>
          <cell r="J89">
            <v>0.6</v>
          </cell>
          <cell r="K89">
            <v>0.5</v>
          </cell>
          <cell r="L89">
            <v>0.6</v>
          </cell>
          <cell r="M89">
            <v>0.65</v>
          </cell>
          <cell r="N89">
            <v>0.6</v>
          </cell>
          <cell r="O89">
            <v>0.65</v>
          </cell>
          <cell r="P89">
            <v>0.75</v>
          </cell>
          <cell r="Q89">
            <v>0.7</v>
          </cell>
          <cell r="R89">
            <v>0.6</v>
          </cell>
        </row>
        <row r="90">
          <cell r="B90">
            <v>39022</v>
          </cell>
          <cell r="C90">
            <v>0.8</v>
          </cell>
          <cell r="D90">
            <v>0.85</v>
          </cell>
          <cell r="E90">
            <v>0.8</v>
          </cell>
          <cell r="F90">
            <v>0.8</v>
          </cell>
          <cell r="G90">
            <v>0.9</v>
          </cell>
          <cell r="H90">
            <v>0.95</v>
          </cell>
          <cell r="I90">
            <v>0.85</v>
          </cell>
          <cell r="J90">
            <v>0.8</v>
          </cell>
          <cell r="K90">
            <v>0.95</v>
          </cell>
          <cell r="L90">
            <v>0.8</v>
          </cell>
          <cell r="M90">
            <v>0.8</v>
          </cell>
          <cell r="N90">
            <v>0.8</v>
          </cell>
          <cell r="O90">
            <v>0.95</v>
          </cell>
          <cell r="P90">
            <v>0.95</v>
          </cell>
          <cell r="Q90">
            <v>0.9</v>
          </cell>
          <cell r="R90">
            <v>0.8</v>
          </cell>
        </row>
        <row r="91">
          <cell r="B91">
            <v>39052</v>
          </cell>
          <cell r="C91">
            <v>1</v>
          </cell>
          <cell r="D91">
            <v>1.05</v>
          </cell>
          <cell r="E91">
            <v>1</v>
          </cell>
          <cell r="F91">
            <v>1</v>
          </cell>
          <cell r="G91">
            <v>1.1499999999999999</v>
          </cell>
          <cell r="H91">
            <v>1.25</v>
          </cell>
          <cell r="I91">
            <v>1.05</v>
          </cell>
          <cell r="J91">
            <v>1</v>
          </cell>
          <cell r="K91">
            <v>1.35</v>
          </cell>
          <cell r="L91">
            <v>1</v>
          </cell>
          <cell r="M91">
            <v>1.1000000000000001</v>
          </cell>
          <cell r="N91">
            <v>1</v>
          </cell>
          <cell r="O91">
            <v>1.25</v>
          </cell>
          <cell r="P91">
            <v>1.1499999999999999</v>
          </cell>
          <cell r="Q91">
            <v>1.1000000000000001</v>
          </cell>
          <cell r="R91">
            <v>1</v>
          </cell>
        </row>
        <row r="92">
          <cell r="B92">
            <v>39083</v>
          </cell>
          <cell r="C92">
            <v>1</v>
          </cell>
          <cell r="D92">
            <v>1.05</v>
          </cell>
          <cell r="E92">
            <v>1</v>
          </cell>
          <cell r="F92">
            <v>1</v>
          </cell>
          <cell r="G92">
            <v>1.1499999999999999</v>
          </cell>
          <cell r="H92">
            <v>1.45</v>
          </cell>
          <cell r="I92">
            <v>1.05</v>
          </cell>
          <cell r="J92">
            <v>1</v>
          </cell>
          <cell r="K92">
            <v>1.35</v>
          </cell>
          <cell r="L92">
            <v>1</v>
          </cell>
          <cell r="M92">
            <v>1.1000000000000001</v>
          </cell>
          <cell r="N92">
            <v>1</v>
          </cell>
          <cell r="O92">
            <v>1.45</v>
          </cell>
          <cell r="P92">
            <v>1.1499999999999999</v>
          </cell>
          <cell r="Q92">
            <v>1.1000000000000001</v>
          </cell>
          <cell r="R92">
            <v>1</v>
          </cell>
        </row>
        <row r="93">
          <cell r="B93">
            <v>39114</v>
          </cell>
          <cell r="C93">
            <v>1</v>
          </cell>
          <cell r="D93">
            <v>1.05</v>
          </cell>
          <cell r="E93">
            <v>1</v>
          </cell>
          <cell r="F93">
            <v>1</v>
          </cell>
          <cell r="G93">
            <v>1.1499999999999999</v>
          </cell>
          <cell r="H93">
            <v>1.45</v>
          </cell>
          <cell r="I93">
            <v>1.05</v>
          </cell>
          <cell r="J93">
            <v>1</v>
          </cell>
          <cell r="K93">
            <v>1.35</v>
          </cell>
          <cell r="L93">
            <v>1</v>
          </cell>
          <cell r="M93">
            <v>1.1000000000000001</v>
          </cell>
          <cell r="N93">
            <v>1</v>
          </cell>
          <cell r="O93">
            <v>1.45</v>
          </cell>
          <cell r="P93">
            <v>1.1499999999999999</v>
          </cell>
          <cell r="Q93">
            <v>1.1000000000000001</v>
          </cell>
          <cell r="R93">
            <v>1</v>
          </cell>
        </row>
        <row r="94">
          <cell r="B94">
            <v>39142</v>
          </cell>
          <cell r="C94">
            <v>0.75</v>
          </cell>
          <cell r="D94">
            <v>0.8</v>
          </cell>
          <cell r="E94">
            <v>0.75</v>
          </cell>
          <cell r="F94">
            <v>0.75</v>
          </cell>
          <cell r="G94">
            <v>0.85</v>
          </cell>
          <cell r="H94">
            <v>1</v>
          </cell>
          <cell r="I94">
            <v>0.75</v>
          </cell>
          <cell r="J94">
            <v>0.75</v>
          </cell>
          <cell r="K94">
            <v>0.95</v>
          </cell>
          <cell r="L94">
            <v>0.75</v>
          </cell>
          <cell r="M94">
            <v>0.75</v>
          </cell>
          <cell r="N94">
            <v>0.75</v>
          </cell>
          <cell r="O94">
            <v>1</v>
          </cell>
          <cell r="P94">
            <v>0.9</v>
          </cell>
          <cell r="Q94">
            <v>0.85</v>
          </cell>
          <cell r="R94">
            <v>0.75</v>
          </cell>
        </row>
        <row r="95">
          <cell r="B95">
            <v>39173</v>
          </cell>
          <cell r="C95">
            <v>0.4</v>
          </cell>
          <cell r="D95">
            <v>0.45</v>
          </cell>
          <cell r="E95">
            <v>0.4</v>
          </cell>
          <cell r="F95">
            <v>0.45</v>
          </cell>
          <cell r="G95">
            <v>0.45</v>
          </cell>
          <cell r="H95">
            <v>0.45</v>
          </cell>
          <cell r="I95">
            <v>0.45</v>
          </cell>
          <cell r="J95">
            <v>0.45</v>
          </cell>
          <cell r="K95">
            <v>0.5</v>
          </cell>
          <cell r="L95">
            <v>0.4</v>
          </cell>
          <cell r="M95">
            <v>0.45</v>
          </cell>
          <cell r="N95">
            <v>0.4</v>
          </cell>
          <cell r="O95">
            <v>0.45</v>
          </cell>
          <cell r="P95">
            <v>0.55000000000000004</v>
          </cell>
          <cell r="Q95">
            <v>0.55000000000000004</v>
          </cell>
          <cell r="R95">
            <v>0.4</v>
          </cell>
        </row>
        <row r="96">
          <cell r="B96">
            <v>39203</v>
          </cell>
          <cell r="C96">
            <v>0.45</v>
          </cell>
          <cell r="D96">
            <v>0.5</v>
          </cell>
          <cell r="E96">
            <v>0.4</v>
          </cell>
          <cell r="F96">
            <v>0.4</v>
          </cell>
          <cell r="G96">
            <v>0.45</v>
          </cell>
          <cell r="H96">
            <v>0.5</v>
          </cell>
          <cell r="I96">
            <v>0.45</v>
          </cell>
          <cell r="J96">
            <v>0.4</v>
          </cell>
          <cell r="K96">
            <v>0.45</v>
          </cell>
          <cell r="L96">
            <v>0.45</v>
          </cell>
          <cell r="M96">
            <v>0.5</v>
          </cell>
          <cell r="N96">
            <v>0.45</v>
          </cell>
          <cell r="O96">
            <v>0.5</v>
          </cell>
          <cell r="P96">
            <v>0.6</v>
          </cell>
          <cell r="Q96">
            <v>0.5</v>
          </cell>
          <cell r="R96">
            <v>0.45</v>
          </cell>
        </row>
        <row r="97">
          <cell r="B97">
            <v>39234</v>
          </cell>
          <cell r="C97">
            <v>0.45</v>
          </cell>
          <cell r="D97">
            <v>0.5</v>
          </cell>
          <cell r="E97">
            <v>0.4</v>
          </cell>
          <cell r="F97">
            <v>0.5</v>
          </cell>
          <cell r="G97">
            <v>0.45</v>
          </cell>
          <cell r="H97">
            <v>0.5</v>
          </cell>
          <cell r="I97">
            <v>0.5</v>
          </cell>
          <cell r="J97">
            <v>0.5</v>
          </cell>
          <cell r="K97">
            <v>0.5</v>
          </cell>
          <cell r="L97">
            <v>0.45</v>
          </cell>
          <cell r="M97">
            <v>0.5</v>
          </cell>
          <cell r="N97">
            <v>0.45</v>
          </cell>
          <cell r="O97">
            <v>0.5</v>
          </cell>
          <cell r="P97">
            <v>0.6</v>
          </cell>
          <cell r="Q97">
            <v>0.6</v>
          </cell>
          <cell r="R97">
            <v>0.45</v>
          </cell>
        </row>
        <row r="98">
          <cell r="B98">
            <v>39264</v>
          </cell>
          <cell r="C98">
            <v>0.5</v>
          </cell>
          <cell r="D98">
            <v>0.5</v>
          </cell>
          <cell r="E98">
            <v>0.4</v>
          </cell>
          <cell r="F98">
            <v>0.5</v>
          </cell>
          <cell r="G98">
            <v>0.5</v>
          </cell>
          <cell r="H98">
            <v>0.5</v>
          </cell>
          <cell r="I98">
            <v>0.5</v>
          </cell>
          <cell r="J98">
            <v>0.5</v>
          </cell>
          <cell r="K98">
            <v>0.5</v>
          </cell>
          <cell r="L98">
            <v>0.5</v>
          </cell>
          <cell r="M98">
            <v>0.55000000000000004</v>
          </cell>
          <cell r="N98">
            <v>0.5</v>
          </cell>
          <cell r="O98">
            <v>0.5</v>
          </cell>
          <cell r="P98">
            <v>0.65</v>
          </cell>
          <cell r="Q98">
            <v>0.6</v>
          </cell>
          <cell r="R98">
            <v>0.5</v>
          </cell>
        </row>
        <row r="99">
          <cell r="B99">
            <v>39295</v>
          </cell>
          <cell r="C99">
            <v>0.55000000000000004</v>
          </cell>
          <cell r="D99">
            <v>0.55000000000000004</v>
          </cell>
          <cell r="E99">
            <v>0.5</v>
          </cell>
          <cell r="F99">
            <v>0.6</v>
          </cell>
          <cell r="G99">
            <v>0.55000000000000004</v>
          </cell>
          <cell r="H99">
            <v>0.6</v>
          </cell>
          <cell r="I99">
            <v>0.55000000000000004</v>
          </cell>
          <cell r="J99">
            <v>0.6</v>
          </cell>
          <cell r="K99">
            <v>0.45</v>
          </cell>
          <cell r="L99">
            <v>0.55000000000000004</v>
          </cell>
          <cell r="M99">
            <v>0.6</v>
          </cell>
          <cell r="N99">
            <v>0.55000000000000004</v>
          </cell>
          <cell r="O99">
            <v>0.6</v>
          </cell>
          <cell r="P99">
            <v>0.7</v>
          </cell>
          <cell r="Q99">
            <v>0.7</v>
          </cell>
          <cell r="R99">
            <v>0.55000000000000004</v>
          </cell>
        </row>
        <row r="100">
          <cell r="B100">
            <v>39326</v>
          </cell>
          <cell r="C100">
            <v>0.55000000000000004</v>
          </cell>
          <cell r="D100">
            <v>0.55000000000000004</v>
          </cell>
          <cell r="E100">
            <v>0.55000000000000004</v>
          </cell>
          <cell r="F100">
            <v>0.55000000000000004</v>
          </cell>
          <cell r="G100">
            <v>0.55000000000000004</v>
          </cell>
          <cell r="H100">
            <v>0.6</v>
          </cell>
          <cell r="I100">
            <v>0.6</v>
          </cell>
          <cell r="J100">
            <v>0.55000000000000004</v>
          </cell>
          <cell r="K100">
            <v>0.5</v>
          </cell>
          <cell r="L100">
            <v>0.55000000000000004</v>
          </cell>
          <cell r="M100">
            <v>0.6</v>
          </cell>
          <cell r="N100">
            <v>0.55000000000000004</v>
          </cell>
          <cell r="O100">
            <v>0.6</v>
          </cell>
          <cell r="P100">
            <v>0.7</v>
          </cell>
          <cell r="Q100">
            <v>0.65</v>
          </cell>
          <cell r="R100">
            <v>0.55000000000000004</v>
          </cell>
        </row>
        <row r="101">
          <cell r="B101">
            <v>39356</v>
          </cell>
          <cell r="C101">
            <v>0.6</v>
          </cell>
          <cell r="D101">
            <v>0.6</v>
          </cell>
          <cell r="E101">
            <v>0.55000000000000004</v>
          </cell>
          <cell r="F101">
            <v>0.6</v>
          </cell>
          <cell r="G101">
            <v>0.6</v>
          </cell>
          <cell r="H101">
            <v>0.65</v>
          </cell>
          <cell r="I101">
            <v>0.65</v>
          </cell>
          <cell r="J101">
            <v>0.6</v>
          </cell>
          <cell r="K101">
            <v>0.5</v>
          </cell>
          <cell r="L101">
            <v>0.6</v>
          </cell>
          <cell r="M101">
            <v>0.65</v>
          </cell>
          <cell r="N101">
            <v>0.6</v>
          </cell>
          <cell r="O101">
            <v>0.65</v>
          </cell>
          <cell r="P101">
            <v>0.75</v>
          </cell>
          <cell r="Q101">
            <v>0.7</v>
          </cell>
          <cell r="R101">
            <v>0.6</v>
          </cell>
        </row>
        <row r="102">
          <cell r="B102">
            <v>39387</v>
          </cell>
          <cell r="C102">
            <v>0.8</v>
          </cell>
          <cell r="D102">
            <v>0.85</v>
          </cell>
          <cell r="E102">
            <v>0.8</v>
          </cell>
          <cell r="F102">
            <v>0.8</v>
          </cell>
          <cell r="G102">
            <v>0.9</v>
          </cell>
          <cell r="H102">
            <v>0.95</v>
          </cell>
          <cell r="I102">
            <v>0.85</v>
          </cell>
          <cell r="J102">
            <v>0.8</v>
          </cell>
          <cell r="K102">
            <v>0.95</v>
          </cell>
          <cell r="L102">
            <v>0.8</v>
          </cell>
          <cell r="M102">
            <v>0.8</v>
          </cell>
          <cell r="N102">
            <v>0.8</v>
          </cell>
          <cell r="O102">
            <v>0.95</v>
          </cell>
          <cell r="P102">
            <v>0.95</v>
          </cell>
          <cell r="Q102">
            <v>0.9</v>
          </cell>
          <cell r="R102">
            <v>0.8</v>
          </cell>
        </row>
        <row r="103">
          <cell r="B103">
            <v>39417</v>
          </cell>
          <cell r="C103">
            <v>1</v>
          </cell>
          <cell r="D103">
            <v>1.05</v>
          </cell>
          <cell r="E103">
            <v>1</v>
          </cell>
          <cell r="F103">
            <v>1</v>
          </cell>
          <cell r="G103">
            <v>1.1499999999999999</v>
          </cell>
          <cell r="H103">
            <v>1.25</v>
          </cell>
          <cell r="I103">
            <v>1.05</v>
          </cell>
          <cell r="J103">
            <v>1</v>
          </cell>
          <cell r="K103">
            <v>1.35</v>
          </cell>
          <cell r="L103">
            <v>1</v>
          </cell>
          <cell r="M103">
            <v>1.1000000000000001</v>
          </cell>
          <cell r="N103">
            <v>1</v>
          </cell>
          <cell r="O103">
            <v>1.25</v>
          </cell>
          <cell r="P103">
            <v>1.1499999999999999</v>
          </cell>
          <cell r="Q103">
            <v>1.1000000000000001</v>
          </cell>
          <cell r="R103">
            <v>1</v>
          </cell>
        </row>
        <row r="104">
          <cell r="B104">
            <v>39448</v>
          </cell>
          <cell r="C104">
            <v>1</v>
          </cell>
          <cell r="D104">
            <v>1.05</v>
          </cell>
          <cell r="E104">
            <v>1</v>
          </cell>
          <cell r="F104">
            <v>1</v>
          </cell>
          <cell r="G104">
            <v>1.1499999999999999</v>
          </cell>
          <cell r="H104">
            <v>1.45</v>
          </cell>
          <cell r="I104">
            <v>1.05</v>
          </cell>
          <cell r="J104">
            <v>1</v>
          </cell>
          <cell r="K104">
            <v>1.35</v>
          </cell>
          <cell r="L104">
            <v>1</v>
          </cell>
          <cell r="M104">
            <v>1.1000000000000001</v>
          </cell>
          <cell r="N104">
            <v>1</v>
          </cell>
          <cell r="O104">
            <v>1.45</v>
          </cell>
          <cell r="P104">
            <v>1.1499999999999999</v>
          </cell>
          <cell r="Q104">
            <v>1.1000000000000001</v>
          </cell>
          <cell r="R104">
            <v>1</v>
          </cell>
        </row>
        <row r="105">
          <cell r="B105">
            <v>39479</v>
          </cell>
          <cell r="C105">
            <v>1</v>
          </cell>
          <cell r="D105">
            <v>1.05</v>
          </cell>
          <cell r="E105">
            <v>1</v>
          </cell>
          <cell r="F105">
            <v>1</v>
          </cell>
          <cell r="G105">
            <v>1.1499999999999999</v>
          </cell>
          <cell r="H105">
            <v>1.45</v>
          </cell>
          <cell r="I105">
            <v>1.05</v>
          </cell>
          <cell r="J105">
            <v>1</v>
          </cell>
          <cell r="K105">
            <v>1.35</v>
          </cell>
          <cell r="L105">
            <v>1</v>
          </cell>
          <cell r="M105">
            <v>1.1000000000000001</v>
          </cell>
          <cell r="N105">
            <v>1</v>
          </cell>
          <cell r="O105">
            <v>1.45</v>
          </cell>
          <cell r="P105">
            <v>1.1499999999999999</v>
          </cell>
          <cell r="Q105">
            <v>1.1000000000000001</v>
          </cell>
          <cell r="R105">
            <v>1</v>
          </cell>
        </row>
        <row r="106">
          <cell r="B106">
            <v>39508</v>
          </cell>
          <cell r="C106">
            <v>0.75</v>
          </cell>
          <cell r="D106">
            <v>0.8</v>
          </cell>
          <cell r="E106">
            <v>0.75</v>
          </cell>
          <cell r="F106">
            <v>0.75</v>
          </cell>
          <cell r="G106">
            <v>0.85</v>
          </cell>
          <cell r="H106">
            <v>1</v>
          </cell>
          <cell r="I106">
            <v>0.75</v>
          </cell>
          <cell r="J106">
            <v>0.75</v>
          </cell>
          <cell r="K106">
            <v>0.95</v>
          </cell>
          <cell r="L106">
            <v>0.75</v>
          </cell>
          <cell r="M106">
            <v>0.75</v>
          </cell>
          <cell r="N106">
            <v>0.75</v>
          </cell>
          <cell r="O106">
            <v>1</v>
          </cell>
          <cell r="P106">
            <v>0.9</v>
          </cell>
          <cell r="Q106">
            <v>0.85</v>
          </cell>
          <cell r="R106">
            <v>0.75</v>
          </cell>
        </row>
        <row r="107">
          <cell r="B107">
            <v>39539</v>
          </cell>
          <cell r="C107">
            <v>0.4</v>
          </cell>
          <cell r="D107">
            <v>0.45</v>
          </cell>
          <cell r="E107">
            <v>0.4</v>
          </cell>
          <cell r="F107">
            <v>0.45</v>
          </cell>
          <cell r="G107">
            <v>0.45</v>
          </cell>
          <cell r="H107">
            <v>0.45</v>
          </cell>
          <cell r="I107">
            <v>0.45</v>
          </cell>
          <cell r="J107">
            <v>0.45</v>
          </cell>
          <cell r="K107">
            <v>0.5</v>
          </cell>
          <cell r="L107">
            <v>0.4</v>
          </cell>
          <cell r="M107">
            <v>0.45</v>
          </cell>
          <cell r="N107">
            <v>0.4</v>
          </cell>
          <cell r="O107">
            <v>0.45</v>
          </cell>
          <cell r="P107">
            <v>0.55000000000000004</v>
          </cell>
          <cell r="Q107">
            <v>0.55000000000000004</v>
          </cell>
          <cell r="R107">
            <v>0.4</v>
          </cell>
        </row>
        <row r="108">
          <cell r="B108">
            <v>39569</v>
          </cell>
          <cell r="C108">
            <v>0.45</v>
          </cell>
          <cell r="D108">
            <v>0.5</v>
          </cell>
          <cell r="E108">
            <v>0.4</v>
          </cell>
          <cell r="F108">
            <v>0.4</v>
          </cell>
          <cell r="G108">
            <v>0.45</v>
          </cell>
          <cell r="H108">
            <v>0.5</v>
          </cell>
          <cell r="I108">
            <v>0.45</v>
          </cell>
          <cell r="J108">
            <v>0.4</v>
          </cell>
          <cell r="K108">
            <v>0.45</v>
          </cell>
          <cell r="L108">
            <v>0.45</v>
          </cell>
          <cell r="M108">
            <v>0.5</v>
          </cell>
          <cell r="N108">
            <v>0.45</v>
          </cell>
          <cell r="O108">
            <v>0.5</v>
          </cell>
          <cell r="P108">
            <v>0.6</v>
          </cell>
          <cell r="Q108">
            <v>0.5</v>
          </cell>
          <cell r="R108">
            <v>0.45</v>
          </cell>
        </row>
        <row r="109">
          <cell r="B109">
            <v>39600</v>
          </cell>
          <cell r="C109">
            <v>0.45</v>
          </cell>
          <cell r="D109">
            <v>0.5</v>
          </cell>
          <cell r="E109">
            <v>0.4</v>
          </cell>
          <cell r="F109">
            <v>0.5</v>
          </cell>
          <cell r="G109">
            <v>0.45</v>
          </cell>
          <cell r="H109">
            <v>0.5</v>
          </cell>
          <cell r="I109">
            <v>0.5</v>
          </cell>
          <cell r="J109">
            <v>0.5</v>
          </cell>
          <cell r="K109">
            <v>0.5</v>
          </cell>
          <cell r="L109">
            <v>0.45</v>
          </cell>
          <cell r="M109">
            <v>0.5</v>
          </cell>
          <cell r="N109">
            <v>0.45</v>
          </cell>
          <cell r="O109">
            <v>0.5</v>
          </cell>
          <cell r="P109">
            <v>0.6</v>
          </cell>
          <cell r="Q109">
            <v>0.6</v>
          </cell>
          <cell r="R109">
            <v>0.45</v>
          </cell>
        </row>
        <row r="110">
          <cell r="B110">
            <v>39630</v>
          </cell>
          <cell r="C110">
            <v>0.5</v>
          </cell>
          <cell r="D110">
            <v>0.5</v>
          </cell>
          <cell r="E110">
            <v>0.4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0.55000000000000004</v>
          </cell>
          <cell r="N110">
            <v>0.5</v>
          </cell>
          <cell r="O110">
            <v>0.5</v>
          </cell>
          <cell r="P110">
            <v>0.65</v>
          </cell>
          <cell r="Q110">
            <v>0.6</v>
          </cell>
          <cell r="R110">
            <v>0.5</v>
          </cell>
        </row>
        <row r="111">
          <cell r="B111">
            <v>39661</v>
          </cell>
          <cell r="C111">
            <v>0.55000000000000004</v>
          </cell>
          <cell r="D111">
            <v>0.55000000000000004</v>
          </cell>
          <cell r="E111">
            <v>0.5</v>
          </cell>
          <cell r="F111">
            <v>0.6</v>
          </cell>
          <cell r="G111">
            <v>0.55000000000000004</v>
          </cell>
          <cell r="H111">
            <v>0.6</v>
          </cell>
          <cell r="I111">
            <v>0.55000000000000004</v>
          </cell>
          <cell r="J111">
            <v>0.6</v>
          </cell>
          <cell r="K111">
            <v>0.45</v>
          </cell>
          <cell r="L111">
            <v>0.55000000000000004</v>
          </cell>
          <cell r="M111">
            <v>0.6</v>
          </cell>
          <cell r="N111">
            <v>0.55000000000000004</v>
          </cell>
          <cell r="O111">
            <v>0.6</v>
          </cell>
          <cell r="P111">
            <v>0.7</v>
          </cell>
          <cell r="Q111">
            <v>0.7</v>
          </cell>
          <cell r="R111">
            <v>0.55000000000000004</v>
          </cell>
        </row>
        <row r="112">
          <cell r="B112">
            <v>39692</v>
          </cell>
          <cell r="C112">
            <v>0.55000000000000004</v>
          </cell>
          <cell r="D112">
            <v>0.55000000000000004</v>
          </cell>
          <cell r="E112">
            <v>0.55000000000000004</v>
          </cell>
          <cell r="F112">
            <v>0.55000000000000004</v>
          </cell>
          <cell r="G112">
            <v>0.55000000000000004</v>
          </cell>
          <cell r="H112">
            <v>0.6</v>
          </cell>
          <cell r="I112">
            <v>0.6</v>
          </cell>
          <cell r="J112">
            <v>0.55000000000000004</v>
          </cell>
          <cell r="K112">
            <v>0.5</v>
          </cell>
          <cell r="L112">
            <v>0.55000000000000004</v>
          </cell>
          <cell r="M112">
            <v>0.6</v>
          </cell>
          <cell r="N112">
            <v>0.55000000000000004</v>
          </cell>
          <cell r="O112">
            <v>0.6</v>
          </cell>
          <cell r="P112">
            <v>0.7</v>
          </cell>
          <cell r="Q112">
            <v>0.65</v>
          </cell>
          <cell r="R112">
            <v>0.55000000000000004</v>
          </cell>
        </row>
        <row r="113">
          <cell r="B113">
            <v>39722</v>
          </cell>
          <cell r="C113">
            <v>0.6</v>
          </cell>
          <cell r="D113">
            <v>0.6</v>
          </cell>
          <cell r="E113">
            <v>0.55000000000000004</v>
          </cell>
          <cell r="F113">
            <v>0.6</v>
          </cell>
          <cell r="G113">
            <v>0.6</v>
          </cell>
          <cell r="H113">
            <v>0.65</v>
          </cell>
          <cell r="I113">
            <v>0.65</v>
          </cell>
          <cell r="J113">
            <v>0.6</v>
          </cell>
          <cell r="K113">
            <v>0.5</v>
          </cell>
          <cell r="L113">
            <v>0.6</v>
          </cell>
          <cell r="M113">
            <v>0.65</v>
          </cell>
          <cell r="N113">
            <v>0.6</v>
          </cell>
          <cell r="O113">
            <v>0.65</v>
          </cell>
          <cell r="P113">
            <v>0.75</v>
          </cell>
          <cell r="Q113">
            <v>0.7</v>
          </cell>
          <cell r="R113">
            <v>0.6</v>
          </cell>
        </row>
        <row r="114">
          <cell r="B114">
            <v>39753</v>
          </cell>
          <cell r="C114">
            <v>0.8</v>
          </cell>
          <cell r="D114">
            <v>0.85</v>
          </cell>
          <cell r="E114">
            <v>0.8</v>
          </cell>
          <cell r="F114">
            <v>0.8</v>
          </cell>
          <cell r="G114">
            <v>0.9</v>
          </cell>
          <cell r="H114">
            <v>0.95</v>
          </cell>
          <cell r="I114">
            <v>0.85</v>
          </cell>
          <cell r="J114">
            <v>0.8</v>
          </cell>
          <cell r="K114">
            <v>0.95</v>
          </cell>
          <cell r="L114">
            <v>0.8</v>
          </cell>
          <cell r="M114">
            <v>0.8</v>
          </cell>
          <cell r="N114">
            <v>0.8</v>
          </cell>
          <cell r="O114">
            <v>0.95</v>
          </cell>
          <cell r="P114">
            <v>0.95</v>
          </cell>
          <cell r="Q114">
            <v>0.9</v>
          </cell>
          <cell r="R114">
            <v>0.8</v>
          </cell>
        </row>
        <row r="115">
          <cell r="B115">
            <v>39783</v>
          </cell>
          <cell r="C115">
            <v>1</v>
          </cell>
          <cell r="D115">
            <v>1.05</v>
          </cell>
          <cell r="E115">
            <v>1</v>
          </cell>
          <cell r="F115">
            <v>1</v>
          </cell>
          <cell r="G115">
            <v>1.1499999999999999</v>
          </cell>
          <cell r="H115">
            <v>1.25</v>
          </cell>
          <cell r="I115">
            <v>1.05</v>
          </cell>
          <cell r="J115">
            <v>1</v>
          </cell>
          <cell r="K115">
            <v>1.35</v>
          </cell>
          <cell r="L115">
            <v>1</v>
          </cell>
          <cell r="M115">
            <v>1.1000000000000001</v>
          </cell>
          <cell r="N115">
            <v>1</v>
          </cell>
          <cell r="O115">
            <v>1.25</v>
          </cell>
          <cell r="P115">
            <v>1.1499999999999999</v>
          </cell>
          <cell r="Q115">
            <v>1.1000000000000001</v>
          </cell>
          <cell r="R115">
            <v>1</v>
          </cell>
        </row>
        <row r="116">
          <cell r="B116">
            <v>39814</v>
          </cell>
          <cell r="C116">
            <v>1</v>
          </cell>
          <cell r="D116">
            <v>1.05</v>
          </cell>
          <cell r="E116">
            <v>1</v>
          </cell>
          <cell r="F116">
            <v>1</v>
          </cell>
          <cell r="G116">
            <v>1.1499999999999999</v>
          </cell>
          <cell r="H116">
            <v>1.45</v>
          </cell>
          <cell r="I116">
            <v>1.05</v>
          </cell>
          <cell r="J116">
            <v>1</v>
          </cell>
          <cell r="K116">
            <v>1.35</v>
          </cell>
          <cell r="L116">
            <v>1</v>
          </cell>
          <cell r="M116">
            <v>1.1000000000000001</v>
          </cell>
          <cell r="N116">
            <v>1</v>
          </cell>
          <cell r="O116">
            <v>1.45</v>
          </cell>
          <cell r="P116">
            <v>1.1499999999999999</v>
          </cell>
          <cell r="Q116">
            <v>1.1000000000000001</v>
          </cell>
          <cell r="R116">
            <v>1</v>
          </cell>
        </row>
        <row r="117">
          <cell r="B117">
            <v>39845</v>
          </cell>
          <cell r="C117">
            <v>1</v>
          </cell>
          <cell r="D117">
            <v>1.05</v>
          </cell>
          <cell r="E117">
            <v>1</v>
          </cell>
          <cell r="F117">
            <v>1</v>
          </cell>
          <cell r="G117">
            <v>1.1499999999999999</v>
          </cell>
          <cell r="H117">
            <v>1.45</v>
          </cell>
          <cell r="I117">
            <v>1.05</v>
          </cell>
          <cell r="J117">
            <v>1</v>
          </cell>
          <cell r="K117">
            <v>1.35</v>
          </cell>
          <cell r="L117">
            <v>1</v>
          </cell>
          <cell r="M117">
            <v>1.1000000000000001</v>
          </cell>
          <cell r="N117">
            <v>1</v>
          </cell>
          <cell r="O117">
            <v>1.45</v>
          </cell>
          <cell r="P117">
            <v>1.1499999999999999</v>
          </cell>
          <cell r="Q117">
            <v>1.1000000000000001</v>
          </cell>
          <cell r="R117">
            <v>1</v>
          </cell>
        </row>
        <row r="118">
          <cell r="B118">
            <v>39873</v>
          </cell>
          <cell r="C118">
            <v>0.75</v>
          </cell>
          <cell r="D118">
            <v>0.8</v>
          </cell>
          <cell r="E118">
            <v>0.75</v>
          </cell>
          <cell r="F118">
            <v>0.75</v>
          </cell>
          <cell r="G118">
            <v>0.85</v>
          </cell>
          <cell r="H118">
            <v>1</v>
          </cell>
          <cell r="I118">
            <v>0.75</v>
          </cell>
          <cell r="J118">
            <v>0.75</v>
          </cell>
          <cell r="K118">
            <v>0.95</v>
          </cell>
          <cell r="L118">
            <v>0.75</v>
          </cell>
          <cell r="M118">
            <v>0.75</v>
          </cell>
          <cell r="N118">
            <v>0.75</v>
          </cell>
          <cell r="O118">
            <v>1</v>
          </cell>
          <cell r="P118">
            <v>0.9</v>
          </cell>
          <cell r="Q118">
            <v>0.85</v>
          </cell>
          <cell r="R118">
            <v>0.75</v>
          </cell>
        </row>
        <row r="119">
          <cell r="B119">
            <v>39904</v>
          </cell>
          <cell r="C119">
            <v>0.4</v>
          </cell>
          <cell r="D119">
            <v>0.45</v>
          </cell>
          <cell r="E119">
            <v>0.4</v>
          </cell>
          <cell r="F119">
            <v>0.45</v>
          </cell>
          <cell r="G119">
            <v>0.45</v>
          </cell>
          <cell r="H119">
            <v>0.45</v>
          </cell>
          <cell r="I119">
            <v>0.45</v>
          </cell>
          <cell r="J119">
            <v>0.45</v>
          </cell>
          <cell r="K119">
            <v>0.5</v>
          </cell>
          <cell r="L119">
            <v>0.4</v>
          </cell>
          <cell r="M119">
            <v>0.45</v>
          </cell>
          <cell r="N119">
            <v>0.4</v>
          </cell>
          <cell r="O119">
            <v>0.45</v>
          </cell>
          <cell r="P119">
            <v>0.55000000000000004</v>
          </cell>
          <cell r="Q119">
            <v>0.55000000000000004</v>
          </cell>
          <cell r="R119">
            <v>0.4</v>
          </cell>
        </row>
        <row r="120">
          <cell r="B120">
            <v>39934</v>
          </cell>
          <cell r="C120">
            <v>0.45</v>
          </cell>
          <cell r="D120">
            <v>0.5</v>
          </cell>
          <cell r="E120">
            <v>0.4</v>
          </cell>
          <cell r="F120">
            <v>0.4</v>
          </cell>
          <cell r="G120">
            <v>0.45</v>
          </cell>
          <cell r="H120">
            <v>0.5</v>
          </cell>
          <cell r="I120">
            <v>0.45</v>
          </cell>
          <cell r="J120">
            <v>0.4</v>
          </cell>
          <cell r="K120">
            <v>0.45</v>
          </cell>
          <cell r="L120">
            <v>0.45</v>
          </cell>
          <cell r="M120">
            <v>0.5</v>
          </cell>
          <cell r="N120">
            <v>0.45</v>
          </cell>
          <cell r="O120">
            <v>0.5</v>
          </cell>
          <cell r="P120">
            <v>0.6</v>
          </cell>
          <cell r="Q120">
            <v>0.5</v>
          </cell>
          <cell r="R120">
            <v>0.45</v>
          </cell>
        </row>
        <row r="121">
          <cell r="B121">
            <v>39965</v>
          </cell>
          <cell r="C121">
            <v>0.45</v>
          </cell>
          <cell r="D121">
            <v>0.5</v>
          </cell>
          <cell r="E121">
            <v>0.4</v>
          </cell>
          <cell r="F121">
            <v>0.5</v>
          </cell>
          <cell r="G121">
            <v>0.45</v>
          </cell>
          <cell r="H121">
            <v>0.5</v>
          </cell>
          <cell r="I121">
            <v>0.5</v>
          </cell>
          <cell r="J121">
            <v>0.5</v>
          </cell>
          <cell r="K121">
            <v>0.5</v>
          </cell>
          <cell r="L121">
            <v>0.45</v>
          </cell>
          <cell r="M121">
            <v>0.5</v>
          </cell>
          <cell r="N121">
            <v>0.45</v>
          </cell>
          <cell r="O121">
            <v>0.5</v>
          </cell>
          <cell r="P121">
            <v>0.6</v>
          </cell>
          <cell r="Q121">
            <v>0.6</v>
          </cell>
          <cell r="R121">
            <v>0.45</v>
          </cell>
        </row>
        <row r="122">
          <cell r="B122">
            <v>39995</v>
          </cell>
          <cell r="C122">
            <v>0.5</v>
          </cell>
          <cell r="D122">
            <v>0.5</v>
          </cell>
          <cell r="E122">
            <v>0.4</v>
          </cell>
          <cell r="F122">
            <v>0.5</v>
          </cell>
          <cell r="G122">
            <v>0.5</v>
          </cell>
          <cell r="H122">
            <v>0.5</v>
          </cell>
          <cell r="I122">
            <v>0.5</v>
          </cell>
          <cell r="J122">
            <v>0.5</v>
          </cell>
          <cell r="K122">
            <v>0.5</v>
          </cell>
          <cell r="L122">
            <v>0.5</v>
          </cell>
          <cell r="M122">
            <v>0.55000000000000004</v>
          </cell>
          <cell r="N122">
            <v>0.5</v>
          </cell>
          <cell r="O122">
            <v>0.5</v>
          </cell>
          <cell r="P122">
            <v>0.65</v>
          </cell>
          <cell r="Q122">
            <v>0.6</v>
          </cell>
          <cell r="R122">
            <v>0.5</v>
          </cell>
        </row>
        <row r="123">
          <cell r="B123">
            <v>40026</v>
          </cell>
          <cell r="C123">
            <v>0.55000000000000004</v>
          </cell>
          <cell r="D123">
            <v>0.55000000000000004</v>
          </cell>
          <cell r="E123">
            <v>0.5</v>
          </cell>
          <cell r="F123">
            <v>0.6</v>
          </cell>
          <cell r="G123">
            <v>0.55000000000000004</v>
          </cell>
          <cell r="H123">
            <v>0.6</v>
          </cell>
          <cell r="I123">
            <v>0.55000000000000004</v>
          </cell>
          <cell r="J123">
            <v>0.6</v>
          </cell>
          <cell r="K123">
            <v>0.45</v>
          </cell>
          <cell r="L123">
            <v>0.55000000000000004</v>
          </cell>
          <cell r="M123">
            <v>0.6</v>
          </cell>
          <cell r="N123">
            <v>0.55000000000000004</v>
          </cell>
          <cell r="O123">
            <v>0.6</v>
          </cell>
          <cell r="P123">
            <v>0.7</v>
          </cell>
          <cell r="Q123">
            <v>0.7</v>
          </cell>
          <cell r="R123">
            <v>0.55000000000000004</v>
          </cell>
        </row>
        <row r="124">
          <cell r="B124">
            <v>40057</v>
          </cell>
          <cell r="C124">
            <v>0.55000000000000004</v>
          </cell>
          <cell r="D124">
            <v>0.55000000000000004</v>
          </cell>
          <cell r="E124">
            <v>0.55000000000000004</v>
          </cell>
          <cell r="F124">
            <v>0.55000000000000004</v>
          </cell>
          <cell r="G124">
            <v>0.55000000000000004</v>
          </cell>
          <cell r="H124">
            <v>0.6</v>
          </cell>
          <cell r="I124">
            <v>0.6</v>
          </cell>
          <cell r="J124">
            <v>0.55000000000000004</v>
          </cell>
          <cell r="K124">
            <v>0.5</v>
          </cell>
          <cell r="L124">
            <v>0.55000000000000004</v>
          </cell>
          <cell r="M124">
            <v>0.6</v>
          </cell>
          <cell r="N124">
            <v>0.55000000000000004</v>
          </cell>
          <cell r="O124">
            <v>0.6</v>
          </cell>
          <cell r="P124">
            <v>0.7</v>
          </cell>
          <cell r="Q124">
            <v>0.65</v>
          </cell>
          <cell r="R124">
            <v>0.55000000000000004</v>
          </cell>
        </row>
        <row r="125">
          <cell r="B125">
            <v>40087</v>
          </cell>
          <cell r="C125">
            <v>0.6</v>
          </cell>
          <cell r="D125">
            <v>0.6</v>
          </cell>
          <cell r="E125">
            <v>0.55000000000000004</v>
          </cell>
          <cell r="F125">
            <v>0.6</v>
          </cell>
          <cell r="G125">
            <v>0.6</v>
          </cell>
          <cell r="H125">
            <v>0.65</v>
          </cell>
          <cell r="I125">
            <v>0.65</v>
          </cell>
          <cell r="J125">
            <v>0.6</v>
          </cell>
          <cell r="K125">
            <v>0.5</v>
          </cell>
          <cell r="L125">
            <v>0.6</v>
          </cell>
          <cell r="M125">
            <v>0.65</v>
          </cell>
          <cell r="N125">
            <v>0.6</v>
          </cell>
          <cell r="O125">
            <v>0.65</v>
          </cell>
          <cell r="P125">
            <v>0.75</v>
          </cell>
          <cell r="Q125">
            <v>0.7</v>
          </cell>
          <cell r="R125">
            <v>0.6</v>
          </cell>
        </row>
        <row r="126">
          <cell r="B126">
            <v>40118</v>
          </cell>
          <cell r="C126">
            <v>0.8</v>
          </cell>
          <cell r="D126">
            <v>0.85</v>
          </cell>
          <cell r="E126">
            <v>0.8</v>
          </cell>
          <cell r="F126">
            <v>0.8</v>
          </cell>
          <cell r="G126">
            <v>0.9</v>
          </cell>
          <cell r="H126">
            <v>0.95</v>
          </cell>
          <cell r="I126">
            <v>0.85</v>
          </cell>
          <cell r="J126">
            <v>0.8</v>
          </cell>
          <cell r="K126">
            <v>0.95</v>
          </cell>
          <cell r="L126">
            <v>0.8</v>
          </cell>
          <cell r="M126">
            <v>0.8</v>
          </cell>
          <cell r="N126">
            <v>0.8</v>
          </cell>
          <cell r="O126">
            <v>0.95</v>
          </cell>
          <cell r="P126">
            <v>0.95</v>
          </cell>
          <cell r="Q126">
            <v>0.9</v>
          </cell>
          <cell r="R126">
            <v>0.8</v>
          </cell>
        </row>
        <row r="127">
          <cell r="B127">
            <v>40148</v>
          </cell>
          <cell r="C127">
            <v>1</v>
          </cell>
          <cell r="D127">
            <v>1.05</v>
          </cell>
          <cell r="E127">
            <v>1</v>
          </cell>
          <cell r="F127">
            <v>1</v>
          </cell>
          <cell r="G127">
            <v>1.1499999999999999</v>
          </cell>
          <cell r="H127">
            <v>1.25</v>
          </cell>
          <cell r="I127">
            <v>1.05</v>
          </cell>
          <cell r="J127">
            <v>1</v>
          </cell>
          <cell r="K127">
            <v>1.35</v>
          </cell>
          <cell r="L127">
            <v>1</v>
          </cell>
          <cell r="M127">
            <v>1.1000000000000001</v>
          </cell>
          <cell r="N127">
            <v>1</v>
          </cell>
          <cell r="O127">
            <v>1.25</v>
          </cell>
          <cell r="P127">
            <v>1.1499999999999999</v>
          </cell>
          <cell r="Q127">
            <v>1.1000000000000001</v>
          </cell>
          <cell r="R127">
            <v>1</v>
          </cell>
        </row>
        <row r="128">
          <cell r="B128">
            <v>40179</v>
          </cell>
          <cell r="C128">
            <v>1</v>
          </cell>
          <cell r="D128">
            <v>1.05</v>
          </cell>
          <cell r="E128">
            <v>1</v>
          </cell>
          <cell r="F128">
            <v>1</v>
          </cell>
          <cell r="G128">
            <v>1.1499999999999999</v>
          </cell>
          <cell r="H128">
            <v>1.45</v>
          </cell>
          <cell r="I128">
            <v>1.05</v>
          </cell>
          <cell r="J128">
            <v>1</v>
          </cell>
          <cell r="K128">
            <v>1.35</v>
          </cell>
          <cell r="L128">
            <v>1</v>
          </cell>
          <cell r="M128">
            <v>1.1000000000000001</v>
          </cell>
          <cell r="N128">
            <v>1</v>
          </cell>
          <cell r="O128">
            <v>1.45</v>
          </cell>
          <cell r="P128">
            <v>1.1499999999999999</v>
          </cell>
          <cell r="Q128">
            <v>1.1000000000000001</v>
          </cell>
          <cell r="R128">
            <v>1</v>
          </cell>
        </row>
        <row r="129">
          <cell r="B129">
            <v>40210</v>
          </cell>
          <cell r="C129">
            <v>1</v>
          </cell>
          <cell r="D129">
            <v>1.05</v>
          </cell>
          <cell r="E129">
            <v>1</v>
          </cell>
          <cell r="F129">
            <v>1</v>
          </cell>
          <cell r="G129">
            <v>1.1499999999999999</v>
          </cell>
          <cell r="H129">
            <v>1.45</v>
          </cell>
          <cell r="I129">
            <v>1.05</v>
          </cell>
          <cell r="J129">
            <v>1</v>
          </cell>
          <cell r="K129">
            <v>1.35</v>
          </cell>
          <cell r="L129">
            <v>1</v>
          </cell>
          <cell r="M129">
            <v>1.1000000000000001</v>
          </cell>
          <cell r="N129">
            <v>1</v>
          </cell>
          <cell r="O129">
            <v>1.45</v>
          </cell>
          <cell r="P129">
            <v>1.1499999999999999</v>
          </cell>
          <cell r="Q129">
            <v>1.1000000000000001</v>
          </cell>
          <cell r="R129">
            <v>1</v>
          </cell>
        </row>
        <row r="130">
          <cell r="B130">
            <v>40238</v>
          </cell>
          <cell r="C130">
            <v>0.75</v>
          </cell>
          <cell r="D130">
            <v>0.8</v>
          </cell>
          <cell r="E130">
            <v>0.75</v>
          </cell>
          <cell r="F130">
            <v>0.75</v>
          </cell>
          <cell r="G130">
            <v>0.85</v>
          </cell>
          <cell r="H130">
            <v>1</v>
          </cell>
          <cell r="I130">
            <v>0.75</v>
          </cell>
          <cell r="J130">
            <v>0.75</v>
          </cell>
          <cell r="K130">
            <v>0.95</v>
          </cell>
          <cell r="L130">
            <v>0.75</v>
          </cell>
          <cell r="M130">
            <v>0.75</v>
          </cell>
          <cell r="N130">
            <v>0.75</v>
          </cell>
          <cell r="O130">
            <v>1</v>
          </cell>
          <cell r="P130">
            <v>0.9</v>
          </cell>
          <cell r="Q130">
            <v>0.85</v>
          </cell>
          <cell r="R130">
            <v>0.75</v>
          </cell>
        </row>
        <row r="131">
          <cell r="B131">
            <v>40269</v>
          </cell>
          <cell r="C131">
            <v>0.4</v>
          </cell>
          <cell r="D131">
            <v>0.45</v>
          </cell>
          <cell r="E131">
            <v>0.4</v>
          </cell>
          <cell r="F131">
            <v>0.45</v>
          </cell>
          <cell r="G131">
            <v>0.45</v>
          </cell>
          <cell r="H131">
            <v>0.45</v>
          </cell>
          <cell r="I131">
            <v>0.45</v>
          </cell>
          <cell r="J131">
            <v>0.45</v>
          </cell>
          <cell r="K131">
            <v>0.5</v>
          </cell>
          <cell r="L131">
            <v>0.4</v>
          </cell>
          <cell r="M131">
            <v>0.45</v>
          </cell>
          <cell r="N131">
            <v>0.4</v>
          </cell>
          <cell r="O131">
            <v>0.45</v>
          </cell>
          <cell r="P131">
            <v>0.55000000000000004</v>
          </cell>
          <cell r="Q131">
            <v>0.55000000000000004</v>
          </cell>
          <cell r="R131">
            <v>0.4</v>
          </cell>
        </row>
        <row r="132">
          <cell r="B132">
            <v>40299</v>
          </cell>
          <cell r="C132">
            <v>0.45</v>
          </cell>
          <cell r="D132">
            <v>0.5</v>
          </cell>
          <cell r="E132">
            <v>0.4</v>
          </cell>
          <cell r="F132">
            <v>0.4</v>
          </cell>
          <cell r="G132">
            <v>0.45</v>
          </cell>
          <cell r="H132">
            <v>0.5</v>
          </cell>
          <cell r="I132">
            <v>0.45</v>
          </cell>
          <cell r="J132">
            <v>0.4</v>
          </cell>
          <cell r="K132">
            <v>0.45</v>
          </cell>
          <cell r="L132">
            <v>0.45</v>
          </cell>
          <cell r="M132">
            <v>0.5</v>
          </cell>
          <cell r="N132">
            <v>0.45</v>
          </cell>
          <cell r="O132">
            <v>0.5</v>
          </cell>
          <cell r="P132">
            <v>0.6</v>
          </cell>
          <cell r="Q132">
            <v>0.5</v>
          </cell>
          <cell r="R132">
            <v>0.45</v>
          </cell>
        </row>
        <row r="133">
          <cell r="B133">
            <v>40330</v>
          </cell>
          <cell r="C133">
            <v>0.45</v>
          </cell>
          <cell r="D133">
            <v>0.5</v>
          </cell>
          <cell r="E133">
            <v>0.4</v>
          </cell>
          <cell r="F133">
            <v>0.5</v>
          </cell>
          <cell r="G133">
            <v>0.45</v>
          </cell>
          <cell r="H133">
            <v>0.5</v>
          </cell>
          <cell r="I133">
            <v>0.5</v>
          </cell>
          <cell r="J133">
            <v>0.5</v>
          </cell>
          <cell r="K133">
            <v>0.5</v>
          </cell>
          <cell r="L133">
            <v>0.45</v>
          </cell>
          <cell r="M133">
            <v>0.5</v>
          </cell>
          <cell r="N133">
            <v>0.45</v>
          </cell>
          <cell r="O133">
            <v>0.5</v>
          </cell>
          <cell r="P133">
            <v>0.6</v>
          </cell>
          <cell r="Q133">
            <v>0.6</v>
          </cell>
          <cell r="R133">
            <v>0.45</v>
          </cell>
        </row>
        <row r="134">
          <cell r="B134">
            <v>40360</v>
          </cell>
          <cell r="C134">
            <v>0.5</v>
          </cell>
          <cell r="D134">
            <v>0.5</v>
          </cell>
          <cell r="E134">
            <v>0.4</v>
          </cell>
          <cell r="F134">
            <v>0.5</v>
          </cell>
          <cell r="G134">
            <v>0.5</v>
          </cell>
          <cell r="H134">
            <v>0.5</v>
          </cell>
          <cell r="I134">
            <v>0.5</v>
          </cell>
          <cell r="J134">
            <v>0.5</v>
          </cell>
          <cell r="K134">
            <v>0.5</v>
          </cell>
          <cell r="L134">
            <v>0.5</v>
          </cell>
          <cell r="M134">
            <v>0.55000000000000004</v>
          </cell>
          <cell r="N134">
            <v>0.5</v>
          </cell>
          <cell r="O134">
            <v>0.5</v>
          </cell>
          <cell r="P134">
            <v>0.65</v>
          </cell>
          <cell r="Q134">
            <v>0.6</v>
          </cell>
          <cell r="R134">
            <v>0.5</v>
          </cell>
        </row>
        <row r="135">
          <cell r="B135">
            <v>40391</v>
          </cell>
          <cell r="C135">
            <v>0.55000000000000004</v>
          </cell>
          <cell r="D135">
            <v>0.55000000000000004</v>
          </cell>
          <cell r="E135">
            <v>0.5</v>
          </cell>
          <cell r="F135">
            <v>0.6</v>
          </cell>
          <cell r="G135">
            <v>0.55000000000000004</v>
          </cell>
          <cell r="H135">
            <v>0.6</v>
          </cell>
          <cell r="I135">
            <v>0.55000000000000004</v>
          </cell>
          <cell r="J135">
            <v>0.6</v>
          </cell>
          <cell r="K135">
            <v>0.45</v>
          </cell>
          <cell r="L135">
            <v>0.55000000000000004</v>
          </cell>
          <cell r="M135">
            <v>0.6</v>
          </cell>
          <cell r="N135">
            <v>0.55000000000000004</v>
          </cell>
          <cell r="O135">
            <v>0.6</v>
          </cell>
          <cell r="P135">
            <v>0.7</v>
          </cell>
          <cell r="Q135">
            <v>0.7</v>
          </cell>
          <cell r="R135">
            <v>0.55000000000000004</v>
          </cell>
        </row>
        <row r="136">
          <cell r="B136">
            <v>40422</v>
          </cell>
          <cell r="C136">
            <v>0.55000000000000004</v>
          </cell>
          <cell r="D136">
            <v>0.55000000000000004</v>
          </cell>
          <cell r="E136">
            <v>0.55000000000000004</v>
          </cell>
          <cell r="F136">
            <v>0.55000000000000004</v>
          </cell>
          <cell r="G136">
            <v>0.55000000000000004</v>
          </cell>
          <cell r="H136">
            <v>0.6</v>
          </cell>
          <cell r="I136">
            <v>0.6</v>
          </cell>
          <cell r="J136">
            <v>0.55000000000000004</v>
          </cell>
          <cell r="K136">
            <v>0.5</v>
          </cell>
          <cell r="L136">
            <v>0.55000000000000004</v>
          </cell>
          <cell r="M136">
            <v>0.6</v>
          </cell>
          <cell r="N136">
            <v>0.55000000000000004</v>
          </cell>
          <cell r="O136">
            <v>0.6</v>
          </cell>
          <cell r="P136">
            <v>0.7</v>
          </cell>
          <cell r="Q136">
            <v>0.65</v>
          </cell>
          <cell r="R136">
            <v>0.55000000000000004</v>
          </cell>
        </row>
        <row r="137">
          <cell r="B137">
            <v>40452</v>
          </cell>
          <cell r="C137">
            <v>0.6</v>
          </cell>
          <cell r="D137">
            <v>0.6</v>
          </cell>
          <cell r="E137">
            <v>0.55000000000000004</v>
          </cell>
          <cell r="F137">
            <v>0.6</v>
          </cell>
          <cell r="G137">
            <v>0.6</v>
          </cell>
          <cell r="H137">
            <v>0.65</v>
          </cell>
          <cell r="I137">
            <v>0.65</v>
          </cell>
          <cell r="J137">
            <v>0.6</v>
          </cell>
          <cell r="K137">
            <v>0.5</v>
          </cell>
          <cell r="L137">
            <v>0.6</v>
          </cell>
          <cell r="M137">
            <v>0.65</v>
          </cell>
          <cell r="N137">
            <v>0.6</v>
          </cell>
          <cell r="O137">
            <v>0.65</v>
          </cell>
          <cell r="P137">
            <v>0.75</v>
          </cell>
          <cell r="Q137">
            <v>0.7</v>
          </cell>
          <cell r="R137">
            <v>0.6</v>
          </cell>
        </row>
        <row r="138">
          <cell r="B138">
            <v>40483</v>
          </cell>
          <cell r="C138">
            <v>0.8</v>
          </cell>
          <cell r="D138">
            <v>0.85</v>
          </cell>
          <cell r="E138">
            <v>0.8</v>
          </cell>
          <cell r="F138">
            <v>0.8</v>
          </cell>
          <cell r="G138">
            <v>0.9</v>
          </cell>
          <cell r="H138">
            <v>0.95</v>
          </cell>
          <cell r="I138">
            <v>0.85</v>
          </cell>
          <cell r="J138">
            <v>0.8</v>
          </cell>
          <cell r="K138">
            <v>0.95</v>
          </cell>
          <cell r="L138">
            <v>0.8</v>
          </cell>
          <cell r="M138">
            <v>0.8</v>
          </cell>
          <cell r="N138">
            <v>0.8</v>
          </cell>
          <cell r="O138">
            <v>0.95</v>
          </cell>
          <cell r="P138">
            <v>0.95</v>
          </cell>
          <cell r="Q138">
            <v>0.9</v>
          </cell>
          <cell r="R138">
            <v>0.16</v>
          </cell>
        </row>
        <row r="139">
          <cell r="B139">
            <v>40513</v>
          </cell>
          <cell r="C139">
            <v>1</v>
          </cell>
          <cell r="D139">
            <v>1.05</v>
          </cell>
          <cell r="E139">
            <v>1</v>
          </cell>
          <cell r="F139">
            <v>1</v>
          </cell>
          <cell r="G139">
            <v>1.1499999999999999</v>
          </cell>
          <cell r="H139">
            <v>1.25</v>
          </cell>
          <cell r="I139">
            <v>1.05</v>
          </cell>
          <cell r="J139">
            <v>1</v>
          </cell>
          <cell r="K139">
            <v>1.35</v>
          </cell>
          <cell r="L139">
            <v>1</v>
          </cell>
          <cell r="M139">
            <v>1.1000000000000001</v>
          </cell>
          <cell r="N139">
            <v>1</v>
          </cell>
          <cell r="O139">
            <v>1.25</v>
          </cell>
          <cell r="P139">
            <v>1.1499999999999999</v>
          </cell>
          <cell r="Q139">
            <v>1.1000000000000001</v>
          </cell>
          <cell r="R139">
            <v>0.16</v>
          </cell>
        </row>
        <row r="140">
          <cell r="B140">
            <v>40544</v>
          </cell>
          <cell r="C140">
            <v>1</v>
          </cell>
          <cell r="D140">
            <v>1.05</v>
          </cell>
          <cell r="E140">
            <v>1</v>
          </cell>
          <cell r="F140">
            <v>1</v>
          </cell>
          <cell r="G140">
            <v>1.1499999999999999</v>
          </cell>
          <cell r="H140">
            <v>1.45</v>
          </cell>
          <cell r="I140">
            <v>1.05</v>
          </cell>
          <cell r="J140">
            <v>1</v>
          </cell>
          <cell r="K140">
            <v>1.35</v>
          </cell>
          <cell r="L140">
            <v>1</v>
          </cell>
          <cell r="M140">
            <v>1.1000000000000001</v>
          </cell>
          <cell r="N140">
            <v>1</v>
          </cell>
          <cell r="O140">
            <v>1.45</v>
          </cell>
          <cell r="P140">
            <v>1.1499999999999999</v>
          </cell>
          <cell r="Q140">
            <v>1.1000000000000001</v>
          </cell>
          <cell r="R140">
            <v>0.16</v>
          </cell>
        </row>
        <row r="141">
          <cell r="B141">
            <v>40575</v>
          </cell>
          <cell r="C141">
            <v>1</v>
          </cell>
          <cell r="D141">
            <v>1.05</v>
          </cell>
          <cell r="E141">
            <v>1</v>
          </cell>
          <cell r="F141">
            <v>1</v>
          </cell>
          <cell r="G141">
            <v>1.1499999999999999</v>
          </cell>
          <cell r="H141">
            <v>1.45</v>
          </cell>
          <cell r="I141">
            <v>1.05</v>
          </cell>
          <cell r="J141">
            <v>1</v>
          </cell>
          <cell r="K141">
            <v>1.35</v>
          </cell>
          <cell r="L141">
            <v>1</v>
          </cell>
          <cell r="M141">
            <v>1.1000000000000001</v>
          </cell>
          <cell r="N141">
            <v>1</v>
          </cell>
          <cell r="O141">
            <v>1.45</v>
          </cell>
          <cell r="P141">
            <v>1.1499999999999999</v>
          </cell>
          <cell r="Q141">
            <v>1.1000000000000001</v>
          </cell>
          <cell r="R141">
            <v>0.16</v>
          </cell>
        </row>
        <row r="142">
          <cell r="B142">
            <v>40603</v>
          </cell>
          <cell r="C142">
            <v>0.75</v>
          </cell>
          <cell r="D142">
            <v>0.8</v>
          </cell>
          <cell r="E142">
            <v>0.75</v>
          </cell>
          <cell r="F142">
            <v>0.75</v>
          </cell>
          <cell r="G142">
            <v>0.85</v>
          </cell>
          <cell r="H142">
            <v>1</v>
          </cell>
          <cell r="I142">
            <v>0.75</v>
          </cell>
          <cell r="J142">
            <v>0.75</v>
          </cell>
          <cell r="K142">
            <v>0.95</v>
          </cell>
          <cell r="L142">
            <v>0.75</v>
          </cell>
          <cell r="M142">
            <v>0.75</v>
          </cell>
          <cell r="N142">
            <v>0.75</v>
          </cell>
          <cell r="O142">
            <v>1</v>
          </cell>
          <cell r="P142">
            <v>0.9</v>
          </cell>
          <cell r="Q142">
            <v>0.85</v>
          </cell>
          <cell r="R142">
            <v>0.155</v>
          </cell>
        </row>
        <row r="143">
          <cell r="B143">
            <v>40634</v>
          </cell>
          <cell r="C143">
            <v>0.4</v>
          </cell>
          <cell r="D143">
            <v>0.45</v>
          </cell>
          <cell r="E143">
            <v>0.4</v>
          </cell>
          <cell r="F143">
            <v>0.45</v>
          </cell>
          <cell r="G143">
            <v>0.45</v>
          </cell>
          <cell r="H143">
            <v>0.45</v>
          </cell>
          <cell r="I143">
            <v>0.45</v>
          </cell>
          <cell r="J143">
            <v>0.45</v>
          </cell>
          <cell r="K143">
            <v>0.5</v>
          </cell>
          <cell r="L143">
            <v>0.4</v>
          </cell>
          <cell r="M143">
            <v>0.45</v>
          </cell>
          <cell r="N143">
            <v>0.4</v>
          </cell>
          <cell r="O143">
            <v>0.45</v>
          </cell>
          <cell r="P143">
            <v>0.55000000000000004</v>
          </cell>
          <cell r="Q143">
            <v>0.55000000000000004</v>
          </cell>
          <cell r="R143">
            <v>0.155</v>
          </cell>
        </row>
        <row r="144">
          <cell r="B144">
            <v>40664</v>
          </cell>
          <cell r="C144">
            <v>0.45</v>
          </cell>
          <cell r="D144">
            <v>0.5</v>
          </cell>
          <cell r="E144">
            <v>0.4</v>
          </cell>
          <cell r="F144">
            <v>0.4</v>
          </cell>
          <cell r="G144">
            <v>0.45</v>
          </cell>
          <cell r="H144">
            <v>0.5</v>
          </cell>
          <cell r="I144">
            <v>0.45</v>
          </cell>
          <cell r="J144">
            <v>0.4</v>
          </cell>
          <cell r="K144">
            <v>0.45</v>
          </cell>
          <cell r="L144">
            <v>0.45</v>
          </cell>
          <cell r="M144">
            <v>0.5</v>
          </cell>
          <cell r="N144">
            <v>0.45</v>
          </cell>
          <cell r="O144">
            <v>0.5</v>
          </cell>
          <cell r="P144">
            <v>0.6</v>
          </cell>
          <cell r="Q144">
            <v>0.5</v>
          </cell>
          <cell r="R144">
            <v>0.155</v>
          </cell>
        </row>
        <row r="145">
          <cell r="B145">
            <v>40695</v>
          </cell>
          <cell r="C145">
            <v>0.45</v>
          </cell>
          <cell r="D145">
            <v>0.5</v>
          </cell>
          <cell r="E145">
            <v>0.4</v>
          </cell>
          <cell r="F145">
            <v>0.5</v>
          </cell>
          <cell r="G145">
            <v>0.45</v>
          </cell>
          <cell r="H145">
            <v>0.5</v>
          </cell>
          <cell r="I145">
            <v>0.5</v>
          </cell>
          <cell r="J145">
            <v>0.5</v>
          </cell>
          <cell r="K145">
            <v>0.5</v>
          </cell>
          <cell r="L145">
            <v>0.45</v>
          </cell>
          <cell r="M145">
            <v>0.5</v>
          </cell>
          <cell r="N145">
            <v>0.45</v>
          </cell>
          <cell r="O145">
            <v>0.5</v>
          </cell>
          <cell r="P145">
            <v>0.6</v>
          </cell>
          <cell r="Q145">
            <v>0.6</v>
          </cell>
          <cell r="R145">
            <v>0.155</v>
          </cell>
        </row>
        <row r="146">
          <cell r="B146">
            <v>40725</v>
          </cell>
          <cell r="C146">
            <v>0.5</v>
          </cell>
          <cell r="D146">
            <v>0.5</v>
          </cell>
          <cell r="E146">
            <v>0.4</v>
          </cell>
          <cell r="F146">
            <v>0.5</v>
          </cell>
          <cell r="G146">
            <v>0.5</v>
          </cell>
          <cell r="H146">
            <v>0.5</v>
          </cell>
          <cell r="I146">
            <v>0.5</v>
          </cell>
          <cell r="J146">
            <v>0.5</v>
          </cell>
          <cell r="K146">
            <v>0.5</v>
          </cell>
          <cell r="L146">
            <v>0.5</v>
          </cell>
          <cell r="M146">
            <v>0.55000000000000004</v>
          </cell>
          <cell r="N146">
            <v>0.5</v>
          </cell>
          <cell r="O146">
            <v>0.5</v>
          </cell>
          <cell r="P146">
            <v>0.65</v>
          </cell>
          <cell r="Q146">
            <v>0.6</v>
          </cell>
          <cell r="R146">
            <v>0.155</v>
          </cell>
        </row>
        <row r="147">
          <cell r="B147">
            <v>40756</v>
          </cell>
          <cell r="C147">
            <v>0.55000000000000004</v>
          </cell>
          <cell r="D147">
            <v>0.55000000000000004</v>
          </cell>
          <cell r="E147">
            <v>0.5</v>
          </cell>
          <cell r="F147">
            <v>0.6</v>
          </cell>
          <cell r="G147">
            <v>0.55000000000000004</v>
          </cell>
          <cell r="H147">
            <v>0.6</v>
          </cell>
          <cell r="I147">
            <v>0.55000000000000004</v>
          </cell>
          <cell r="J147">
            <v>0.6</v>
          </cell>
          <cell r="K147">
            <v>0.45</v>
          </cell>
          <cell r="L147">
            <v>0.55000000000000004</v>
          </cell>
          <cell r="M147">
            <v>0.6</v>
          </cell>
          <cell r="N147">
            <v>0.55000000000000004</v>
          </cell>
          <cell r="O147">
            <v>0.6</v>
          </cell>
          <cell r="P147">
            <v>0.7</v>
          </cell>
          <cell r="Q147">
            <v>0.7</v>
          </cell>
          <cell r="R147">
            <v>0.155</v>
          </cell>
        </row>
        <row r="148">
          <cell r="B148">
            <v>40787</v>
          </cell>
          <cell r="C148">
            <v>0.55000000000000004</v>
          </cell>
          <cell r="D148">
            <v>0.55000000000000004</v>
          </cell>
          <cell r="E148">
            <v>0.55000000000000004</v>
          </cell>
          <cell r="F148">
            <v>0.55000000000000004</v>
          </cell>
          <cell r="G148">
            <v>0.55000000000000004</v>
          </cell>
          <cell r="H148">
            <v>0.6</v>
          </cell>
          <cell r="I148">
            <v>0.6</v>
          </cell>
          <cell r="J148">
            <v>0.55000000000000004</v>
          </cell>
          <cell r="K148">
            <v>0.5</v>
          </cell>
          <cell r="L148">
            <v>0.55000000000000004</v>
          </cell>
          <cell r="M148">
            <v>0.6</v>
          </cell>
          <cell r="N148">
            <v>0.55000000000000004</v>
          </cell>
          <cell r="O148">
            <v>0.6</v>
          </cell>
          <cell r="P148">
            <v>0.7</v>
          </cell>
          <cell r="Q148">
            <v>0.65</v>
          </cell>
          <cell r="R148">
            <v>0.155</v>
          </cell>
        </row>
        <row r="149">
          <cell r="B149">
            <v>40817</v>
          </cell>
          <cell r="C149">
            <v>0.6</v>
          </cell>
          <cell r="D149">
            <v>0.6</v>
          </cell>
          <cell r="E149">
            <v>0.55000000000000004</v>
          </cell>
          <cell r="F149">
            <v>0.6</v>
          </cell>
          <cell r="G149">
            <v>0.6</v>
          </cell>
          <cell r="H149">
            <v>0.65</v>
          </cell>
          <cell r="I149">
            <v>0.65</v>
          </cell>
          <cell r="J149">
            <v>0.6</v>
          </cell>
          <cell r="K149">
            <v>0.5</v>
          </cell>
          <cell r="L149">
            <v>0.6</v>
          </cell>
          <cell r="M149">
            <v>0.65</v>
          </cell>
          <cell r="N149">
            <v>0.6</v>
          </cell>
          <cell r="O149">
            <v>0.65</v>
          </cell>
          <cell r="P149">
            <v>0.75</v>
          </cell>
          <cell r="Q149">
            <v>0.7</v>
          </cell>
          <cell r="R149">
            <v>0.155</v>
          </cell>
        </row>
        <row r="150">
          <cell r="B150">
            <v>40848</v>
          </cell>
          <cell r="C150">
            <v>0.8</v>
          </cell>
          <cell r="D150">
            <v>0.85</v>
          </cell>
          <cell r="E150">
            <v>0.8</v>
          </cell>
          <cell r="F150">
            <v>0.8</v>
          </cell>
          <cell r="G150">
            <v>0.9</v>
          </cell>
          <cell r="H150">
            <v>0.95</v>
          </cell>
          <cell r="I150">
            <v>0.85</v>
          </cell>
          <cell r="J150">
            <v>0.8</v>
          </cell>
          <cell r="K150">
            <v>0.95</v>
          </cell>
          <cell r="L150">
            <v>0.8</v>
          </cell>
          <cell r="M150">
            <v>0.8</v>
          </cell>
          <cell r="N150">
            <v>0.8</v>
          </cell>
          <cell r="O150">
            <v>0.95</v>
          </cell>
          <cell r="P150">
            <v>0.95</v>
          </cell>
          <cell r="Q150">
            <v>0.9</v>
          </cell>
          <cell r="R150">
            <v>0.155</v>
          </cell>
        </row>
        <row r="151">
          <cell r="B151">
            <v>40878</v>
          </cell>
          <cell r="C151">
            <v>1</v>
          </cell>
          <cell r="D151">
            <v>1.05</v>
          </cell>
          <cell r="E151">
            <v>1</v>
          </cell>
          <cell r="F151">
            <v>1</v>
          </cell>
          <cell r="G151">
            <v>1.1499999999999999</v>
          </cell>
          <cell r="H151">
            <v>1.25</v>
          </cell>
          <cell r="I151">
            <v>1.05</v>
          </cell>
          <cell r="J151">
            <v>1</v>
          </cell>
          <cell r="K151">
            <v>1.35</v>
          </cell>
          <cell r="L151">
            <v>1</v>
          </cell>
          <cell r="M151">
            <v>1.1000000000000001</v>
          </cell>
          <cell r="N151">
            <v>1</v>
          </cell>
          <cell r="O151">
            <v>1.25</v>
          </cell>
          <cell r="P151">
            <v>1.1499999999999999</v>
          </cell>
          <cell r="Q151">
            <v>1.1000000000000001</v>
          </cell>
          <cell r="R151">
            <v>0.155</v>
          </cell>
        </row>
        <row r="152">
          <cell r="B152">
            <v>40909</v>
          </cell>
          <cell r="C152">
            <v>1</v>
          </cell>
          <cell r="D152">
            <v>1.05</v>
          </cell>
          <cell r="E152">
            <v>1</v>
          </cell>
          <cell r="F152">
            <v>1</v>
          </cell>
          <cell r="G152">
            <v>1.1499999999999999</v>
          </cell>
          <cell r="H152">
            <v>1.45</v>
          </cell>
          <cell r="I152">
            <v>1.05</v>
          </cell>
          <cell r="J152">
            <v>1</v>
          </cell>
          <cell r="K152">
            <v>1.35</v>
          </cell>
          <cell r="L152">
            <v>1</v>
          </cell>
          <cell r="M152">
            <v>1.1000000000000001</v>
          </cell>
          <cell r="N152">
            <v>1</v>
          </cell>
          <cell r="O152">
            <v>1.45</v>
          </cell>
          <cell r="P152">
            <v>1.1499999999999999</v>
          </cell>
          <cell r="Q152">
            <v>1.1000000000000001</v>
          </cell>
          <cell r="R152">
            <v>0.155</v>
          </cell>
        </row>
        <row r="153">
          <cell r="B153">
            <v>40940</v>
          </cell>
          <cell r="C153">
            <v>1</v>
          </cell>
          <cell r="D153">
            <v>1.05</v>
          </cell>
          <cell r="E153">
            <v>1</v>
          </cell>
          <cell r="F153">
            <v>1</v>
          </cell>
          <cell r="G153">
            <v>1.1499999999999999</v>
          </cell>
          <cell r="H153">
            <v>1.45</v>
          </cell>
          <cell r="I153">
            <v>1.05</v>
          </cell>
          <cell r="J153">
            <v>1</v>
          </cell>
          <cell r="K153">
            <v>1.35</v>
          </cell>
          <cell r="L153">
            <v>1</v>
          </cell>
          <cell r="M153">
            <v>1.1000000000000001</v>
          </cell>
          <cell r="N153">
            <v>1</v>
          </cell>
          <cell r="O153">
            <v>1.45</v>
          </cell>
          <cell r="P153">
            <v>1.1499999999999999</v>
          </cell>
          <cell r="Q153">
            <v>1.1000000000000001</v>
          </cell>
          <cell r="R153">
            <v>0.155</v>
          </cell>
        </row>
        <row r="154">
          <cell r="B154">
            <v>40969</v>
          </cell>
          <cell r="C154">
            <v>0.75</v>
          </cell>
          <cell r="D154">
            <v>0.8</v>
          </cell>
          <cell r="E154">
            <v>0.75</v>
          </cell>
          <cell r="F154">
            <v>0.75</v>
          </cell>
          <cell r="G154">
            <v>0.85</v>
          </cell>
          <cell r="H154">
            <v>1</v>
          </cell>
          <cell r="I154">
            <v>0.75</v>
          </cell>
          <cell r="J154">
            <v>0.75</v>
          </cell>
          <cell r="K154">
            <v>0.95</v>
          </cell>
          <cell r="L154">
            <v>0.75</v>
          </cell>
          <cell r="M154">
            <v>0.75</v>
          </cell>
          <cell r="N154">
            <v>0.75</v>
          </cell>
          <cell r="O154">
            <v>1</v>
          </cell>
          <cell r="P154">
            <v>0.9</v>
          </cell>
          <cell r="Q154">
            <v>0.85</v>
          </cell>
          <cell r="R154">
            <v>0.15</v>
          </cell>
        </row>
        <row r="155">
          <cell r="B155">
            <v>41000</v>
          </cell>
          <cell r="C155">
            <v>0.4</v>
          </cell>
          <cell r="D155">
            <v>0.45</v>
          </cell>
          <cell r="E155">
            <v>0.4</v>
          </cell>
          <cell r="F155">
            <v>0.45</v>
          </cell>
          <cell r="G155">
            <v>0.45</v>
          </cell>
          <cell r="H155">
            <v>0.45</v>
          </cell>
          <cell r="I155">
            <v>0.45</v>
          </cell>
          <cell r="J155">
            <v>0.45</v>
          </cell>
          <cell r="K155">
            <v>0.5</v>
          </cell>
          <cell r="L155">
            <v>0.4</v>
          </cell>
          <cell r="M155">
            <v>0.45</v>
          </cell>
          <cell r="N155">
            <v>0.4</v>
          </cell>
          <cell r="O155">
            <v>0.45</v>
          </cell>
          <cell r="P155">
            <v>0.55000000000000004</v>
          </cell>
          <cell r="Q155">
            <v>0.55000000000000004</v>
          </cell>
          <cell r="R155">
            <v>0.15</v>
          </cell>
        </row>
        <row r="156">
          <cell r="B156">
            <v>41030</v>
          </cell>
          <cell r="C156">
            <v>0.45</v>
          </cell>
          <cell r="D156">
            <v>0.5</v>
          </cell>
          <cell r="E156">
            <v>0.4</v>
          </cell>
          <cell r="F156">
            <v>0.4</v>
          </cell>
          <cell r="G156">
            <v>0.45</v>
          </cell>
          <cell r="H156">
            <v>0.5</v>
          </cell>
          <cell r="I156">
            <v>0.45</v>
          </cell>
          <cell r="J156">
            <v>0.4</v>
          </cell>
          <cell r="K156">
            <v>0.45</v>
          </cell>
          <cell r="L156">
            <v>0.45</v>
          </cell>
          <cell r="M156">
            <v>0.5</v>
          </cell>
          <cell r="N156">
            <v>0.45</v>
          </cell>
          <cell r="O156">
            <v>0.5</v>
          </cell>
          <cell r="P156">
            <v>0.6</v>
          </cell>
          <cell r="Q156">
            <v>0.5</v>
          </cell>
          <cell r="R156">
            <v>0.15</v>
          </cell>
        </row>
        <row r="157">
          <cell r="B157">
            <v>41061</v>
          </cell>
          <cell r="C157">
            <v>0.45</v>
          </cell>
          <cell r="D157">
            <v>0.5</v>
          </cell>
          <cell r="E157">
            <v>0.4</v>
          </cell>
          <cell r="F157">
            <v>0.5</v>
          </cell>
          <cell r="G157">
            <v>0.45</v>
          </cell>
          <cell r="H157">
            <v>0.5</v>
          </cell>
          <cell r="I157">
            <v>0.5</v>
          </cell>
          <cell r="J157">
            <v>0.5</v>
          </cell>
          <cell r="K157">
            <v>0.5</v>
          </cell>
          <cell r="L157">
            <v>0.45</v>
          </cell>
          <cell r="M157">
            <v>0.5</v>
          </cell>
          <cell r="N157">
            <v>0.45</v>
          </cell>
          <cell r="O157">
            <v>0.5</v>
          </cell>
          <cell r="P157">
            <v>0.6</v>
          </cell>
          <cell r="Q157">
            <v>0.6</v>
          </cell>
          <cell r="R157">
            <v>0.15</v>
          </cell>
        </row>
        <row r="158">
          <cell r="B158">
            <v>41091</v>
          </cell>
          <cell r="C158">
            <v>0.5</v>
          </cell>
          <cell r="D158">
            <v>0.5</v>
          </cell>
          <cell r="E158">
            <v>0.4</v>
          </cell>
          <cell r="F158">
            <v>0.5</v>
          </cell>
          <cell r="G158">
            <v>0.5</v>
          </cell>
          <cell r="H158">
            <v>0.5</v>
          </cell>
          <cell r="I158">
            <v>0.5</v>
          </cell>
          <cell r="J158">
            <v>0.5</v>
          </cell>
          <cell r="K158">
            <v>0.5</v>
          </cell>
          <cell r="L158">
            <v>0.5</v>
          </cell>
          <cell r="M158">
            <v>0.55000000000000004</v>
          </cell>
          <cell r="N158">
            <v>0.5</v>
          </cell>
          <cell r="O158">
            <v>0.5</v>
          </cell>
          <cell r="P158">
            <v>0.65</v>
          </cell>
          <cell r="Q158">
            <v>0.6</v>
          </cell>
          <cell r="R158">
            <v>0.15</v>
          </cell>
        </row>
        <row r="159">
          <cell r="B159">
            <v>41122</v>
          </cell>
          <cell r="C159">
            <v>0.55000000000000004</v>
          </cell>
          <cell r="D159">
            <v>0.55000000000000004</v>
          </cell>
          <cell r="E159">
            <v>0.5</v>
          </cell>
          <cell r="F159">
            <v>0.6</v>
          </cell>
          <cell r="G159">
            <v>0.55000000000000004</v>
          </cell>
          <cell r="H159">
            <v>0.6</v>
          </cell>
          <cell r="I159">
            <v>0.55000000000000004</v>
          </cell>
          <cell r="J159">
            <v>0.6</v>
          </cell>
          <cell r="K159">
            <v>0.45</v>
          </cell>
          <cell r="L159">
            <v>0.55000000000000004</v>
          </cell>
          <cell r="M159">
            <v>0.6</v>
          </cell>
          <cell r="N159">
            <v>0.55000000000000004</v>
          </cell>
          <cell r="O159">
            <v>0.6</v>
          </cell>
          <cell r="P159">
            <v>0.7</v>
          </cell>
          <cell r="Q159">
            <v>0.7</v>
          </cell>
          <cell r="R159">
            <v>0.15</v>
          </cell>
        </row>
        <row r="160">
          <cell r="B160">
            <v>41153</v>
          </cell>
          <cell r="C160">
            <v>0.55000000000000004</v>
          </cell>
          <cell r="D160">
            <v>0.55000000000000004</v>
          </cell>
          <cell r="E160">
            <v>0.55000000000000004</v>
          </cell>
          <cell r="F160">
            <v>0.55000000000000004</v>
          </cell>
          <cell r="G160">
            <v>0.55000000000000004</v>
          </cell>
          <cell r="H160">
            <v>0.6</v>
          </cell>
          <cell r="I160">
            <v>0.6</v>
          </cell>
          <cell r="J160">
            <v>0.55000000000000004</v>
          </cell>
          <cell r="K160">
            <v>0.5</v>
          </cell>
          <cell r="L160">
            <v>0.55000000000000004</v>
          </cell>
          <cell r="M160">
            <v>0.6</v>
          </cell>
          <cell r="N160">
            <v>0.55000000000000004</v>
          </cell>
          <cell r="O160">
            <v>0.6</v>
          </cell>
          <cell r="P160">
            <v>0.7</v>
          </cell>
          <cell r="Q160">
            <v>0.65</v>
          </cell>
          <cell r="R160">
            <v>0.15</v>
          </cell>
        </row>
        <row r="161">
          <cell r="B161">
            <v>41183</v>
          </cell>
          <cell r="C161">
            <v>0.6</v>
          </cell>
          <cell r="D161">
            <v>0.6</v>
          </cell>
          <cell r="E161">
            <v>0.55000000000000004</v>
          </cell>
          <cell r="F161">
            <v>0.6</v>
          </cell>
          <cell r="G161">
            <v>0.6</v>
          </cell>
          <cell r="H161">
            <v>0.65</v>
          </cell>
          <cell r="I161">
            <v>0.65</v>
          </cell>
          <cell r="J161">
            <v>0.6</v>
          </cell>
          <cell r="K161">
            <v>0.5</v>
          </cell>
          <cell r="L161">
            <v>0.6</v>
          </cell>
          <cell r="M161">
            <v>0.65</v>
          </cell>
          <cell r="N161">
            <v>0.6</v>
          </cell>
          <cell r="O161">
            <v>0.65</v>
          </cell>
          <cell r="P161">
            <v>0.75</v>
          </cell>
          <cell r="Q161">
            <v>0.7</v>
          </cell>
          <cell r="R161">
            <v>0.15</v>
          </cell>
        </row>
        <row r="162">
          <cell r="B162">
            <v>41214</v>
          </cell>
          <cell r="C162">
            <v>0.8</v>
          </cell>
          <cell r="D162">
            <v>0.85</v>
          </cell>
          <cell r="E162">
            <v>0.8</v>
          </cell>
          <cell r="F162">
            <v>0.8</v>
          </cell>
          <cell r="G162">
            <v>0.9</v>
          </cell>
          <cell r="H162">
            <v>0.95</v>
          </cell>
          <cell r="I162">
            <v>0.85</v>
          </cell>
          <cell r="J162">
            <v>0.8</v>
          </cell>
          <cell r="K162">
            <v>0.95</v>
          </cell>
          <cell r="L162">
            <v>0.8</v>
          </cell>
          <cell r="M162">
            <v>0.8</v>
          </cell>
          <cell r="N162">
            <v>0.8</v>
          </cell>
          <cell r="O162">
            <v>0.95</v>
          </cell>
          <cell r="P162">
            <v>0.95</v>
          </cell>
          <cell r="Q162">
            <v>0.9</v>
          </cell>
          <cell r="R162">
            <v>0.15</v>
          </cell>
        </row>
        <row r="163">
          <cell r="B163">
            <v>41244</v>
          </cell>
          <cell r="C163">
            <v>1</v>
          </cell>
          <cell r="D163">
            <v>1.05</v>
          </cell>
          <cell r="E163">
            <v>1</v>
          </cell>
          <cell r="F163">
            <v>1</v>
          </cell>
          <cell r="G163">
            <v>1.1499999999999999</v>
          </cell>
          <cell r="H163">
            <v>1.25</v>
          </cell>
          <cell r="I163">
            <v>1.05</v>
          </cell>
          <cell r="J163">
            <v>1</v>
          </cell>
          <cell r="K163">
            <v>1.35</v>
          </cell>
          <cell r="L163">
            <v>1</v>
          </cell>
          <cell r="M163">
            <v>1.1000000000000001</v>
          </cell>
          <cell r="N163">
            <v>1</v>
          </cell>
          <cell r="O163">
            <v>1.25</v>
          </cell>
          <cell r="P163">
            <v>1.1499999999999999</v>
          </cell>
          <cell r="Q163">
            <v>1.1000000000000001</v>
          </cell>
          <cell r="R163">
            <v>0.15</v>
          </cell>
        </row>
        <row r="164">
          <cell r="B164">
            <v>41275</v>
          </cell>
          <cell r="C164">
            <v>1</v>
          </cell>
          <cell r="D164">
            <v>1.05</v>
          </cell>
          <cell r="E164">
            <v>1</v>
          </cell>
          <cell r="F164">
            <v>1</v>
          </cell>
          <cell r="G164">
            <v>1.1499999999999999</v>
          </cell>
          <cell r="H164">
            <v>1.45</v>
          </cell>
          <cell r="I164">
            <v>1.05</v>
          </cell>
          <cell r="J164">
            <v>1</v>
          </cell>
          <cell r="K164">
            <v>1.35</v>
          </cell>
          <cell r="L164">
            <v>1</v>
          </cell>
          <cell r="M164">
            <v>1.1000000000000001</v>
          </cell>
          <cell r="N164">
            <v>1</v>
          </cell>
          <cell r="O164">
            <v>1.45</v>
          </cell>
          <cell r="P164">
            <v>1.1499999999999999</v>
          </cell>
          <cell r="Q164">
            <v>1.1000000000000001</v>
          </cell>
          <cell r="R164">
            <v>0.15</v>
          </cell>
        </row>
        <row r="165">
          <cell r="B165">
            <v>41306</v>
          </cell>
          <cell r="C165">
            <v>1</v>
          </cell>
          <cell r="D165">
            <v>1.05</v>
          </cell>
          <cell r="E165">
            <v>1</v>
          </cell>
          <cell r="F165">
            <v>1</v>
          </cell>
          <cell r="G165">
            <v>1.1499999999999999</v>
          </cell>
          <cell r="H165">
            <v>1.45</v>
          </cell>
          <cell r="I165">
            <v>1.05</v>
          </cell>
          <cell r="J165">
            <v>1</v>
          </cell>
          <cell r="K165">
            <v>1.35</v>
          </cell>
          <cell r="L165">
            <v>1</v>
          </cell>
          <cell r="M165">
            <v>1.1000000000000001</v>
          </cell>
          <cell r="N165">
            <v>1</v>
          </cell>
          <cell r="O165">
            <v>1.45</v>
          </cell>
          <cell r="P165">
            <v>1.1499999999999999</v>
          </cell>
          <cell r="Q165">
            <v>1.1000000000000001</v>
          </cell>
          <cell r="R165">
            <v>0.15</v>
          </cell>
        </row>
        <row r="166">
          <cell r="B166">
            <v>41334</v>
          </cell>
          <cell r="C166">
            <v>0.75</v>
          </cell>
          <cell r="D166">
            <v>0.8</v>
          </cell>
          <cell r="E166">
            <v>0.75</v>
          </cell>
          <cell r="F166">
            <v>0.75</v>
          </cell>
          <cell r="G166">
            <v>0.85</v>
          </cell>
          <cell r="H166">
            <v>1</v>
          </cell>
          <cell r="I166">
            <v>0.75</v>
          </cell>
          <cell r="J166">
            <v>0.75</v>
          </cell>
          <cell r="K166">
            <v>0.95</v>
          </cell>
          <cell r="L166">
            <v>0.75</v>
          </cell>
          <cell r="M166">
            <v>0.75</v>
          </cell>
          <cell r="N166">
            <v>0.75</v>
          </cell>
          <cell r="O166">
            <v>1</v>
          </cell>
          <cell r="P166">
            <v>0.9</v>
          </cell>
          <cell r="Q166">
            <v>0.85</v>
          </cell>
          <cell r="R166">
            <v>0.15</v>
          </cell>
        </row>
        <row r="167">
          <cell r="B167">
            <v>41365</v>
          </cell>
          <cell r="C167">
            <v>0.4</v>
          </cell>
          <cell r="D167">
            <v>0.45</v>
          </cell>
          <cell r="E167">
            <v>0.4</v>
          </cell>
          <cell r="F167">
            <v>0.45</v>
          </cell>
          <cell r="G167">
            <v>0.45</v>
          </cell>
          <cell r="H167">
            <v>0.45</v>
          </cell>
          <cell r="I167">
            <v>0.45</v>
          </cell>
          <cell r="J167">
            <v>0.45</v>
          </cell>
          <cell r="K167">
            <v>0.5</v>
          </cell>
          <cell r="L167">
            <v>0.4</v>
          </cell>
          <cell r="M167">
            <v>0.45</v>
          </cell>
          <cell r="N167">
            <v>0.4</v>
          </cell>
          <cell r="O167">
            <v>0.45</v>
          </cell>
          <cell r="P167">
            <v>0.55000000000000004</v>
          </cell>
          <cell r="Q167">
            <v>0.55000000000000004</v>
          </cell>
          <cell r="R167">
            <v>0.15</v>
          </cell>
        </row>
        <row r="168">
          <cell r="B168">
            <v>41395</v>
          </cell>
          <cell r="C168">
            <v>0.45</v>
          </cell>
          <cell r="D168">
            <v>0.5</v>
          </cell>
          <cell r="E168">
            <v>0.4</v>
          </cell>
          <cell r="F168">
            <v>0.4</v>
          </cell>
          <cell r="G168">
            <v>0.45</v>
          </cell>
          <cell r="H168">
            <v>0.5</v>
          </cell>
          <cell r="I168">
            <v>0.45</v>
          </cell>
          <cell r="J168">
            <v>0.4</v>
          </cell>
          <cell r="K168">
            <v>0.45</v>
          </cell>
          <cell r="L168">
            <v>0.45</v>
          </cell>
          <cell r="M168">
            <v>0.5</v>
          </cell>
          <cell r="N168">
            <v>0.45</v>
          </cell>
          <cell r="O168">
            <v>0.5</v>
          </cell>
          <cell r="P168">
            <v>0.6</v>
          </cell>
          <cell r="Q168">
            <v>0.5</v>
          </cell>
          <cell r="R168">
            <v>0.15</v>
          </cell>
        </row>
        <row r="169">
          <cell r="B169">
            <v>41426</v>
          </cell>
          <cell r="C169">
            <v>0.45</v>
          </cell>
          <cell r="D169">
            <v>0.5</v>
          </cell>
          <cell r="E169">
            <v>0.4</v>
          </cell>
          <cell r="F169">
            <v>0.5</v>
          </cell>
          <cell r="G169">
            <v>0.45</v>
          </cell>
          <cell r="H169">
            <v>0.5</v>
          </cell>
          <cell r="I169">
            <v>0.5</v>
          </cell>
          <cell r="J169">
            <v>0.5</v>
          </cell>
          <cell r="K169">
            <v>0.5</v>
          </cell>
          <cell r="L169">
            <v>0.45</v>
          </cell>
          <cell r="M169">
            <v>0.5</v>
          </cell>
          <cell r="N169">
            <v>0.45</v>
          </cell>
          <cell r="O169">
            <v>0.5</v>
          </cell>
          <cell r="P169">
            <v>0.6</v>
          </cell>
          <cell r="Q169">
            <v>0.6</v>
          </cell>
          <cell r="R169">
            <v>0.15</v>
          </cell>
        </row>
        <row r="170">
          <cell r="B170">
            <v>41456</v>
          </cell>
          <cell r="C170">
            <v>0.5</v>
          </cell>
          <cell r="D170">
            <v>0.5</v>
          </cell>
          <cell r="E170">
            <v>0.4</v>
          </cell>
          <cell r="F170">
            <v>0.5</v>
          </cell>
          <cell r="G170">
            <v>0.5</v>
          </cell>
          <cell r="H170">
            <v>0.5</v>
          </cell>
          <cell r="I170">
            <v>0.5</v>
          </cell>
          <cell r="J170">
            <v>0.5</v>
          </cell>
          <cell r="K170">
            <v>0.5</v>
          </cell>
          <cell r="L170">
            <v>0.5</v>
          </cell>
          <cell r="M170">
            <v>0.55000000000000004</v>
          </cell>
          <cell r="N170">
            <v>0.5</v>
          </cell>
          <cell r="O170">
            <v>0.5</v>
          </cell>
          <cell r="P170">
            <v>0.65</v>
          </cell>
          <cell r="Q170">
            <v>0.6</v>
          </cell>
          <cell r="R170">
            <v>0.15</v>
          </cell>
        </row>
        <row r="171">
          <cell r="B171">
            <v>41487</v>
          </cell>
          <cell r="C171">
            <v>0.55000000000000004</v>
          </cell>
          <cell r="D171">
            <v>0.55000000000000004</v>
          </cell>
          <cell r="E171">
            <v>0.5</v>
          </cell>
          <cell r="F171">
            <v>0.6</v>
          </cell>
          <cell r="G171">
            <v>0.55000000000000004</v>
          </cell>
          <cell r="H171">
            <v>0.6</v>
          </cell>
          <cell r="I171">
            <v>0.55000000000000004</v>
          </cell>
          <cell r="J171">
            <v>0.6</v>
          </cell>
          <cell r="K171">
            <v>0.45</v>
          </cell>
          <cell r="L171">
            <v>0.55000000000000004</v>
          </cell>
          <cell r="M171">
            <v>0.6</v>
          </cell>
          <cell r="N171">
            <v>0.55000000000000004</v>
          </cell>
          <cell r="O171">
            <v>0.6</v>
          </cell>
          <cell r="P171">
            <v>0.7</v>
          </cell>
          <cell r="Q171">
            <v>0.7</v>
          </cell>
          <cell r="R171">
            <v>0.15</v>
          </cell>
        </row>
        <row r="172">
          <cell r="B172">
            <v>41518</v>
          </cell>
          <cell r="C172">
            <v>0.55000000000000004</v>
          </cell>
          <cell r="D172">
            <v>0.55000000000000004</v>
          </cell>
          <cell r="E172">
            <v>0.55000000000000004</v>
          </cell>
          <cell r="F172">
            <v>0.55000000000000004</v>
          </cell>
          <cell r="G172">
            <v>0.55000000000000004</v>
          </cell>
          <cell r="H172">
            <v>0.6</v>
          </cell>
          <cell r="I172">
            <v>0.6</v>
          </cell>
          <cell r="J172">
            <v>0.55000000000000004</v>
          </cell>
          <cell r="K172">
            <v>0.5</v>
          </cell>
          <cell r="L172">
            <v>0.55000000000000004</v>
          </cell>
          <cell r="M172">
            <v>0.6</v>
          </cell>
          <cell r="N172">
            <v>0.55000000000000004</v>
          </cell>
          <cell r="O172">
            <v>0.6</v>
          </cell>
          <cell r="P172">
            <v>0.7</v>
          </cell>
          <cell r="Q172">
            <v>0.65</v>
          </cell>
          <cell r="R172">
            <v>0.15</v>
          </cell>
        </row>
        <row r="173">
          <cell r="B173">
            <v>41548</v>
          </cell>
          <cell r="C173">
            <v>0.6</v>
          </cell>
          <cell r="D173">
            <v>0.6</v>
          </cell>
          <cell r="E173">
            <v>0.55000000000000004</v>
          </cell>
          <cell r="F173">
            <v>0.6</v>
          </cell>
          <cell r="G173">
            <v>0.6</v>
          </cell>
          <cell r="H173">
            <v>0.65</v>
          </cell>
          <cell r="I173">
            <v>0.65</v>
          </cell>
          <cell r="J173">
            <v>0.6</v>
          </cell>
          <cell r="K173">
            <v>0.5</v>
          </cell>
          <cell r="L173">
            <v>0.6</v>
          </cell>
          <cell r="M173">
            <v>0.65</v>
          </cell>
          <cell r="N173">
            <v>0.6</v>
          </cell>
          <cell r="O173">
            <v>0.65</v>
          </cell>
          <cell r="P173">
            <v>0.75</v>
          </cell>
          <cell r="Q173">
            <v>0.7</v>
          </cell>
          <cell r="R173">
            <v>0.15</v>
          </cell>
        </row>
        <row r="174">
          <cell r="B174">
            <v>41579</v>
          </cell>
          <cell r="C174">
            <v>0.8</v>
          </cell>
          <cell r="D174">
            <v>0.85</v>
          </cell>
          <cell r="E174">
            <v>0.8</v>
          </cell>
          <cell r="F174">
            <v>0.8</v>
          </cell>
          <cell r="G174">
            <v>0.9</v>
          </cell>
          <cell r="H174">
            <v>0.95</v>
          </cell>
          <cell r="I174">
            <v>0.85</v>
          </cell>
          <cell r="J174">
            <v>0.8</v>
          </cell>
          <cell r="K174">
            <v>0.95</v>
          </cell>
          <cell r="L174">
            <v>0.8</v>
          </cell>
          <cell r="M174">
            <v>0.8</v>
          </cell>
          <cell r="N174">
            <v>0.8</v>
          </cell>
          <cell r="O174">
            <v>0.95</v>
          </cell>
          <cell r="P174">
            <v>0.95</v>
          </cell>
          <cell r="Q174">
            <v>0.9</v>
          </cell>
          <cell r="R174">
            <v>0.15</v>
          </cell>
        </row>
        <row r="175">
          <cell r="B175">
            <v>41609</v>
          </cell>
          <cell r="C175">
            <v>1</v>
          </cell>
          <cell r="D175">
            <v>1.05</v>
          </cell>
          <cell r="E175">
            <v>1</v>
          </cell>
          <cell r="F175">
            <v>1</v>
          </cell>
          <cell r="G175">
            <v>1.1499999999999999</v>
          </cell>
          <cell r="H175">
            <v>1.25</v>
          </cell>
          <cell r="I175">
            <v>1.05</v>
          </cell>
          <cell r="J175">
            <v>1</v>
          </cell>
          <cell r="K175">
            <v>1.35</v>
          </cell>
          <cell r="L175">
            <v>1</v>
          </cell>
          <cell r="M175">
            <v>1.1000000000000001</v>
          </cell>
          <cell r="N175">
            <v>1</v>
          </cell>
          <cell r="O175">
            <v>1.25</v>
          </cell>
          <cell r="P175">
            <v>1.1499999999999999</v>
          </cell>
          <cell r="Q175">
            <v>1.1000000000000001</v>
          </cell>
          <cell r="R175">
            <v>0.15</v>
          </cell>
        </row>
        <row r="176">
          <cell r="B176">
            <v>41640</v>
          </cell>
          <cell r="C176">
            <v>1</v>
          </cell>
          <cell r="D176">
            <v>1.05</v>
          </cell>
          <cell r="E176">
            <v>1</v>
          </cell>
          <cell r="F176">
            <v>1</v>
          </cell>
          <cell r="G176">
            <v>1.1499999999999999</v>
          </cell>
          <cell r="H176">
            <v>1.45</v>
          </cell>
          <cell r="I176">
            <v>1.05</v>
          </cell>
          <cell r="J176">
            <v>1</v>
          </cell>
          <cell r="K176">
            <v>1.35</v>
          </cell>
          <cell r="L176">
            <v>1</v>
          </cell>
          <cell r="M176">
            <v>1.1000000000000001</v>
          </cell>
          <cell r="N176">
            <v>1</v>
          </cell>
          <cell r="O176">
            <v>1.45</v>
          </cell>
          <cell r="P176">
            <v>1.1499999999999999</v>
          </cell>
          <cell r="Q176">
            <v>1.1000000000000001</v>
          </cell>
          <cell r="R176">
            <v>0.15</v>
          </cell>
        </row>
        <row r="177">
          <cell r="B177">
            <v>41671</v>
          </cell>
          <cell r="C177">
            <v>1</v>
          </cell>
          <cell r="D177">
            <v>1.05</v>
          </cell>
          <cell r="E177">
            <v>1</v>
          </cell>
          <cell r="F177">
            <v>1</v>
          </cell>
          <cell r="G177">
            <v>1.1499999999999999</v>
          </cell>
          <cell r="H177">
            <v>1.45</v>
          </cell>
          <cell r="I177">
            <v>1.05</v>
          </cell>
          <cell r="J177">
            <v>1</v>
          </cell>
          <cell r="K177">
            <v>1.35</v>
          </cell>
          <cell r="L177">
            <v>1</v>
          </cell>
          <cell r="M177">
            <v>1.1000000000000001</v>
          </cell>
          <cell r="N177">
            <v>1</v>
          </cell>
          <cell r="O177">
            <v>1.45</v>
          </cell>
          <cell r="P177">
            <v>1.1499999999999999</v>
          </cell>
          <cell r="Q177">
            <v>1.1000000000000001</v>
          </cell>
          <cell r="R177">
            <v>0.15</v>
          </cell>
        </row>
        <row r="178">
          <cell r="B178">
            <v>41699</v>
          </cell>
          <cell r="C178">
            <v>0.75</v>
          </cell>
          <cell r="D178">
            <v>0.8</v>
          </cell>
          <cell r="E178">
            <v>0.75</v>
          </cell>
          <cell r="F178">
            <v>0.75</v>
          </cell>
          <cell r="G178">
            <v>0.85</v>
          </cell>
          <cell r="H178">
            <v>1</v>
          </cell>
          <cell r="I178">
            <v>0.75</v>
          </cell>
          <cell r="J178">
            <v>0.75</v>
          </cell>
          <cell r="K178">
            <v>0.95</v>
          </cell>
          <cell r="L178">
            <v>0.75</v>
          </cell>
          <cell r="M178">
            <v>0.75</v>
          </cell>
          <cell r="N178">
            <v>0.75</v>
          </cell>
          <cell r="O178">
            <v>1</v>
          </cell>
          <cell r="P178">
            <v>0.9</v>
          </cell>
          <cell r="Q178">
            <v>0.85</v>
          </cell>
          <cell r="R178">
            <v>0.15</v>
          </cell>
        </row>
        <row r="179">
          <cell r="B179">
            <v>41730</v>
          </cell>
          <cell r="C179">
            <v>0.4</v>
          </cell>
          <cell r="D179">
            <v>0.45</v>
          </cell>
          <cell r="E179">
            <v>0.4</v>
          </cell>
          <cell r="F179">
            <v>0.45</v>
          </cell>
          <cell r="G179">
            <v>0.45</v>
          </cell>
          <cell r="H179">
            <v>0.45</v>
          </cell>
          <cell r="I179">
            <v>0.45</v>
          </cell>
          <cell r="J179">
            <v>0.45</v>
          </cell>
          <cell r="K179">
            <v>0.5</v>
          </cell>
          <cell r="L179">
            <v>0.4</v>
          </cell>
          <cell r="M179">
            <v>0.45</v>
          </cell>
          <cell r="N179">
            <v>0.4</v>
          </cell>
          <cell r="O179">
            <v>0.45</v>
          </cell>
          <cell r="P179">
            <v>0.55000000000000004</v>
          </cell>
          <cell r="Q179">
            <v>0.55000000000000004</v>
          </cell>
          <cell r="R179">
            <v>0.15</v>
          </cell>
        </row>
        <row r="180">
          <cell r="B180">
            <v>41760</v>
          </cell>
          <cell r="C180">
            <v>0.45</v>
          </cell>
          <cell r="D180">
            <v>0.5</v>
          </cell>
          <cell r="E180">
            <v>0.4</v>
          </cell>
          <cell r="F180">
            <v>0.4</v>
          </cell>
          <cell r="G180">
            <v>0.45</v>
          </cell>
          <cell r="H180">
            <v>0.5</v>
          </cell>
          <cell r="I180">
            <v>0.45</v>
          </cell>
          <cell r="J180">
            <v>0.4</v>
          </cell>
          <cell r="K180">
            <v>0.45</v>
          </cell>
          <cell r="L180">
            <v>0.45</v>
          </cell>
          <cell r="M180">
            <v>0.5</v>
          </cell>
          <cell r="N180">
            <v>0.45</v>
          </cell>
          <cell r="O180">
            <v>0.5</v>
          </cell>
          <cell r="P180">
            <v>0.6</v>
          </cell>
          <cell r="Q180">
            <v>0.5</v>
          </cell>
          <cell r="R180">
            <v>0.15</v>
          </cell>
        </row>
        <row r="181">
          <cell r="B181">
            <v>41791</v>
          </cell>
          <cell r="C181">
            <v>0.45</v>
          </cell>
          <cell r="D181">
            <v>0.5</v>
          </cell>
          <cell r="E181">
            <v>0.4</v>
          </cell>
          <cell r="F181">
            <v>0.5</v>
          </cell>
          <cell r="G181">
            <v>0.45</v>
          </cell>
          <cell r="H181">
            <v>0.5</v>
          </cell>
          <cell r="I181">
            <v>0.5</v>
          </cell>
          <cell r="J181">
            <v>0.5</v>
          </cell>
          <cell r="K181">
            <v>0.5</v>
          </cell>
          <cell r="L181">
            <v>0.45</v>
          </cell>
          <cell r="M181">
            <v>0.5</v>
          </cell>
          <cell r="N181">
            <v>0.45</v>
          </cell>
          <cell r="O181">
            <v>0.5</v>
          </cell>
          <cell r="P181">
            <v>0.6</v>
          </cell>
          <cell r="Q181">
            <v>0.6</v>
          </cell>
          <cell r="R181">
            <v>0.15</v>
          </cell>
        </row>
        <row r="182">
          <cell r="B182">
            <v>41821</v>
          </cell>
          <cell r="C182">
            <v>0.5</v>
          </cell>
          <cell r="D182">
            <v>0.5</v>
          </cell>
          <cell r="E182">
            <v>0.4</v>
          </cell>
          <cell r="F182">
            <v>0.5</v>
          </cell>
          <cell r="G182">
            <v>0.5</v>
          </cell>
          <cell r="H182">
            <v>0.5</v>
          </cell>
          <cell r="I182">
            <v>0.5</v>
          </cell>
          <cell r="J182">
            <v>0.5</v>
          </cell>
          <cell r="K182">
            <v>0.5</v>
          </cell>
          <cell r="L182">
            <v>0.5</v>
          </cell>
          <cell r="M182">
            <v>0.55000000000000004</v>
          </cell>
          <cell r="N182">
            <v>0.5</v>
          </cell>
          <cell r="O182">
            <v>0.5</v>
          </cell>
          <cell r="P182">
            <v>0.65</v>
          </cell>
          <cell r="Q182">
            <v>0.6</v>
          </cell>
          <cell r="R182">
            <v>0.15</v>
          </cell>
        </row>
        <row r="183">
          <cell r="B183">
            <v>41852</v>
          </cell>
          <cell r="C183">
            <v>0.55000000000000004</v>
          </cell>
          <cell r="D183">
            <v>0.55000000000000004</v>
          </cell>
          <cell r="E183">
            <v>0.5</v>
          </cell>
          <cell r="F183">
            <v>0.6</v>
          </cell>
          <cell r="G183">
            <v>0.55000000000000004</v>
          </cell>
          <cell r="H183">
            <v>0.6</v>
          </cell>
          <cell r="I183">
            <v>0.55000000000000004</v>
          </cell>
          <cell r="J183">
            <v>0.6</v>
          </cell>
          <cell r="K183">
            <v>0.45</v>
          </cell>
          <cell r="L183">
            <v>0.55000000000000004</v>
          </cell>
          <cell r="M183">
            <v>0.6</v>
          </cell>
          <cell r="N183">
            <v>0.55000000000000004</v>
          </cell>
          <cell r="O183">
            <v>0.6</v>
          </cell>
          <cell r="P183">
            <v>0.7</v>
          </cell>
          <cell r="Q183">
            <v>0.7</v>
          </cell>
          <cell r="R183">
            <v>0.15</v>
          </cell>
        </row>
        <row r="184">
          <cell r="B184">
            <v>41883</v>
          </cell>
          <cell r="C184">
            <v>0.55000000000000004</v>
          </cell>
          <cell r="D184">
            <v>0.55000000000000004</v>
          </cell>
          <cell r="E184">
            <v>0.55000000000000004</v>
          </cell>
          <cell r="F184">
            <v>0.55000000000000004</v>
          </cell>
          <cell r="G184">
            <v>0.55000000000000004</v>
          </cell>
          <cell r="H184">
            <v>0.6</v>
          </cell>
          <cell r="I184">
            <v>0.6</v>
          </cell>
          <cell r="J184">
            <v>0.55000000000000004</v>
          </cell>
          <cell r="K184">
            <v>0.5</v>
          </cell>
          <cell r="L184">
            <v>0.55000000000000004</v>
          </cell>
          <cell r="M184">
            <v>0.6</v>
          </cell>
          <cell r="N184">
            <v>0.55000000000000004</v>
          </cell>
          <cell r="O184">
            <v>0.6</v>
          </cell>
          <cell r="P184">
            <v>0.7</v>
          </cell>
          <cell r="Q184">
            <v>0.65</v>
          </cell>
          <cell r="R184">
            <v>0.15</v>
          </cell>
        </row>
        <row r="185">
          <cell r="B185">
            <v>41913</v>
          </cell>
          <cell r="C185">
            <v>0.6</v>
          </cell>
          <cell r="D185">
            <v>0.6</v>
          </cell>
          <cell r="E185">
            <v>0.55000000000000004</v>
          </cell>
          <cell r="F185">
            <v>0.6</v>
          </cell>
          <cell r="G185">
            <v>0.6</v>
          </cell>
          <cell r="H185">
            <v>0.65</v>
          </cell>
          <cell r="I185">
            <v>0.65</v>
          </cell>
          <cell r="J185">
            <v>0.6</v>
          </cell>
          <cell r="K185">
            <v>0.5</v>
          </cell>
          <cell r="L185">
            <v>0.6</v>
          </cell>
          <cell r="M185">
            <v>0.65</v>
          </cell>
          <cell r="N185">
            <v>0.6</v>
          </cell>
          <cell r="O185">
            <v>0.65</v>
          </cell>
          <cell r="P185">
            <v>0.75</v>
          </cell>
          <cell r="Q185">
            <v>0.7</v>
          </cell>
          <cell r="R185">
            <v>0.15</v>
          </cell>
        </row>
        <row r="186">
          <cell r="B186">
            <v>41944</v>
          </cell>
          <cell r="C186">
            <v>0.8</v>
          </cell>
          <cell r="D186">
            <v>0.85</v>
          </cell>
          <cell r="E186">
            <v>0.8</v>
          </cell>
          <cell r="F186">
            <v>0.8</v>
          </cell>
          <cell r="G186">
            <v>0.9</v>
          </cell>
          <cell r="H186">
            <v>0.95</v>
          </cell>
          <cell r="I186">
            <v>0.85</v>
          </cell>
          <cell r="J186">
            <v>0.8</v>
          </cell>
          <cell r="K186">
            <v>0.95</v>
          </cell>
          <cell r="L186">
            <v>0.8</v>
          </cell>
          <cell r="M186">
            <v>0.8</v>
          </cell>
          <cell r="N186">
            <v>0.8</v>
          </cell>
          <cell r="O186">
            <v>0.95</v>
          </cell>
          <cell r="P186">
            <v>0.95</v>
          </cell>
          <cell r="Q186">
            <v>0.9</v>
          </cell>
          <cell r="R186">
            <v>0.15</v>
          </cell>
        </row>
        <row r="187">
          <cell r="B187">
            <v>41974</v>
          </cell>
          <cell r="C187">
            <v>1</v>
          </cell>
          <cell r="D187">
            <v>1.05</v>
          </cell>
          <cell r="E187">
            <v>1</v>
          </cell>
          <cell r="F187">
            <v>1</v>
          </cell>
          <cell r="G187">
            <v>1.1499999999999999</v>
          </cell>
          <cell r="H187">
            <v>1.25</v>
          </cell>
          <cell r="I187">
            <v>1.05</v>
          </cell>
          <cell r="J187">
            <v>1</v>
          </cell>
          <cell r="K187">
            <v>1.35</v>
          </cell>
          <cell r="L187">
            <v>1</v>
          </cell>
          <cell r="M187">
            <v>1.1000000000000001</v>
          </cell>
          <cell r="N187">
            <v>1</v>
          </cell>
          <cell r="O187">
            <v>1.25</v>
          </cell>
          <cell r="P187">
            <v>1.1499999999999999</v>
          </cell>
          <cell r="Q187">
            <v>1.1000000000000001</v>
          </cell>
          <cell r="R187">
            <v>0.15</v>
          </cell>
        </row>
        <row r="188">
          <cell r="B188">
            <v>42005</v>
          </cell>
          <cell r="C188">
            <v>1</v>
          </cell>
          <cell r="D188">
            <v>1.05</v>
          </cell>
          <cell r="E188">
            <v>1</v>
          </cell>
          <cell r="F188">
            <v>1</v>
          </cell>
          <cell r="G188">
            <v>1.1499999999999999</v>
          </cell>
          <cell r="H188">
            <v>1.45</v>
          </cell>
          <cell r="I188">
            <v>1.05</v>
          </cell>
          <cell r="J188">
            <v>1</v>
          </cell>
          <cell r="K188">
            <v>1.35</v>
          </cell>
          <cell r="L188">
            <v>1</v>
          </cell>
          <cell r="M188">
            <v>1.1000000000000001</v>
          </cell>
          <cell r="N188">
            <v>1</v>
          </cell>
          <cell r="O188">
            <v>1.45</v>
          </cell>
          <cell r="P188">
            <v>1.1499999999999999</v>
          </cell>
          <cell r="Q188">
            <v>1.1000000000000001</v>
          </cell>
          <cell r="R188">
            <v>0.15</v>
          </cell>
        </row>
        <row r="189">
          <cell r="B189">
            <v>42036</v>
          </cell>
          <cell r="C189">
            <v>1</v>
          </cell>
          <cell r="D189">
            <v>1.05</v>
          </cell>
          <cell r="E189">
            <v>1</v>
          </cell>
          <cell r="F189">
            <v>1</v>
          </cell>
          <cell r="G189">
            <v>1.1499999999999999</v>
          </cell>
          <cell r="H189">
            <v>1.45</v>
          </cell>
          <cell r="I189">
            <v>1.05</v>
          </cell>
          <cell r="J189">
            <v>1</v>
          </cell>
          <cell r="K189">
            <v>1.35</v>
          </cell>
          <cell r="L189">
            <v>1</v>
          </cell>
          <cell r="M189">
            <v>1.1000000000000001</v>
          </cell>
          <cell r="N189">
            <v>1</v>
          </cell>
          <cell r="O189">
            <v>1.45</v>
          </cell>
          <cell r="P189">
            <v>1.1499999999999999</v>
          </cell>
          <cell r="Q189">
            <v>1.1000000000000001</v>
          </cell>
          <cell r="R189">
            <v>0.15</v>
          </cell>
        </row>
        <row r="190">
          <cell r="B190">
            <v>42064</v>
          </cell>
          <cell r="C190">
            <v>0.75</v>
          </cell>
          <cell r="D190">
            <v>0.8</v>
          </cell>
          <cell r="E190">
            <v>0.75</v>
          </cell>
          <cell r="F190">
            <v>0.75</v>
          </cell>
          <cell r="G190">
            <v>0.85</v>
          </cell>
          <cell r="H190">
            <v>1</v>
          </cell>
          <cell r="I190">
            <v>0.75</v>
          </cell>
          <cell r="J190">
            <v>0.75</v>
          </cell>
          <cell r="K190">
            <v>0.95</v>
          </cell>
          <cell r="L190">
            <v>0.75</v>
          </cell>
          <cell r="M190">
            <v>0.75</v>
          </cell>
          <cell r="N190">
            <v>0.75</v>
          </cell>
          <cell r="O190">
            <v>1</v>
          </cell>
          <cell r="P190">
            <v>0.9</v>
          </cell>
          <cell r="Q190">
            <v>0.85</v>
          </cell>
          <cell r="R190">
            <v>0.15</v>
          </cell>
        </row>
        <row r="191">
          <cell r="B191">
            <v>42095</v>
          </cell>
          <cell r="C191">
            <v>0.4</v>
          </cell>
          <cell r="D191">
            <v>0.45</v>
          </cell>
          <cell r="E191">
            <v>0.4</v>
          </cell>
          <cell r="F191">
            <v>0.45</v>
          </cell>
          <cell r="G191">
            <v>0.45</v>
          </cell>
          <cell r="H191">
            <v>0.45</v>
          </cell>
          <cell r="I191">
            <v>0.45</v>
          </cell>
          <cell r="J191">
            <v>0.45</v>
          </cell>
          <cell r="K191">
            <v>0.5</v>
          </cell>
          <cell r="L191">
            <v>0.4</v>
          </cell>
          <cell r="M191">
            <v>0.45</v>
          </cell>
          <cell r="N191">
            <v>0.4</v>
          </cell>
          <cell r="O191">
            <v>0.45</v>
          </cell>
          <cell r="P191">
            <v>0.55000000000000004</v>
          </cell>
          <cell r="Q191">
            <v>0.55000000000000004</v>
          </cell>
          <cell r="R191">
            <v>0.15</v>
          </cell>
        </row>
        <row r="192">
          <cell r="B192">
            <v>42125</v>
          </cell>
          <cell r="C192">
            <v>0.45</v>
          </cell>
          <cell r="D192">
            <v>0.5</v>
          </cell>
          <cell r="E192">
            <v>0.4</v>
          </cell>
          <cell r="F192">
            <v>0.4</v>
          </cell>
          <cell r="G192">
            <v>0.45</v>
          </cell>
          <cell r="H192">
            <v>0.5</v>
          </cell>
          <cell r="I192">
            <v>0.45</v>
          </cell>
          <cell r="J192">
            <v>0.4</v>
          </cell>
          <cell r="K192">
            <v>0.45</v>
          </cell>
          <cell r="L192">
            <v>0.45</v>
          </cell>
          <cell r="M192">
            <v>0.5</v>
          </cell>
          <cell r="N192">
            <v>0.45</v>
          </cell>
          <cell r="O192">
            <v>0.5</v>
          </cell>
          <cell r="P192">
            <v>0.6</v>
          </cell>
          <cell r="Q192">
            <v>0.5</v>
          </cell>
          <cell r="R192">
            <v>0.15</v>
          </cell>
        </row>
        <row r="193">
          <cell r="B193">
            <v>42156</v>
          </cell>
          <cell r="C193">
            <v>0.45</v>
          </cell>
          <cell r="D193">
            <v>0.5</v>
          </cell>
          <cell r="E193">
            <v>0.4</v>
          </cell>
          <cell r="F193">
            <v>0.5</v>
          </cell>
          <cell r="G193">
            <v>0.45</v>
          </cell>
          <cell r="H193">
            <v>0.5</v>
          </cell>
          <cell r="I193">
            <v>0.5</v>
          </cell>
          <cell r="J193">
            <v>0.5</v>
          </cell>
          <cell r="K193">
            <v>0.5</v>
          </cell>
          <cell r="L193">
            <v>0.45</v>
          </cell>
          <cell r="M193">
            <v>0.5</v>
          </cell>
          <cell r="N193">
            <v>0.45</v>
          </cell>
          <cell r="O193">
            <v>0.5</v>
          </cell>
          <cell r="P193">
            <v>0.6</v>
          </cell>
          <cell r="Q193">
            <v>0.6</v>
          </cell>
          <cell r="R193">
            <v>0.15</v>
          </cell>
        </row>
        <row r="194">
          <cell r="B194">
            <v>42186</v>
          </cell>
          <cell r="C194">
            <v>0.5</v>
          </cell>
          <cell r="D194">
            <v>0.5</v>
          </cell>
          <cell r="E194">
            <v>0.4</v>
          </cell>
          <cell r="F194">
            <v>0.5</v>
          </cell>
          <cell r="G194">
            <v>0.5</v>
          </cell>
          <cell r="H194">
            <v>0.5</v>
          </cell>
          <cell r="I194">
            <v>0.5</v>
          </cell>
          <cell r="J194">
            <v>0.5</v>
          </cell>
          <cell r="K194">
            <v>0.5</v>
          </cell>
          <cell r="L194">
            <v>0.5</v>
          </cell>
          <cell r="M194">
            <v>0.55000000000000004</v>
          </cell>
          <cell r="N194">
            <v>0.5</v>
          </cell>
          <cell r="O194">
            <v>0.5</v>
          </cell>
          <cell r="P194">
            <v>0.65</v>
          </cell>
          <cell r="Q194">
            <v>0.6</v>
          </cell>
          <cell r="R194">
            <v>0.15</v>
          </cell>
        </row>
        <row r="195">
          <cell r="B195">
            <v>42217</v>
          </cell>
          <cell r="C195">
            <v>0.55000000000000004</v>
          </cell>
          <cell r="D195">
            <v>0.55000000000000004</v>
          </cell>
          <cell r="E195">
            <v>0.5</v>
          </cell>
          <cell r="F195">
            <v>0.6</v>
          </cell>
          <cell r="G195">
            <v>0.55000000000000004</v>
          </cell>
          <cell r="H195">
            <v>0.6</v>
          </cell>
          <cell r="I195">
            <v>0.55000000000000004</v>
          </cell>
          <cell r="J195">
            <v>0.6</v>
          </cell>
          <cell r="K195">
            <v>0.45</v>
          </cell>
          <cell r="L195">
            <v>0.55000000000000004</v>
          </cell>
          <cell r="M195">
            <v>0.6</v>
          </cell>
          <cell r="N195">
            <v>0.55000000000000004</v>
          </cell>
          <cell r="O195">
            <v>0.6</v>
          </cell>
          <cell r="P195">
            <v>0.7</v>
          </cell>
          <cell r="Q195">
            <v>0.7</v>
          </cell>
          <cell r="R195">
            <v>0.15</v>
          </cell>
        </row>
        <row r="196">
          <cell r="B196">
            <v>42248</v>
          </cell>
          <cell r="C196">
            <v>0.55000000000000004</v>
          </cell>
          <cell r="D196">
            <v>0.55000000000000004</v>
          </cell>
          <cell r="E196">
            <v>0.55000000000000004</v>
          </cell>
          <cell r="F196">
            <v>0.55000000000000004</v>
          </cell>
          <cell r="G196">
            <v>0.55000000000000004</v>
          </cell>
          <cell r="H196">
            <v>0.6</v>
          </cell>
          <cell r="I196">
            <v>0.6</v>
          </cell>
          <cell r="J196">
            <v>0.55000000000000004</v>
          </cell>
          <cell r="K196">
            <v>0.5</v>
          </cell>
          <cell r="L196">
            <v>0.55000000000000004</v>
          </cell>
          <cell r="M196">
            <v>0.6</v>
          </cell>
          <cell r="N196">
            <v>0.55000000000000004</v>
          </cell>
          <cell r="O196">
            <v>0.6</v>
          </cell>
          <cell r="P196">
            <v>0.7</v>
          </cell>
          <cell r="Q196">
            <v>0.65</v>
          </cell>
          <cell r="R196">
            <v>0.15</v>
          </cell>
        </row>
        <row r="197">
          <cell r="B197">
            <v>42278</v>
          </cell>
          <cell r="C197">
            <v>0.6</v>
          </cell>
          <cell r="D197">
            <v>0.6</v>
          </cell>
          <cell r="E197">
            <v>0.55000000000000004</v>
          </cell>
          <cell r="F197">
            <v>0.6</v>
          </cell>
          <cell r="G197">
            <v>0.6</v>
          </cell>
          <cell r="H197">
            <v>0.65</v>
          </cell>
          <cell r="I197">
            <v>0.65</v>
          </cell>
          <cell r="J197">
            <v>0.6</v>
          </cell>
          <cell r="K197">
            <v>0.5</v>
          </cell>
          <cell r="L197">
            <v>0.6</v>
          </cell>
          <cell r="M197">
            <v>0.65</v>
          </cell>
          <cell r="N197">
            <v>0.6</v>
          </cell>
          <cell r="O197">
            <v>0.65</v>
          </cell>
          <cell r="P197">
            <v>0.75</v>
          </cell>
          <cell r="Q197">
            <v>0.7</v>
          </cell>
          <cell r="R197">
            <v>0.15</v>
          </cell>
        </row>
        <row r="198">
          <cell r="B198">
            <v>42309</v>
          </cell>
          <cell r="C198">
            <v>0.8</v>
          </cell>
          <cell r="D198">
            <v>0.85</v>
          </cell>
          <cell r="E198">
            <v>0.8</v>
          </cell>
          <cell r="F198">
            <v>0.8</v>
          </cell>
          <cell r="G198">
            <v>0.9</v>
          </cell>
          <cell r="H198">
            <v>0.95</v>
          </cell>
          <cell r="I198">
            <v>0.85</v>
          </cell>
          <cell r="J198">
            <v>0.8</v>
          </cell>
          <cell r="K198">
            <v>0.95</v>
          </cell>
          <cell r="L198">
            <v>0.8</v>
          </cell>
          <cell r="M198">
            <v>0.8</v>
          </cell>
          <cell r="N198">
            <v>0.8</v>
          </cell>
          <cell r="O198">
            <v>0.95</v>
          </cell>
          <cell r="P198">
            <v>0.95</v>
          </cell>
          <cell r="Q198">
            <v>0.9</v>
          </cell>
          <cell r="R198">
            <v>0.15</v>
          </cell>
        </row>
        <row r="199">
          <cell r="B199">
            <v>42339</v>
          </cell>
          <cell r="C199">
            <v>1</v>
          </cell>
          <cell r="D199">
            <v>1.05</v>
          </cell>
          <cell r="E199">
            <v>1</v>
          </cell>
          <cell r="F199">
            <v>1</v>
          </cell>
          <cell r="G199">
            <v>1.1499999999999999</v>
          </cell>
          <cell r="H199">
            <v>1.25</v>
          </cell>
          <cell r="I199">
            <v>1.05</v>
          </cell>
          <cell r="J199">
            <v>1</v>
          </cell>
          <cell r="K199">
            <v>1.35</v>
          </cell>
          <cell r="L199">
            <v>1</v>
          </cell>
          <cell r="M199">
            <v>1.1000000000000001</v>
          </cell>
          <cell r="N199">
            <v>1</v>
          </cell>
          <cell r="O199">
            <v>1.25</v>
          </cell>
          <cell r="P199">
            <v>1.1499999999999999</v>
          </cell>
          <cell r="Q199">
            <v>1.1000000000000001</v>
          </cell>
          <cell r="R199">
            <v>0.15</v>
          </cell>
        </row>
        <row r="200">
          <cell r="B200">
            <v>42370</v>
          </cell>
          <cell r="C200">
            <v>1</v>
          </cell>
          <cell r="D200">
            <v>1.05</v>
          </cell>
          <cell r="E200">
            <v>1</v>
          </cell>
          <cell r="F200">
            <v>1</v>
          </cell>
          <cell r="G200">
            <v>1.1499999999999999</v>
          </cell>
          <cell r="H200">
            <v>1.45</v>
          </cell>
          <cell r="I200">
            <v>1.05</v>
          </cell>
          <cell r="J200">
            <v>1</v>
          </cell>
          <cell r="K200">
            <v>1.35</v>
          </cell>
          <cell r="L200">
            <v>1</v>
          </cell>
          <cell r="M200">
            <v>1.1000000000000001</v>
          </cell>
          <cell r="N200">
            <v>1</v>
          </cell>
          <cell r="O200">
            <v>1.45</v>
          </cell>
          <cell r="P200">
            <v>1.1499999999999999</v>
          </cell>
          <cell r="Q200">
            <v>1.1000000000000001</v>
          </cell>
          <cell r="R200">
            <v>0.15</v>
          </cell>
        </row>
        <row r="201">
          <cell r="B201">
            <v>42401</v>
          </cell>
          <cell r="C201">
            <v>1</v>
          </cell>
          <cell r="D201">
            <v>1.05</v>
          </cell>
          <cell r="E201">
            <v>1</v>
          </cell>
          <cell r="F201">
            <v>1</v>
          </cell>
          <cell r="G201">
            <v>1.1499999999999999</v>
          </cell>
          <cell r="H201">
            <v>1.45</v>
          </cell>
          <cell r="I201">
            <v>1.05</v>
          </cell>
          <cell r="J201">
            <v>1</v>
          </cell>
          <cell r="K201">
            <v>1.35</v>
          </cell>
          <cell r="L201">
            <v>1</v>
          </cell>
          <cell r="M201">
            <v>1.1000000000000001</v>
          </cell>
          <cell r="N201">
            <v>1</v>
          </cell>
          <cell r="O201">
            <v>1.45</v>
          </cell>
          <cell r="P201">
            <v>1.1499999999999999</v>
          </cell>
          <cell r="Q201">
            <v>1.1000000000000001</v>
          </cell>
          <cell r="R201">
            <v>0.15</v>
          </cell>
        </row>
        <row r="202">
          <cell r="B202">
            <v>42430</v>
          </cell>
          <cell r="C202">
            <v>0.75</v>
          </cell>
          <cell r="D202">
            <v>0.8</v>
          </cell>
          <cell r="E202">
            <v>0.75</v>
          </cell>
          <cell r="F202">
            <v>0.75</v>
          </cell>
          <cell r="G202">
            <v>0.85</v>
          </cell>
          <cell r="H202">
            <v>1</v>
          </cell>
          <cell r="I202">
            <v>0.75</v>
          </cell>
          <cell r="J202">
            <v>0.75</v>
          </cell>
          <cell r="K202">
            <v>0.95</v>
          </cell>
          <cell r="L202">
            <v>0.75</v>
          </cell>
          <cell r="M202">
            <v>0.75</v>
          </cell>
          <cell r="N202">
            <v>0.75</v>
          </cell>
          <cell r="O202">
            <v>1</v>
          </cell>
          <cell r="P202">
            <v>0.9</v>
          </cell>
          <cell r="Q202">
            <v>0.85</v>
          </cell>
          <cell r="R202">
            <v>0.15</v>
          </cell>
        </row>
        <row r="203">
          <cell r="B203">
            <v>42461</v>
          </cell>
          <cell r="C203">
            <v>0.4</v>
          </cell>
          <cell r="D203">
            <v>0.45</v>
          </cell>
          <cell r="E203">
            <v>0.4</v>
          </cell>
          <cell r="F203">
            <v>0.45</v>
          </cell>
          <cell r="G203">
            <v>0.45</v>
          </cell>
          <cell r="H203">
            <v>0.45</v>
          </cell>
          <cell r="I203">
            <v>0.45</v>
          </cell>
          <cell r="J203">
            <v>0.45</v>
          </cell>
          <cell r="K203">
            <v>0.5</v>
          </cell>
          <cell r="L203">
            <v>0.4</v>
          </cell>
          <cell r="M203">
            <v>0.45</v>
          </cell>
          <cell r="N203">
            <v>0.4</v>
          </cell>
          <cell r="O203">
            <v>0.45</v>
          </cell>
          <cell r="P203">
            <v>0.55000000000000004</v>
          </cell>
          <cell r="Q203">
            <v>0.55000000000000004</v>
          </cell>
          <cell r="R203">
            <v>0.15</v>
          </cell>
        </row>
        <row r="204">
          <cell r="B204">
            <v>42491</v>
          </cell>
          <cell r="C204">
            <v>0.45</v>
          </cell>
          <cell r="D204">
            <v>0.5</v>
          </cell>
          <cell r="E204">
            <v>0.4</v>
          </cell>
          <cell r="F204">
            <v>0.4</v>
          </cell>
          <cell r="G204">
            <v>0.45</v>
          </cell>
          <cell r="H204">
            <v>0.5</v>
          </cell>
          <cell r="I204">
            <v>0.45</v>
          </cell>
          <cell r="J204">
            <v>0.4</v>
          </cell>
          <cell r="K204">
            <v>0.45</v>
          </cell>
          <cell r="L204">
            <v>0.45</v>
          </cell>
          <cell r="M204">
            <v>0.5</v>
          </cell>
          <cell r="N204">
            <v>0.45</v>
          </cell>
          <cell r="O204">
            <v>0.5</v>
          </cell>
          <cell r="P204">
            <v>0.6</v>
          </cell>
          <cell r="Q204">
            <v>0.5</v>
          </cell>
          <cell r="R204">
            <v>0.15</v>
          </cell>
        </row>
        <row r="205">
          <cell r="B205">
            <v>42522</v>
          </cell>
          <cell r="C205">
            <v>0.45</v>
          </cell>
          <cell r="D205">
            <v>0.5</v>
          </cell>
          <cell r="E205">
            <v>0.4</v>
          </cell>
          <cell r="F205">
            <v>0.5</v>
          </cell>
          <cell r="G205">
            <v>0.45</v>
          </cell>
          <cell r="H205">
            <v>0.5</v>
          </cell>
          <cell r="I205">
            <v>0.5</v>
          </cell>
          <cell r="J205">
            <v>0.5</v>
          </cell>
          <cell r="K205">
            <v>0.5</v>
          </cell>
          <cell r="L205">
            <v>0.45</v>
          </cell>
          <cell r="M205">
            <v>0.5</v>
          </cell>
          <cell r="N205">
            <v>0.45</v>
          </cell>
          <cell r="O205">
            <v>0.5</v>
          </cell>
          <cell r="P205">
            <v>0.6</v>
          </cell>
          <cell r="Q205">
            <v>0.6</v>
          </cell>
          <cell r="R205">
            <v>0.15</v>
          </cell>
        </row>
        <row r="206">
          <cell r="B206">
            <v>42552</v>
          </cell>
          <cell r="C206">
            <v>0.5</v>
          </cell>
          <cell r="D206">
            <v>0.5</v>
          </cell>
          <cell r="E206">
            <v>0.4</v>
          </cell>
          <cell r="F206">
            <v>0.5</v>
          </cell>
          <cell r="G206">
            <v>0.5</v>
          </cell>
          <cell r="H206">
            <v>0.5</v>
          </cell>
          <cell r="I206">
            <v>0.5</v>
          </cell>
          <cell r="J206">
            <v>0.5</v>
          </cell>
          <cell r="K206">
            <v>0.5</v>
          </cell>
          <cell r="L206">
            <v>0.5</v>
          </cell>
          <cell r="M206">
            <v>0.55000000000000004</v>
          </cell>
          <cell r="N206">
            <v>0.5</v>
          </cell>
          <cell r="O206">
            <v>0.5</v>
          </cell>
          <cell r="P206">
            <v>0.65</v>
          </cell>
          <cell r="Q206">
            <v>0.6</v>
          </cell>
          <cell r="R206">
            <v>0.15</v>
          </cell>
        </row>
        <row r="207">
          <cell r="B207">
            <v>42583</v>
          </cell>
          <cell r="C207">
            <v>0.55000000000000004</v>
          </cell>
          <cell r="D207">
            <v>0.55000000000000004</v>
          </cell>
          <cell r="E207">
            <v>0.5</v>
          </cell>
          <cell r="F207">
            <v>0.6</v>
          </cell>
          <cell r="G207">
            <v>0.55000000000000004</v>
          </cell>
          <cell r="H207">
            <v>0.6</v>
          </cell>
          <cell r="I207">
            <v>0.55000000000000004</v>
          </cell>
          <cell r="J207">
            <v>0.6</v>
          </cell>
          <cell r="K207">
            <v>0.45</v>
          </cell>
          <cell r="L207">
            <v>0.55000000000000004</v>
          </cell>
          <cell r="M207">
            <v>0.6</v>
          </cell>
          <cell r="N207">
            <v>0.55000000000000004</v>
          </cell>
          <cell r="O207">
            <v>0.6</v>
          </cell>
          <cell r="P207">
            <v>0.7</v>
          </cell>
          <cell r="Q207">
            <v>0.7</v>
          </cell>
          <cell r="R207">
            <v>0.15</v>
          </cell>
        </row>
        <row r="208">
          <cell r="B208">
            <v>42614</v>
          </cell>
          <cell r="C208">
            <v>0.55000000000000004</v>
          </cell>
          <cell r="D208">
            <v>0.55000000000000004</v>
          </cell>
          <cell r="E208">
            <v>0.55000000000000004</v>
          </cell>
          <cell r="F208">
            <v>0.55000000000000004</v>
          </cell>
          <cell r="G208">
            <v>0.55000000000000004</v>
          </cell>
          <cell r="H208">
            <v>0.6</v>
          </cell>
          <cell r="I208">
            <v>0.6</v>
          </cell>
          <cell r="J208">
            <v>0.55000000000000004</v>
          </cell>
          <cell r="K208">
            <v>0.5</v>
          </cell>
          <cell r="L208">
            <v>0.55000000000000004</v>
          </cell>
          <cell r="M208">
            <v>0.6</v>
          </cell>
          <cell r="N208">
            <v>0.55000000000000004</v>
          </cell>
          <cell r="O208">
            <v>0.6</v>
          </cell>
          <cell r="P208">
            <v>0.7</v>
          </cell>
          <cell r="Q208">
            <v>0.65</v>
          </cell>
          <cell r="R208">
            <v>0.15</v>
          </cell>
        </row>
        <row r="209">
          <cell r="B209">
            <v>42644</v>
          </cell>
          <cell r="C209">
            <v>0.6</v>
          </cell>
          <cell r="D209">
            <v>0.6</v>
          </cell>
          <cell r="E209">
            <v>0.55000000000000004</v>
          </cell>
          <cell r="F209">
            <v>0.6</v>
          </cell>
          <cell r="G209">
            <v>0.6</v>
          </cell>
          <cell r="H209">
            <v>0.65</v>
          </cell>
          <cell r="I209">
            <v>0.65</v>
          </cell>
          <cell r="J209">
            <v>0.6</v>
          </cell>
          <cell r="K209">
            <v>0.5</v>
          </cell>
          <cell r="L209">
            <v>0.6</v>
          </cell>
          <cell r="M209">
            <v>0.65</v>
          </cell>
          <cell r="N209">
            <v>0.6</v>
          </cell>
          <cell r="O209">
            <v>0.65</v>
          </cell>
          <cell r="P209">
            <v>0.75</v>
          </cell>
          <cell r="Q209">
            <v>0.7</v>
          </cell>
          <cell r="R209">
            <v>0.15</v>
          </cell>
        </row>
        <row r="210">
          <cell r="B210">
            <v>42675</v>
          </cell>
          <cell r="C210">
            <v>0.8</v>
          </cell>
          <cell r="D210">
            <v>0.85</v>
          </cell>
          <cell r="E210">
            <v>0.8</v>
          </cell>
          <cell r="F210">
            <v>0.8</v>
          </cell>
          <cell r="G210">
            <v>0.9</v>
          </cell>
          <cell r="H210">
            <v>0.95</v>
          </cell>
          <cell r="I210">
            <v>0.85</v>
          </cell>
          <cell r="J210">
            <v>0.8</v>
          </cell>
          <cell r="K210">
            <v>0.95</v>
          </cell>
          <cell r="L210">
            <v>0.8</v>
          </cell>
          <cell r="M210">
            <v>0.8</v>
          </cell>
          <cell r="N210">
            <v>0.8</v>
          </cell>
          <cell r="O210">
            <v>0.95</v>
          </cell>
          <cell r="P210">
            <v>0.95</v>
          </cell>
          <cell r="Q210">
            <v>0.9</v>
          </cell>
          <cell r="R210">
            <v>0.15</v>
          </cell>
        </row>
        <row r="211">
          <cell r="B211">
            <v>42705</v>
          </cell>
          <cell r="C211">
            <v>1</v>
          </cell>
          <cell r="D211">
            <v>1.05</v>
          </cell>
          <cell r="E211">
            <v>1</v>
          </cell>
          <cell r="F211">
            <v>1</v>
          </cell>
          <cell r="G211">
            <v>1.1499999999999999</v>
          </cell>
          <cell r="H211">
            <v>1.25</v>
          </cell>
          <cell r="I211">
            <v>1.05</v>
          </cell>
          <cell r="J211">
            <v>1</v>
          </cell>
          <cell r="K211">
            <v>1.35</v>
          </cell>
          <cell r="L211">
            <v>1</v>
          </cell>
          <cell r="M211">
            <v>1.1000000000000001</v>
          </cell>
          <cell r="N211">
            <v>1</v>
          </cell>
          <cell r="O211">
            <v>1.25</v>
          </cell>
          <cell r="P211">
            <v>1.1499999999999999</v>
          </cell>
          <cell r="Q211">
            <v>1.1000000000000001</v>
          </cell>
          <cell r="R211">
            <v>0.15</v>
          </cell>
        </row>
        <row r="212">
          <cell r="B212">
            <v>42736</v>
          </cell>
          <cell r="C212">
            <v>1</v>
          </cell>
          <cell r="D212">
            <v>1.05</v>
          </cell>
          <cell r="E212">
            <v>1</v>
          </cell>
          <cell r="F212">
            <v>1</v>
          </cell>
          <cell r="G212">
            <v>1.1499999999999999</v>
          </cell>
          <cell r="H212">
            <v>1.45</v>
          </cell>
          <cell r="I212">
            <v>1.05</v>
          </cell>
          <cell r="J212">
            <v>1</v>
          </cell>
          <cell r="K212">
            <v>1.35</v>
          </cell>
          <cell r="L212">
            <v>1</v>
          </cell>
          <cell r="M212">
            <v>1.1000000000000001</v>
          </cell>
          <cell r="N212">
            <v>1</v>
          </cell>
          <cell r="O212">
            <v>1.45</v>
          </cell>
          <cell r="P212">
            <v>1.1499999999999999</v>
          </cell>
          <cell r="Q212">
            <v>1.1000000000000001</v>
          </cell>
          <cell r="R212">
            <v>0.15</v>
          </cell>
        </row>
        <row r="213">
          <cell r="B213">
            <v>42767</v>
          </cell>
          <cell r="C213">
            <v>1</v>
          </cell>
          <cell r="D213">
            <v>1.05</v>
          </cell>
          <cell r="E213">
            <v>1</v>
          </cell>
          <cell r="F213">
            <v>1</v>
          </cell>
          <cell r="G213">
            <v>1.1499999999999999</v>
          </cell>
          <cell r="H213">
            <v>1.45</v>
          </cell>
          <cell r="I213">
            <v>1.05</v>
          </cell>
          <cell r="J213">
            <v>1</v>
          </cell>
          <cell r="K213">
            <v>1.35</v>
          </cell>
          <cell r="L213">
            <v>1</v>
          </cell>
          <cell r="M213">
            <v>1.1000000000000001</v>
          </cell>
          <cell r="N213">
            <v>1</v>
          </cell>
          <cell r="O213">
            <v>1.45</v>
          </cell>
          <cell r="P213">
            <v>1.1499999999999999</v>
          </cell>
          <cell r="Q213">
            <v>1.1000000000000001</v>
          </cell>
          <cell r="R213">
            <v>0.15</v>
          </cell>
        </row>
        <row r="214">
          <cell r="B214">
            <v>42795</v>
          </cell>
          <cell r="C214">
            <v>0.75</v>
          </cell>
          <cell r="D214">
            <v>0.8</v>
          </cell>
          <cell r="E214">
            <v>0.75</v>
          </cell>
          <cell r="F214">
            <v>0.75</v>
          </cell>
          <cell r="G214">
            <v>0.85</v>
          </cell>
          <cell r="H214">
            <v>1</v>
          </cell>
          <cell r="I214">
            <v>0.75</v>
          </cell>
          <cell r="J214">
            <v>0.75</v>
          </cell>
          <cell r="K214">
            <v>0.95</v>
          </cell>
          <cell r="L214">
            <v>0.75</v>
          </cell>
          <cell r="M214">
            <v>0.75</v>
          </cell>
          <cell r="N214">
            <v>0.75</v>
          </cell>
          <cell r="O214">
            <v>1</v>
          </cell>
          <cell r="P214">
            <v>0.9</v>
          </cell>
          <cell r="Q214">
            <v>0.85</v>
          </cell>
          <cell r="R214">
            <v>0.15</v>
          </cell>
        </row>
        <row r="215">
          <cell r="B215">
            <v>42826</v>
          </cell>
          <cell r="C215">
            <v>0.4</v>
          </cell>
          <cell r="D215">
            <v>0.45</v>
          </cell>
          <cell r="E215">
            <v>0.4</v>
          </cell>
          <cell r="F215">
            <v>0.45</v>
          </cell>
          <cell r="G215">
            <v>0.45</v>
          </cell>
          <cell r="H215">
            <v>0.45</v>
          </cell>
          <cell r="I215">
            <v>0.45</v>
          </cell>
          <cell r="J215">
            <v>0.45</v>
          </cell>
          <cell r="K215">
            <v>0.5</v>
          </cell>
          <cell r="L215">
            <v>0.4</v>
          </cell>
          <cell r="M215">
            <v>0.45</v>
          </cell>
          <cell r="N215">
            <v>0.4</v>
          </cell>
          <cell r="O215">
            <v>0.45</v>
          </cell>
          <cell r="P215">
            <v>0.55000000000000004</v>
          </cell>
          <cell r="Q215">
            <v>0.55000000000000004</v>
          </cell>
          <cell r="R215">
            <v>0.15</v>
          </cell>
        </row>
        <row r="216">
          <cell r="B216">
            <v>42856</v>
          </cell>
          <cell r="C216">
            <v>0.45</v>
          </cell>
          <cell r="D216">
            <v>0.5</v>
          </cell>
          <cell r="E216">
            <v>0.4</v>
          </cell>
          <cell r="F216">
            <v>0.4</v>
          </cell>
          <cell r="G216">
            <v>0.45</v>
          </cell>
          <cell r="H216">
            <v>0.5</v>
          </cell>
          <cell r="I216">
            <v>0.45</v>
          </cell>
          <cell r="J216">
            <v>0.4</v>
          </cell>
          <cell r="K216">
            <v>0.45</v>
          </cell>
          <cell r="L216">
            <v>0.45</v>
          </cell>
          <cell r="M216">
            <v>0.5</v>
          </cell>
          <cell r="N216">
            <v>0.45</v>
          </cell>
          <cell r="O216">
            <v>0.5</v>
          </cell>
          <cell r="P216">
            <v>0.6</v>
          </cell>
          <cell r="Q216">
            <v>0.5</v>
          </cell>
          <cell r="R216">
            <v>0.15</v>
          </cell>
        </row>
        <row r="217">
          <cell r="B217">
            <v>42887</v>
          </cell>
          <cell r="C217">
            <v>0.45</v>
          </cell>
          <cell r="D217">
            <v>0.5</v>
          </cell>
          <cell r="E217">
            <v>0.4</v>
          </cell>
          <cell r="F217">
            <v>0.5</v>
          </cell>
          <cell r="G217">
            <v>0.45</v>
          </cell>
          <cell r="H217">
            <v>0.5</v>
          </cell>
          <cell r="I217">
            <v>0.5</v>
          </cell>
          <cell r="J217">
            <v>0.5</v>
          </cell>
          <cell r="K217">
            <v>0.5</v>
          </cell>
          <cell r="L217">
            <v>0.45</v>
          </cell>
          <cell r="M217">
            <v>0.5</v>
          </cell>
          <cell r="N217">
            <v>0.45</v>
          </cell>
          <cell r="O217">
            <v>0.5</v>
          </cell>
          <cell r="P217">
            <v>0.6</v>
          </cell>
          <cell r="Q217">
            <v>0.6</v>
          </cell>
          <cell r="R217">
            <v>0.15</v>
          </cell>
        </row>
        <row r="218">
          <cell r="B218">
            <v>42917</v>
          </cell>
          <cell r="C218">
            <v>0.5</v>
          </cell>
          <cell r="D218">
            <v>0.5</v>
          </cell>
          <cell r="E218">
            <v>0.4</v>
          </cell>
          <cell r="F218">
            <v>0.5</v>
          </cell>
          <cell r="G218">
            <v>0.5</v>
          </cell>
          <cell r="H218">
            <v>0.5</v>
          </cell>
          <cell r="I218">
            <v>0.5</v>
          </cell>
          <cell r="J218">
            <v>0.5</v>
          </cell>
          <cell r="K218">
            <v>0.5</v>
          </cell>
          <cell r="L218">
            <v>0.5</v>
          </cell>
          <cell r="M218">
            <v>0.55000000000000004</v>
          </cell>
          <cell r="N218">
            <v>0.5</v>
          </cell>
          <cell r="O218">
            <v>0.5</v>
          </cell>
          <cell r="P218">
            <v>0.65</v>
          </cell>
          <cell r="Q218">
            <v>0.6</v>
          </cell>
          <cell r="R218">
            <v>0.15</v>
          </cell>
        </row>
        <row r="219">
          <cell r="B219">
            <v>42948</v>
          </cell>
          <cell r="C219">
            <v>0.55000000000000004</v>
          </cell>
          <cell r="D219">
            <v>0.55000000000000004</v>
          </cell>
          <cell r="E219">
            <v>0.5</v>
          </cell>
          <cell r="F219">
            <v>0.6</v>
          </cell>
          <cell r="G219">
            <v>0.55000000000000004</v>
          </cell>
          <cell r="H219">
            <v>0.6</v>
          </cell>
          <cell r="I219">
            <v>0.55000000000000004</v>
          </cell>
          <cell r="J219">
            <v>0.6</v>
          </cell>
          <cell r="K219">
            <v>0.45</v>
          </cell>
          <cell r="L219">
            <v>0.55000000000000004</v>
          </cell>
          <cell r="M219">
            <v>0.6</v>
          </cell>
          <cell r="N219">
            <v>0.55000000000000004</v>
          </cell>
          <cell r="O219">
            <v>0.6</v>
          </cell>
          <cell r="P219">
            <v>0.7</v>
          </cell>
          <cell r="Q219">
            <v>0.7</v>
          </cell>
          <cell r="R219">
            <v>0.15</v>
          </cell>
        </row>
        <row r="220">
          <cell r="B220">
            <v>42979</v>
          </cell>
          <cell r="C220">
            <v>0.55000000000000004</v>
          </cell>
          <cell r="D220">
            <v>0.55000000000000004</v>
          </cell>
          <cell r="E220">
            <v>0.55000000000000004</v>
          </cell>
          <cell r="F220">
            <v>0.55000000000000004</v>
          </cell>
          <cell r="G220">
            <v>0.55000000000000004</v>
          </cell>
          <cell r="H220">
            <v>0.6</v>
          </cell>
          <cell r="I220">
            <v>0.6</v>
          </cell>
          <cell r="J220">
            <v>0.55000000000000004</v>
          </cell>
          <cell r="K220">
            <v>0.5</v>
          </cell>
          <cell r="L220">
            <v>0.55000000000000004</v>
          </cell>
          <cell r="M220">
            <v>0.6</v>
          </cell>
          <cell r="N220">
            <v>0.55000000000000004</v>
          </cell>
          <cell r="O220">
            <v>0.6</v>
          </cell>
          <cell r="P220">
            <v>0.7</v>
          </cell>
          <cell r="Q220">
            <v>0.65</v>
          </cell>
          <cell r="R220">
            <v>0.15</v>
          </cell>
        </row>
        <row r="221">
          <cell r="B221">
            <v>43009</v>
          </cell>
          <cell r="C221">
            <v>0.6</v>
          </cell>
          <cell r="D221">
            <v>0.6</v>
          </cell>
          <cell r="E221">
            <v>0.55000000000000004</v>
          </cell>
          <cell r="F221">
            <v>0.6</v>
          </cell>
          <cell r="G221">
            <v>0.6</v>
          </cell>
          <cell r="H221">
            <v>0.65</v>
          </cell>
          <cell r="I221">
            <v>0.65</v>
          </cell>
          <cell r="J221">
            <v>0.6</v>
          </cell>
          <cell r="K221">
            <v>0.5</v>
          </cell>
          <cell r="L221">
            <v>0.6</v>
          </cell>
          <cell r="M221">
            <v>0.65</v>
          </cell>
          <cell r="N221">
            <v>0.6</v>
          </cell>
          <cell r="O221">
            <v>0.65</v>
          </cell>
          <cell r="P221">
            <v>0.75</v>
          </cell>
          <cell r="Q221">
            <v>0.7</v>
          </cell>
          <cell r="R221">
            <v>0.15</v>
          </cell>
        </row>
        <row r="222">
          <cell r="B222">
            <v>43040</v>
          </cell>
          <cell r="C222">
            <v>0.8</v>
          </cell>
          <cell r="D222">
            <v>0.85</v>
          </cell>
          <cell r="E222">
            <v>0.8</v>
          </cell>
          <cell r="F222">
            <v>0.8</v>
          </cell>
          <cell r="G222">
            <v>0.9</v>
          </cell>
          <cell r="H222">
            <v>0.95</v>
          </cell>
          <cell r="I222">
            <v>0.85</v>
          </cell>
          <cell r="J222">
            <v>0.8</v>
          </cell>
          <cell r="K222">
            <v>0.95</v>
          </cell>
          <cell r="L222">
            <v>0.8</v>
          </cell>
          <cell r="M222">
            <v>0.8</v>
          </cell>
          <cell r="N222">
            <v>0.8</v>
          </cell>
          <cell r="O222">
            <v>0.95</v>
          </cell>
          <cell r="P222">
            <v>0.95</v>
          </cell>
          <cell r="Q222">
            <v>0.9</v>
          </cell>
          <cell r="R222">
            <v>0.15</v>
          </cell>
        </row>
        <row r="223">
          <cell r="B223">
            <v>43070</v>
          </cell>
          <cell r="C223">
            <v>1</v>
          </cell>
          <cell r="D223">
            <v>1.05</v>
          </cell>
          <cell r="E223">
            <v>1</v>
          </cell>
          <cell r="F223">
            <v>1</v>
          </cell>
          <cell r="G223">
            <v>1.1499999999999999</v>
          </cell>
          <cell r="H223">
            <v>1.25</v>
          </cell>
          <cell r="I223">
            <v>1.05</v>
          </cell>
          <cell r="J223">
            <v>1</v>
          </cell>
          <cell r="K223">
            <v>1.35</v>
          </cell>
          <cell r="L223">
            <v>1</v>
          </cell>
          <cell r="M223">
            <v>1.1000000000000001</v>
          </cell>
          <cell r="N223">
            <v>1</v>
          </cell>
          <cell r="O223">
            <v>1.25</v>
          </cell>
          <cell r="P223">
            <v>1.1499999999999999</v>
          </cell>
          <cell r="Q223">
            <v>1.1000000000000001</v>
          </cell>
          <cell r="R223">
            <v>0.15</v>
          </cell>
        </row>
        <row r="224">
          <cell r="B224">
            <v>43101</v>
          </cell>
          <cell r="C224">
            <v>1</v>
          </cell>
          <cell r="D224">
            <v>1.05</v>
          </cell>
          <cell r="E224">
            <v>1</v>
          </cell>
          <cell r="F224">
            <v>1</v>
          </cell>
          <cell r="G224">
            <v>1.1499999999999999</v>
          </cell>
          <cell r="H224">
            <v>1.45</v>
          </cell>
          <cell r="I224">
            <v>1.05</v>
          </cell>
          <cell r="J224">
            <v>1</v>
          </cell>
          <cell r="K224">
            <v>1.35</v>
          </cell>
          <cell r="L224">
            <v>1</v>
          </cell>
          <cell r="M224">
            <v>1.1000000000000001</v>
          </cell>
          <cell r="N224">
            <v>1</v>
          </cell>
          <cell r="O224">
            <v>1.45</v>
          </cell>
          <cell r="P224">
            <v>1.1499999999999999</v>
          </cell>
          <cell r="Q224">
            <v>1.1000000000000001</v>
          </cell>
          <cell r="R224">
            <v>0.15</v>
          </cell>
        </row>
        <row r="225">
          <cell r="B225">
            <v>43132</v>
          </cell>
          <cell r="C225">
            <v>1</v>
          </cell>
          <cell r="D225">
            <v>1.05</v>
          </cell>
          <cell r="E225">
            <v>1</v>
          </cell>
          <cell r="F225">
            <v>1</v>
          </cell>
          <cell r="G225">
            <v>1.1499999999999999</v>
          </cell>
          <cell r="H225">
            <v>1.45</v>
          </cell>
          <cell r="I225">
            <v>1.05</v>
          </cell>
          <cell r="J225">
            <v>1</v>
          </cell>
          <cell r="K225">
            <v>1.35</v>
          </cell>
          <cell r="L225">
            <v>1</v>
          </cell>
          <cell r="M225">
            <v>1.1000000000000001</v>
          </cell>
          <cell r="N225">
            <v>1</v>
          </cell>
          <cell r="O225">
            <v>1.45</v>
          </cell>
          <cell r="P225">
            <v>1.1499999999999999</v>
          </cell>
          <cell r="Q225">
            <v>1.1000000000000001</v>
          </cell>
          <cell r="R225">
            <v>0.15</v>
          </cell>
        </row>
        <row r="226">
          <cell r="B226">
            <v>43160</v>
          </cell>
          <cell r="C226">
            <v>0.75</v>
          </cell>
          <cell r="D226">
            <v>0.8</v>
          </cell>
          <cell r="E226">
            <v>0.75</v>
          </cell>
          <cell r="F226">
            <v>0.75</v>
          </cell>
          <cell r="G226">
            <v>0.85</v>
          </cell>
          <cell r="H226">
            <v>1</v>
          </cell>
          <cell r="I226">
            <v>0.75</v>
          </cell>
          <cell r="J226">
            <v>0.75</v>
          </cell>
          <cell r="K226">
            <v>0.95</v>
          </cell>
          <cell r="L226">
            <v>0.75</v>
          </cell>
          <cell r="M226">
            <v>0.75</v>
          </cell>
          <cell r="N226">
            <v>0.75</v>
          </cell>
          <cell r="O226">
            <v>1</v>
          </cell>
          <cell r="P226">
            <v>0.9</v>
          </cell>
          <cell r="Q226">
            <v>0.85</v>
          </cell>
          <cell r="R226">
            <v>0.15</v>
          </cell>
        </row>
        <row r="227">
          <cell r="B227">
            <v>43191</v>
          </cell>
          <cell r="C227">
            <v>0.4</v>
          </cell>
          <cell r="D227">
            <v>0.45</v>
          </cell>
          <cell r="E227">
            <v>0.4</v>
          </cell>
          <cell r="F227">
            <v>0.45</v>
          </cell>
          <cell r="G227">
            <v>0.45</v>
          </cell>
          <cell r="H227">
            <v>0.45</v>
          </cell>
          <cell r="I227">
            <v>0.45</v>
          </cell>
          <cell r="J227">
            <v>0.45</v>
          </cell>
          <cell r="K227">
            <v>0.5</v>
          </cell>
          <cell r="L227">
            <v>0.4</v>
          </cell>
          <cell r="M227">
            <v>0.45</v>
          </cell>
          <cell r="N227">
            <v>0.4</v>
          </cell>
          <cell r="O227">
            <v>0.45</v>
          </cell>
          <cell r="P227">
            <v>0.55000000000000004</v>
          </cell>
          <cell r="Q227">
            <v>0.55000000000000004</v>
          </cell>
          <cell r="R227">
            <v>0.15</v>
          </cell>
        </row>
        <row r="228">
          <cell r="B228">
            <v>43221</v>
          </cell>
          <cell r="C228">
            <v>0.45</v>
          </cell>
          <cell r="D228">
            <v>0.5</v>
          </cell>
          <cell r="E228">
            <v>0.4</v>
          </cell>
          <cell r="F228">
            <v>0.4</v>
          </cell>
          <cell r="G228">
            <v>0.45</v>
          </cell>
          <cell r="H228">
            <v>0.5</v>
          </cell>
          <cell r="I228">
            <v>0.45</v>
          </cell>
          <cell r="J228">
            <v>0.4</v>
          </cell>
          <cell r="K228">
            <v>0.45</v>
          </cell>
          <cell r="L228">
            <v>0.45</v>
          </cell>
          <cell r="M228">
            <v>0.5</v>
          </cell>
          <cell r="N228">
            <v>0.45</v>
          </cell>
          <cell r="O228">
            <v>0.5</v>
          </cell>
          <cell r="P228">
            <v>0.6</v>
          </cell>
          <cell r="Q228">
            <v>0.5</v>
          </cell>
          <cell r="R228">
            <v>0.15</v>
          </cell>
        </row>
        <row r="229">
          <cell r="B229">
            <v>43252</v>
          </cell>
          <cell r="C229">
            <v>0.45</v>
          </cell>
          <cell r="D229">
            <v>0.5</v>
          </cell>
          <cell r="E229">
            <v>0.4</v>
          </cell>
          <cell r="F229">
            <v>0.5</v>
          </cell>
          <cell r="G229">
            <v>0.45</v>
          </cell>
          <cell r="H229">
            <v>0.5</v>
          </cell>
          <cell r="I229">
            <v>0.5</v>
          </cell>
          <cell r="J229">
            <v>0.5</v>
          </cell>
          <cell r="K229">
            <v>0.5</v>
          </cell>
          <cell r="L229">
            <v>0.45</v>
          </cell>
          <cell r="M229">
            <v>0.5</v>
          </cell>
          <cell r="N229">
            <v>0.45</v>
          </cell>
          <cell r="O229">
            <v>0.5</v>
          </cell>
          <cell r="P229">
            <v>0.6</v>
          </cell>
          <cell r="Q229">
            <v>0.6</v>
          </cell>
          <cell r="R229">
            <v>0.15</v>
          </cell>
        </row>
        <row r="230">
          <cell r="B230">
            <v>43282</v>
          </cell>
          <cell r="C230">
            <v>0.5</v>
          </cell>
          <cell r="D230">
            <v>0.5</v>
          </cell>
          <cell r="E230">
            <v>0.4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0.5</v>
          </cell>
          <cell r="L230">
            <v>0.5</v>
          </cell>
          <cell r="M230">
            <v>0.55000000000000004</v>
          </cell>
          <cell r="N230">
            <v>0.5</v>
          </cell>
          <cell r="O230">
            <v>0.5</v>
          </cell>
          <cell r="P230">
            <v>0.65</v>
          </cell>
          <cell r="Q230">
            <v>0.6</v>
          </cell>
          <cell r="R230">
            <v>0.15</v>
          </cell>
        </row>
        <row r="231">
          <cell r="B231">
            <v>43313</v>
          </cell>
          <cell r="C231">
            <v>0.55000000000000004</v>
          </cell>
          <cell r="D231">
            <v>0.55000000000000004</v>
          </cell>
          <cell r="E231">
            <v>0.5</v>
          </cell>
          <cell r="F231">
            <v>0.6</v>
          </cell>
          <cell r="G231">
            <v>0.55000000000000004</v>
          </cell>
          <cell r="H231">
            <v>0.6</v>
          </cell>
          <cell r="I231">
            <v>0.55000000000000004</v>
          </cell>
          <cell r="J231">
            <v>0.6</v>
          </cell>
          <cell r="K231">
            <v>0.45</v>
          </cell>
          <cell r="L231">
            <v>0.55000000000000004</v>
          </cell>
          <cell r="M231">
            <v>0.6</v>
          </cell>
          <cell r="N231">
            <v>0.55000000000000004</v>
          </cell>
          <cell r="O231">
            <v>0.6</v>
          </cell>
          <cell r="P231">
            <v>0.7</v>
          </cell>
          <cell r="Q231">
            <v>0.7</v>
          </cell>
          <cell r="R231">
            <v>0.15</v>
          </cell>
        </row>
        <row r="232">
          <cell r="B232">
            <v>43344</v>
          </cell>
          <cell r="C232">
            <v>0.55000000000000004</v>
          </cell>
          <cell r="D232">
            <v>0.55000000000000004</v>
          </cell>
          <cell r="E232">
            <v>0.55000000000000004</v>
          </cell>
          <cell r="F232">
            <v>0.55000000000000004</v>
          </cell>
          <cell r="G232">
            <v>0.55000000000000004</v>
          </cell>
          <cell r="H232">
            <v>0.6</v>
          </cell>
          <cell r="I232">
            <v>0.6</v>
          </cell>
          <cell r="J232">
            <v>0.55000000000000004</v>
          </cell>
          <cell r="K232">
            <v>0.5</v>
          </cell>
          <cell r="L232">
            <v>0.55000000000000004</v>
          </cell>
          <cell r="M232">
            <v>0.6</v>
          </cell>
          <cell r="N232">
            <v>0.55000000000000004</v>
          </cell>
          <cell r="O232">
            <v>0.6</v>
          </cell>
          <cell r="P232">
            <v>0.7</v>
          </cell>
          <cell r="Q232">
            <v>0.65</v>
          </cell>
          <cell r="R232">
            <v>0.15</v>
          </cell>
        </row>
        <row r="233">
          <cell r="B233">
            <v>43374</v>
          </cell>
          <cell r="C233">
            <v>0.6</v>
          </cell>
          <cell r="D233">
            <v>0.6</v>
          </cell>
          <cell r="E233">
            <v>0.55000000000000004</v>
          </cell>
          <cell r="F233">
            <v>0.6</v>
          </cell>
          <cell r="G233">
            <v>0.6</v>
          </cell>
          <cell r="H233">
            <v>0.65</v>
          </cell>
          <cell r="I233">
            <v>0.65</v>
          </cell>
          <cell r="J233">
            <v>0.6</v>
          </cell>
          <cell r="K233">
            <v>0.5</v>
          </cell>
          <cell r="L233">
            <v>0.6</v>
          </cell>
          <cell r="M233">
            <v>0.65</v>
          </cell>
          <cell r="N233">
            <v>0.6</v>
          </cell>
          <cell r="O233">
            <v>0.65</v>
          </cell>
          <cell r="P233">
            <v>0.75</v>
          </cell>
          <cell r="Q233">
            <v>0.7</v>
          </cell>
          <cell r="R233">
            <v>0.15</v>
          </cell>
        </row>
        <row r="234">
          <cell r="B234">
            <v>43405</v>
          </cell>
          <cell r="C234">
            <v>0.8</v>
          </cell>
          <cell r="D234">
            <v>0.85</v>
          </cell>
          <cell r="E234">
            <v>0.8</v>
          </cell>
          <cell r="F234">
            <v>0.8</v>
          </cell>
          <cell r="G234">
            <v>0.9</v>
          </cell>
          <cell r="H234">
            <v>0.95</v>
          </cell>
          <cell r="I234">
            <v>0.85</v>
          </cell>
          <cell r="J234">
            <v>0.8</v>
          </cell>
          <cell r="K234">
            <v>0.95</v>
          </cell>
          <cell r="L234">
            <v>0.8</v>
          </cell>
          <cell r="M234">
            <v>0.8</v>
          </cell>
          <cell r="N234">
            <v>0.8</v>
          </cell>
          <cell r="O234">
            <v>0.95</v>
          </cell>
          <cell r="P234">
            <v>0.95</v>
          </cell>
          <cell r="Q234">
            <v>0.9</v>
          </cell>
          <cell r="R234">
            <v>0.15</v>
          </cell>
        </row>
        <row r="235">
          <cell r="B235">
            <v>43435</v>
          </cell>
          <cell r="C235">
            <v>1</v>
          </cell>
          <cell r="D235">
            <v>1.05</v>
          </cell>
          <cell r="E235">
            <v>1</v>
          </cell>
          <cell r="F235">
            <v>1</v>
          </cell>
          <cell r="G235">
            <v>1.1499999999999999</v>
          </cell>
          <cell r="H235">
            <v>1.25</v>
          </cell>
          <cell r="I235">
            <v>1.05</v>
          </cell>
          <cell r="J235">
            <v>1</v>
          </cell>
          <cell r="K235">
            <v>1.35</v>
          </cell>
          <cell r="L235">
            <v>1</v>
          </cell>
          <cell r="M235">
            <v>1.1000000000000001</v>
          </cell>
          <cell r="N235">
            <v>1</v>
          </cell>
          <cell r="O235">
            <v>1.25</v>
          </cell>
          <cell r="P235">
            <v>1.1499999999999999</v>
          </cell>
          <cell r="Q235">
            <v>1.1000000000000001</v>
          </cell>
          <cell r="R235">
            <v>0.15</v>
          </cell>
        </row>
        <row r="236">
          <cell r="B236">
            <v>43466</v>
          </cell>
          <cell r="C236">
            <v>1</v>
          </cell>
          <cell r="D236">
            <v>1.05</v>
          </cell>
          <cell r="E236">
            <v>1</v>
          </cell>
          <cell r="F236">
            <v>1</v>
          </cell>
          <cell r="G236">
            <v>1.1499999999999999</v>
          </cell>
          <cell r="H236">
            <v>1.45</v>
          </cell>
          <cell r="I236">
            <v>1.05</v>
          </cell>
          <cell r="J236">
            <v>1</v>
          </cell>
          <cell r="K236">
            <v>1.35</v>
          </cell>
          <cell r="L236">
            <v>1</v>
          </cell>
          <cell r="M236">
            <v>1.1000000000000001</v>
          </cell>
          <cell r="N236">
            <v>1</v>
          </cell>
          <cell r="O236">
            <v>1.45</v>
          </cell>
          <cell r="P236">
            <v>1.1499999999999999</v>
          </cell>
          <cell r="Q236">
            <v>1.1000000000000001</v>
          </cell>
          <cell r="R236">
            <v>0.15</v>
          </cell>
        </row>
        <row r="237">
          <cell r="B237">
            <v>43497</v>
          </cell>
          <cell r="C237">
            <v>1</v>
          </cell>
          <cell r="D237">
            <v>1.05</v>
          </cell>
          <cell r="E237">
            <v>1</v>
          </cell>
          <cell r="F237">
            <v>1</v>
          </cell>
          <cell r="G237">
            <v>1.1499999999999999</v>
          </cell>
          <cell r="H237">
            <v>1.45</v>
          </cell>
          <cell r="I237">
            <v>1.05</v>
          </cell>
          <cell r="J237">
            <v>1</v>
          </cell>
          <cell r="K237">
            <v>1.35</v>
          </cell>
          <cell r="L237">
            <v>1</v>
          </cell>
          <cell r="M237">
            <v>1.1000000000000001</v>
          </cell>
          <cell r="N237">
            <v>1</v>
          </cell>
          <cell r="O237">
            <v>1.45</v>
          </cell>
          <cell r="P237">
            <v>1.1499999999999999</v>
          </cell>
          <cell r="Q237">
            <v>1.1000000000000001</v>
          </cell>
          <cell r="R237">
            <v>0.15</v>
          </cell>
        </row>
        <row r="238">
          <cell r="B238">
            <v>43525</v>
          </cell>
          <cell r="C238">
            <v>0.75</v>
          </cell>
          <cell r="D238">
            <v>0.8</v>
          </cell>
          <cell r="E238">
            <v>0.75</v>
          </cell>
          <cell r="F238">
            <v>0.75</v>
          </cell>
          <cell r="G238">
            <v>0.85</v>
          </cell>
          <cell r="H238">
            <v>1</v>
          </cell>
          <cell r="I238">
            <v>0.75</v>
          </cell>
          <cell r="J238">
            <v>0.75</v>
          </cell>
          <cell r="K238">
            <v>0.95</v>
          </cell>
          <cell r="L238">
            <v>0.75</v>
          </cell>
          <cell r="M238">
            <v>0.75</v>
          </cell>
          <cell r="N238">
            <v>0.75</v>
          </cell>
          <cell r="O238">
            <v>1</v>
          </cell>
          <cell r="P238">
            <v>0.9</v>
          </cell>
          <cell r="Q238">
            <v>0.85</v>
          </cell>
          <cell r="R238">
            <v>0.15</v>
          </cell>
        </row>
        <row r="239">
          <cell r="B239">
            <v>43556</v>
          </cell>
          <cell r="C239">
            <v>0.4</v>
          </cell>
          <cell r="D239">
            <v>0.45</v>
          </cell>
          <cell r="E239">
            <v>0.4</v>
          </cell>
          <cell r="F239">
            <v>0.45</v>
          </cell>
          <cell r="G239">
            <v>0.45</v>
          </cell>
          <cell r="H239">
            <v>0.45</v>
          </cell>
          <cell r="I239">
            <v>0.45</v>
          </cell>
          <cell r="J239">
            <v>0.45</v>
          </cell>
          <cell r="K239">
            <v>0.5</v>
          </cell>
          <cell r="L239">
            <v>0.4</v>
          </cell>
          <cell r="M239">
            <v>0.45</v>
          </cell>
          <cell r="N239">
            <v>0.4</v>
          </cell>
          <cell r="O239">
            <v>0.45</v>
          </cell>
          <cell r="P239">
            <v>0.55000000000000004</v>
          </cell>
          <cell r="Q239">
            <v>0.55000000000000004</v>
          </cell>
          <cell r="R239">
            <v>0.15</v>
          </cell>
        </row>
        <row r="240">
          <cell r="B240">
            <v>43586</v>
          </cell>
          <cell r="C240">
            <v>0.45</v>
          </cell>
          <cell r="D240">
            <v>0.5</v>
          </cell>
          <cell r="E240">
            <v>0.4</v>
          </cell>
          <cell r="F240">
            <v>0.4</v>
          </cell>
          <cell r="G240">
            <v>0.45</v>
          </cell>
          <cell r="H240">
            <v>0.5</v>
          </cell>
          <cell r="I240">
            <v>0.45</v>
          </cell>
          <cell r="J240">
            <v>0.4</v>
          </cell>
          <cell r="K240">
            <v>0.45</v>
          </cell>
          <cell r="L240">
            <v>0.45</v>
          </cell>
          <cell r="M240">
            <v>0.5</v>
          </cell>
          <cell r="N240">
            <v>0.45</v>
          </cell>
          <cell r="O240">
            <v>0.5</v>
          </cell>
          <cell r="P240">
            <v>0.6</v>
          </cell>
          <cell r="Q240">
            <v>0.5</v>
          </cell>
          <cell r="R240">
            <v>0.15</v>
          </cell>
        </row>
        <row r="241">
          <cell r="B241">
            <v>43617</v>
          </cell>
          <cell r="C241">
            <v>0.45</v>
          </cell>
          <cell r="D241">
            <v>0.5</v>
          </cell>
          <cell r="E241">
            <v>0.4</v>
          </cell>
          <cell r="F241">
            <v>0.5</v>
          </cell>
          <cell r="G241">
            <v>0.45</v>
          </cell>
          <cell r="H241">
            <v>0.5</v>
          </cell>
          <cell r="I241">
            <v>0.5</v>
          </cell>
          <cell r="J241">
            <v>0.5</v>
          </cell>
          <cell r="K241">
            <v>0.5</v>
          </cell>
          <cell r="L241">
            <v>0.45</v>
          </cell>
          <cell r="M241">
            <v>0.5</v>
          </cell>
          <cell r="N241">
            <v>0.45</v>
          </cell>
          <cell r="O241">
            <v>0.5</v>
          </cell>
          <cell r="P241">
            <v>0.6</v>
          </cell>
          <cell r="Q241">
            <v>0.6</v>
          </cell>
          <cell r="R241">
            <v>0.15</v>
          </cell>
        </row>
        <row r="242">
          <cell r="B242">
            <v>43647</v>
          </cell>
          <cell r="C242">
            <v>0.5</v>
          </cell>
          <cell r="D242">
            <v>0.5</v>
          </cell>
          <cell r="E242">
            <v>0.4</v>
          </cell>
          <cell r="F242">
            <v>0.5</v>
          </cell>
          <cell r="G242">
            <v>0.5</v>
          </cell>
          <cell r="H242">
            <v>0.5</v>
          </cell>
          <cell r="I242">
            <v>0.5</v>
          </cell>
          <cell r="J242">
            <v>0.5</v>
          </cell>
          <cell r="K242">
            <v>0.5</v>
          </cell>
          <cell r="L242">
            <v>0.5</v>
          </cell>
          <cell r="M242">
            <v>0.55000000000000004</v>
          </cell>
          <cell r="N242">
            <v>0.5</v>
          </cell>
          <cell r="O242">
            <v>0.5</v>
          </cell>
          <cell r="P242">
            <v>0.65</v>
          </cell>
          <cell r="Q242">
            <v>0.6</v>
          </cell>
          <cell r="R242">
            <v>0.15</v>
          </cell>
        </row>
        <row r="243">
          <cell r="B243">
            <v>43678</v>
          </cell>
          <cell r="C243">
            <v>0.55000000000000004</v>
          </cell>
          <cell r="D243">
            <v>0.55000000000000004</v>
          </cell>
          <cell r="E243">
            <v>0.5</v>
          </cell>
          <cell r="F243">
            <v>0.6</v>
          </cell>
          <cell r="G243">
            <v>0.55000000000000004</v>
          </cell>
          <cell r="H243">
            <v>0.6</v>
          </cell>
          <cell r="I243">
            <v>0.55000000000000004</v>
          </cell>
          <cell r="J243">
            <v>0.6</v>
          </cell>
          <cell r="K243">
            <v>0.45</v>
          </cell>
          <cell r="L243">
            <v>0.55000000000000004</v>
          </cell>
          <cell r="M243">
            <v>0.6</v>
          </cell>
          <cell r="N243">
            <v>0.55000000000000004</v>
          </cell>
          <cell r="O243">
            <v>0.6</v>
          </cell>
          <cell r="P243">
            <v>0.7</v>
          </cell>
          <cell r="Q243">
            <v>0.7</v>
          </cell>
          <cell r="R243">
            <v>0.15</v>
          </cell>
        </row>
        <row r="244">
          <cell r="B244">
            <v>43709</v>
          </cell>
          <cell r="C244">
            <v>0.55000000000000004</v>
          </cell>
          <cell r="D244">
            <v>0.55000000000000004</v>
          </cell>
          <cell r="E244">
            <v>0.55000000000000004</v>
          </cell>
          <cell r="F244">
            <v>0.55000000000000004</v>
          </cell>
          <cell r="G244">
            <v>0.55000000000000004</v>
          </cell>
          <cell r="H244">
            <v>0.6</v>
          </cell>
          <cell r="I244">
            <v>0.6</v>
          </cell>
          <cell r="J244">
            <v>0.55000000000000004</v>
          </cell>
          <cell r="K244">
            <v>0.5</v>
          </cell>
          <cell r="L244">
            <v>0.55000000000000004</v>
          </cell>
          <cell r="M244">
            <v>0.6</v>
          </cell>
          <cell r="N244">
            <v>0.55000000000000004</v>
          </cell>
          <cell r="O244">
            <v>0.6</v>
          </cell>
          <cell r="P244">
            <v>0.7</v>
          </cell>
          <cell r="Q244">
            <v>0.65</v>
          </cell>
          <cell r="R244">
            <v>0.15</v>
          </cell>
        </row>
        <row r="245">
          <cell r="B245">
            <v>43739</v>
          </cell>
          <cell r="C245">
            <v>0.6</v>
          </cell>
          <cell r="D245">
            <v>0.6</v>
          </cell>
          <cell r="E245">
            <v>0.55000000000000004</v>
          </cell>
          <cell r="F245">
            <v>0.6</v>
          </cell>
          <cell r="G245">
            <v>0.6</v>
          </cell>
          <cell r="H245">
            <v>0.65</v>
          </cell>
          <cell r="I245">
            <v>0.65</v>
          </cell>
          <cell r="J245">
            <v>0.6</v>
          </cell>
          <cell r="K245">
            <v>0.5</v>
          </cell>
          <cell r="L245">
            <v>0.6</v>
          </cell>
          <cell r="M245">
            <v>0.65</v>
          </cell>
          <cell r="N245">
            <v>0.6</v>
          </cell>
          <cell r="O245">
            <v>0.65</v>
          </cell>
          <cell r="P245">
            <v>0.75</v>
          </cell>
          <cell r="Q245">
            <v>0.7</v>
          </cell>
          <cell r="R245">
            <v>0.15</v>
          </cell>
        </row>
        <row r="246">
          <cell r="B246">
            <v>43770</v>
          </cell>
          <cell r="C246">
            <v>0.8</v>
          </cell>
          <cell r="D246">
            <v>0.85</v>
          </cell>
          <cell r="E246">
            <v>0.8</v>
          </cell>
          <cell r="F246">
            <v>0.8</v>
          </cell>
          <cell r="G246">
            <v>0.9</v>
          </cell>
          <cell r="H246">
            <v>0.95</v>
          </cell>
          <cell r="I246">
            <v>0.85</v>
          </cell>
          <cell r="J246">
            <v>0.8</v>
          </cell>
          <cell r="K246">
            <v>0.95</v>
          </cell>
          <cell r="L246">
            <v>0.8</v>
          </cell>
          <cell r="M246">
            <v>0.8</v>
          </cell>
          <cell r="N246">
            <v>0.8</v>
          </cell>
          <cell r="O246">
            <v>0.95</v>
          </cell>
          <cell r="P246">
            <v>0.95</v>
          </cell>
          <cell r="Q246">
            <v>0.9</v>
          </cell>
          <cell r="R246">
            <v>0.15</v>
          </cell>
        </row>
        <row r="247">
          <cell r="B247">
            <v>43800</v>
          </cell>
          <cell r="C247">
            <v>1</v>
          </cell>
          <cell r="D247">
            <v>1.05</v>
          </cell>
          <cell r="E247">
            <v>1</v>
          </cell>
          <cell r="F247">
            <v>1</v>
          </cell>
          <cell r="G247">
            <v>1.1499999999999999</v>
          </cell>
          <cell r="H247">
            <v>1.25</v>
          </cell>
          <cell r="I247">
            <v>1.05</v>
          </cell>
          <cell r="J247">
            <v>1</v>
          </cell>
          <cell r="K247">
            <v>1.35</v>
          </cell>
          <cell r="L247">
            <v>1</v>
          </cell>
          <cell r="M247">
            <v>1.1000000000000001</v>
          </cell>
          <cell r="N247">
            <v>1</v>
          </cell>
          <cell r="O247">
            <v>1.25</v>
          </cell>
          <cell r="P247">
            <v>1.1499999999999999</v>
          </cell>
          <cell r="Q247">
            <v>1.1000000000000001</v>
          </cell>
          <cell r="R247">
            <v>0.15</v>
          </cell>
        </row>
        <row r="248">
          <cell r="B248">
            <v>43831</v>
          </cell>
          <cell r="C248">
            <v>1</v>
          </cell>
          <cell r="D248">
            <v>1.05</v>
          </cell>
          <cell r="E248">
            <v>1</v>
          </cell>
          <cell r="F248">
            <v>1</v>
          </cell>
          <cell r="G248">
            <v>1.1499999999999999</v>
          </cell>
          <cell r="H248">
            <v>1.45</v>
          </cell>
          <cell r="I248">
            <v>1.05</v>
          </cell>
          <cell r="J248">
            <v>1</v>
          </cell>
          <cell r="K248">
            <v>1.35</v>
          </cell>
          <cell r="L248">
            <v>1</v>
          </cell>
          <cell r="M248">
            <v>1.1000000000000001</v>
          </cell>
          <cell r="N248">
            <v>1</v>
          </cell>
          <cell r="O248">
            <v>1.45</v>
          </cell>
          <cell r="P248">
            <v>1.1499999999999999</v>
          </cell>
          <cell r="Q248">
            <v>1.1000000000000001</v>
          </cell>
          <cell r="R248">
            <v>0.15</v>
          </cell>
        </row>
        <row r="249">
          <cell r="B249">
            <v>43862</v>
          </cell>
          <cell r="C249">
            <v>1</v>
          </cell>
          <cell r="D249">
            <v>1.05</v>
          </cell>
          <cell r="E249">
            <v>1</v>
          </cell>
          <cell r="F249">
            <v>1</v>
          </cell>
          <cell r="G249">
            <v>1.1499999999999999</v>
          </cell>
          <cell r="H249">
            <v>1.45</v>
          </cell>
          <cell r="I249">
            <v>1.05</v>
          </cell>
          <cell r="J249">
            <v>1</v>
          </cell>
          <cell r="K249">
            <v>1.35</v>
          </cell>
          <cell r="L249">
            <v>1</v>
          </cell>
          <cell r="M249">
            <v>1.1000000000000001</v>
          </cell>
          <cell r="N249">
            <v>1</v>
          </cell>
          <cell r="O249">
            <v>1.45</v>
          </cell>
          <cell r="P249">
            <v>1.1499999999999999</v>
          </cell>
          <cell r="Q249">
            <v>1.1000000000000001</v>
          </cell>
          <cell r="R249">
            <v>0.15</v>
          </cell>
        </row>
        <row r="250">
          <cell r="B250">
            <v>43891</v>
          </cell>
          <cell r="C250">
            <v>0.75</v>
          </cell>
          <cell r="D250">
            <v>0.8</v>
          </cell>
          <cell r="E250">
            <v>0.75</v>
          </cell>
          <cell r="F250">
            <v>0.75</v>
          </cell>
          <cell r="G250">
            <v>0.85</v>
          </cell>
          <cell r="H250">
            <v>1</v>
          </cell>
          <cell r="I250">
            <v>0.75</v>
          </cell>
          <cell r="J250">
            <v>0.75</v>
          </cell>
          <cell r="K250">
            <v>0.95</v>
          </cell>
          <cell r="L250">
            <v>0.75</v>
          </cell>
          <cell r="M250">
            <v>0.75</v>
          </cell>
          <cell r="N250">
            <v>0.75</v>
          </cell>
          <cell r="O250">
            <v>1</v>
          </cell>
          <cell r="P250">
            <v>0.9</v>
          </cell>
          <cell r="Q250">
            <v>0.85</v>
          </cell>
          <cell r="R250">
            <v>0.15</v>
          </cell>
        </row>
        <row r="251">
          <cell r="B251">
            <v>43922</v>
          </cell>
          <cell r="C251">
            <v>0.4</v>
          </cell>
          <cell r="D251">
            <v>0.45</v>
          </cell>
          <cell r="E251">
            <v>0.4</v>
          </cell>
          <cell r="F251">
            <v>0.45</v>
          </cell>
          <cell r="G251">
            <v>0.45</v>
          </cell>
          <cell r="H251">
            <v>0.45</v>
          </cell>
          <cell r="I251">
            <v>0.45</v>
          </cell>
          <cell r="J251">
            <v>0.45</v>
          </cell>
          <cell r="K251">
            <v>0.5</v>
          </cell>
          <cell r="L251">
            <v>0.4</v>
          </cell>
          <cell r="M251">
            <v>0.45</v>
          </cell>
          <cell r="N251">
            <v>0.4</v>
          </cell>
          <cell r="O251">
            <v>0.45</v>
          </cell>
          <cell r="P251">
            <v>0.55000000000000004</v>
          </cell>
          <cell r="Q251">
            <v>0.55000000000000004</v>
          </cell>
          <cell r="R251">
            <v>0.15</v>
          </cell>
        </row>
        <row r="252">
          <cell r="B252">
            <v>43952</v>
          </cell>
          <cell r="C252">
            <v>0.45</v>
          </cell>
          <cell r="D252">
            <v>0.5</v>
          </cell>
          <cell r="E252">
            <v>0.4</v>
          </cell>
          <cell r="F252">
            <v>0.4</v>
          </cell>
          <cell r="G252">
            <v>0.45</v>
          </cell>
          <cell r="H252">
            <v>0.5</v>
          </cell>
          <cell r="I252">
            <v>0.45</v>
          </cell>
          <cell r="J252">
            <v>0.4</v>
          </cell>
          <cell r="K252">
            <v>0.45</v>
          </cell>
          <cell r="L252">
            <v>0.45</v>
          </cell>
          <cell r="M252">
            <v>0.5</v>
          </cell>
          <cell r="N252">
            <v>0.45</v>
          </cell>
          <cell r="O252">
            <v>0.5</v>
          </cell>
          <cell r="P252">
            <v>0.6</v>
          </cell>
          <cell r="Q252">
            <v>0.5</v>
          </cell>
          <cell r="R252">
            <v>0.15</v>
          </cell>
        </row>
        <row r="253">
          <cell r="B253">
            <v>43983</v>
          </cell>
          <cell r="C253">
            <v>0.45</v>
          </cell>
          <cell r="D253">
            <v>0.5</v>
          </cell>
          <cell r="E253">
            <v>0.4</v>
          </cell>
          <cell r="F253">
            <v>0.5</v>
          </cell>
          <cell r="G253">
            <v>0.45</v>
          </cell>
          <cell r="H253">
            <v>0.5</v>
          </cell>
          <cell r="I253">
            <v>0.5</v>
          </cell>
          <cell r="J253">
            <v>0.5</v>
          </cell>
          <cell r="K253">
            <v>0.5</v>
          </cell>
          <cell r="L253">
            <v>0.45</v>
          </cell>
          <cell r="M253">
            <v>0.5</v>
          </cell>
          <cell r="N253">
            <v>0.45</v>
          </cell>
          <cell r="O253">
            <v>0.5</v>
          </cell>
          <cell r="P253">
            <v>0.6</v>
          </cell>
          <cell r="Q253">
            <v>0.6</v>
          </cell>
          <cell r="R253">
            <v>0.15</v>
          </cell>
        </row>
        <row r="254">
          <cell r="B254">
            <v>44013</v>
          </cell>
          <cell r="C254">
            <v>0.5</v>
          </cell>
          <cell r="D254">
            <v>0.5</v>
          </cell>
          <cell r="E254">
            <v>0.4</v>
          </cell>
          <cell r="F254">
            <v>0.5</v>
          </cell>
          <cell r="G254">
            <v>0.5</v>
          </cell>
          <cell r="H254">
            <v>0.5</v>
          </cell>
          <cell r="I254">
            <v>0.5</v>
          </cell>
          <cell r="J254">
            <v>0.5</v>
          </cell>
          <cell r="K254">
            <v>0.5</v>
          </cell>
          <cell r="L254">
            <v>0.5</v>
          </cell>
          <cell r="M254">
            <v>0.55000000000000004</v>
          </cell>
          <cell r="N254">
            <v>0.5</v>
          </cell>
          <cell r="O254">
            <v>0.5</v>
          </cell>
          <cell r="P254">
            <v>0.65</v>
          </cell>
          <cell r="Q254">
            <v>0.6</v>
          </cell>
          <cell r="R254">
            <v>0.15</v>
          </cell>
        </row>
        <row r="255">
          <cell r="B255">
            <v>44044</v>
          </cell>
          <cell r="C255">
            <v>0.55000000000000004</v>
          </cell>
          <cell r="D255">
            <v>0.55000000000000004</v>
          </cell>
          <cell r="E255">
            <v>0.5</v>
          </cell>
          <cell r="F255">
            <v>0.6</v>
          </cell>
          <cell r="G255">
            <v>0.55000000000000004</v>
          </cell>
          <cell r="H255">
            <v>0.6</v>
          </cell>
          <cell r="I255">
            <v>0.55000000000000004</v>
          </cell>
          <cell r="J255">
            <v>0.6</v>
          </cell>
          <cell r="K255">
            <v>0.45</v>
          </cell>
          <cell r="L255">
            <v>0.55000000000000004</v>
          </cell>
          <cell r="M255">
            <v>0.6</v>
          </cell>
          <cell r="N255">
            <v>0.55000000000000004</v>
          </cell>
          <cell r="O255">
            <v>0.6</v>
          </cell>
          <cell r="P255">
            <v>0.7</v>
          </cell>
          <cell r="Q255">
            <v>0.7</v>
          </cell>
          <cell r="R255">
            <v>0.15</v>
          </cell>
        </row>
        <row r="256">
          <cell r="B256">
            <v>44075</v>
          </cell>
          <cell r="C256">
            <v>0.55000000000000004</v>
          </cell>
          <cell r="D256">
            <v>0.55000000000000004</v>
          </cell>
          <cell r="E256">
            <v>0.55000000000000004</v>
          </cell>
          <cell r="F256">
            <v>0.55000000000000004</v>
          </cell>
          <cell r="G256">
            <v>0.55000000000000004</v>
          </cell>
          <cell r="H256">
            <v>0.6</v>
          </cell>
          <cell r="I256">
            <v>0.6</v>
          </cell>
          <cell r="J256">
            <v>0.55000000000000004</v>
          </cell>
          <cell r="K256">
            <v>0.5</v>
          </cell>
          <cell r="L256">
            <v>0.55000000000000004</v>
          </cell>
          <cell r="M256">
            <v>0.6</v>
          </cell>
          <cell r="N256">
            <v>0.55000000000000004</v>
          </cell>
          <cell r="O256">
            <v>0.6</v>
          </cell>
          <cell r="P256">
            <v>0.7</v>
          </cell>
          <cell r="Q256">
            <v>0.65</v>
          </cell>
          <cell r="R256">
            <v>0.15</v>
          </cell>
        </row>
        <row r="257">
          <cell r="B257">
            <v>44105</v>
          </cell>
          <cell r="C257">
            <v>0.6</v>
          </cell>
          <cell r="D257">
            <v>0.6</v>
          </cell>
          <cell r="E257">
            <v>0.55000000000000004</v>
          </cell>
          <cell r="F257">
            <v>0.6</v>
          </cell>
          <cell r="G257">
            <v>0.6</v>
          </cell>
          <cell r="H257">
            <v>0.65</v>
          </cell>
          <cell r="I257">
            <v>0.65</v>
          </cell>
          <cell r="J257">
            <v>0.6</v>
          </cell>
          <cell r="K257">
            <v>0.5</v>
          </cell>
          <cell r="L257">
            <v>0.6</v>
          </cell>
          <cell r="M257">
            <v>0.65</v>
          </cell>
          <cell r="N257">
            <v>0.6</v>
          </cell>
          <cell r="O257">
            <v>0.65</v>
          </cell>
          <cell r="P257">
            <v>0.75</v>
          </cell>
          <cell r="Q257">
            <v>0.7</v>
          </cell>
          <cell r="R257">
            <v>0.15</v>
          </cell>
        </row>
        <row r="258">
          <cell r="B258">
            <v>44136</v>
          </cell>
          <cell r="C258">
            <v>0.8</v>
          </cell>
          <cell r="D258">
            <v>0.85</v>
          </cell>
          <cell r="E258">
            <v>0.8</v>
          </cell>
          <cell r="F258">
            <v>0.8</v>
          </cell>
          <cell r="G258">
            <v>0.9</v>
          </cell>
          <cell r="H258">
            <v>0.95</v>
          </cell>
          <cell r="I258">
            <v>0.85</v>
          </cell>
          <cell r="J258">
            <v>0.8</v>
          </cell>
          <cell r="K258">
            <v>0.95</v>
          </cell>
          <cell r="L258">
            <v>0.8</v>
          </cell>
          <cell r="M258">
            <v>0.8</v>
          </cell>
          <cell r="N258">
            <v>0.8</v>
          </cell>
          <cell r="O258">
            <v>0.95</v>
          </cell>
          <cell r="P258">
            <v>0.95</v>
          </cell>
          <cell r="Q258">
            <v>0.9</v>
          </cell>
          <cell r="R258">
            <v>0.15</v>
          </cell>
        </row>
        <row r="259">
          <cell r="B259">
            <v>44166</v>
          </cell>
          <cell r="C259">
            <v>1</v>
          </cell>
          <cell r="D259">
            <v>1.05</v>
          </cell>
          <cell r="E259">
            <v>1</v>
          </cell>
          <cell r="F259">
            <v>1</v>
          </cell>
          <cell r="G259">
            <v>1.1499999999999999</v>
          </cell>
          <cell r="H259">
            <v>1.25</v>
          </cell>
          <cell r="I259">
            <v>1.05</v>
          </cell>
          <cell r="J259">
            <v>1</v>
          </cell>
          <cell r="K259">
            <v>1.35</v>
          </cell>
          <cell r="L259">
            <v>1</v>
          </cell>
          <cell r="M259">
            <v>1.1000000000000001</v>
          </cell>
          <cell r="N259">
            <v>1</v>
          </cell>
          <cell r="O259">
            <v>1.25</v>
          </cell>
          <cell r="P259">
            <v>1.1499999999999999</v>
          </cell>
          <cell r="Q259">
            <v>1.1000000000000001</v>
          </cell>
          <cell r="R259">
            <v>0.15</v>
          </cell>
        </row>
        <row r="260">
          <cell r="B260">
            <v>44197</v>
          </cell>
          <cell r="C260">
            <v>1</v>
          </cell>
          <cell r="D260">
            <v>1.05</v>
          </cell>
          <cell r="E260">
            <v>1</v>
          </cell>
          <cell r="F260">
            <v>1</v>
          </cell>
          <cell r="G260">
            <v>1.1499999999999999</v>
          </cell>
          <cell r="H260">
            <v>1.45</v>
          </cell>
          <cell r="I260">
            <v>1.05</v>
          </cell>
          <cell r="J260">
            <v>1</v>
          </cell>
          <cell r="K260">
            <v>1.35</v>
          </cell>
          <cell r="L260">
            <v>1</v>
          </cell>
          <cell r="M260">
            <v>1.1000000000000001</v>
          </cell>
          <cell r="N260">
            <v>1</v>
          </cell>
          <cell r="O260">
            <v>1.45</v>
          </cell>
          <cell r="P260">
            <v>1.1499999999999999</v>
          </cell>
          <cell r="Q260">
            <v>1.1000000000000001</v>
          </cell>
        </row>
        <row r="261">
          <cell r="B261">
            <v>44228</v>
          </cell>
          <cell r="C261">
            <v>1</v>
          </cell>
          <cell r="D261">
            <v>1.05</v>
          </cell>
          <cell r="E261">
            <v>1</v>
          </cell>
          <cell r="F261">
            <v>1</v>
          </cell>
          <cell r="G261">
            <v>1.1499999999999999</v>
          </cell>
          <cell r="H261">
            <v>1.45</v>
          </cell>
          <cell r="I261">
            <v>1.05</v>
          </cell>
          <cell r="J261">
            <v>1</v>
          </cell>
          <cell r="K261">
            <v>1.35</v>
          </cell>
          <cell r="L261">
            <v>1</v>
          </cell>
          <cell r="M261">
            <v>1.1000000000000001</v>
          </cell>
          <cell r="N261">
            <v>1</v>
          </cell>
          <cell r="O261">
            <v>1.45</v>
          </cell>
          <cell r="P261">
            <v>1.1499999999999999</v>
          </cell>
          <cell r="Q261">
            <v>1.1000000000000001</v>
          </cell>
        </row>
        <row r="262">
          <cell r="B262">
            <v>44256</v>
          </cell>
          <cell r="C262">
            <v>0.75</v>
          </cell>
          <cell r="D262">
            <v>0.8</v>
          </cell>
          <cell r="E262">
            <v>0.75</v>
          </cell>
          <cell r="F262">
            <v>0.75</v>
          </cell>
          <cell r="G262">
            <v>0.85</v>
          </cell>
          <cell r="H262">
            <v>1</v>
          </cell>
          <cell r="I262">
            <v>0.75</v>
          </cell>
          <cell r="J262">
            <v>0.75</v>
          </cell>
          <cell r="K262">
            <v>0.95</v>
          </cell>
          <cell r="L262">
            <v>0.75</v>
          </cell>
          <cell r="M262">
            <v>0.75</v>
          </cell>
          <cell r="N262">
            <v>0.75</v>
          </cell>
          <cell r="O262">
            <v>1</v>
          </cell>
          <cell r="P262">
            <v>0.9</v>
          </cell>
          <cell r="Q262">
            <v>0.85</v>
          </cell>
        </row>
        <row r="263">
          <cell r="B263">
            <v>44287</v>
          </cell>
          <cell r="C263">
            <v>0.4</v>
          </cell>
          <cell r="D263">
            <v>0.45</v>
          </cell>
          <cell r="E263">
            <v>0.4</v>
          </cell>
          <cell r="F263">
            <v>0.45</v>
          </cell>
          <cell r="G263">
            <v>0.45</v>
          </cell>
          <cell r="H263">
            <v>0.45</v>
          </cell>
          <cell r="I263">
            <v>0.45</v>
          </cell>
          <cell r="J263">
            <v>0.45</v>
          </cell>
          <cell r="K263">
            <v>0.5</v>
          </cell>
          <cell r="L263">
            <v>0.4</v>
          </cell>
          <cell r="M263">
            <v>0.45</v>
          </cell>
          <cell r="N263">
            <v>0.4</v>
          </cell>
          <cell r="O263">
            <v>0.45</v>
          </cell>
          <cell r="P263">
            <v>0.55000000000000004</v>
          </cell>
          <cell r="Q263">
            <v>0.55000000000000004</v>
          </cell>
        </row>
        <row r="264">
          <cell r="B264">
            <v>44317</v>
          </cell>
          <cell r="C264">
            <v>0.45</v>
          </cell>
          <cell r="D264">
            <v>0.5</v>
          </cell>
          <cell r="E264">
            <v>0.4</v>
          </cell>
          <cell r="F264">
            <v>0.4</v>
          </cell>
          <cell r="G264">
            <v>0.45</v>
          </cell>
          <cell r="H264">
            <v>0.5</v>
          </cell>
          <cell r="I264">
            <v>0.45</v>
          </cell>
          <cell r="J264">
            <v>0.4</v>
          </cell>
          <cell r="K264">
            <v>0.45</v>
          </cell>
          <cell r="L264">
            <v>0.45</v>
          </cell>
          <cell r="M264">
            <v>0.5</v>
          </cell>
          <cell r="N264">
            <v>0.45</v>
          </cell>
          <cell r="O264">
            <v>0.5</v>
          </cell>
          <cell r="P264">
            <v>0.6</v>
          </cell>
          <cell r="Q264">
            <v>0.5</v>
          </cell>
        </row>
        <row r="265">
          <cell r="B265">
            <v>44348</v>
          </cell>
          <cell r="C265">
            <v>0.45</v>
          </cell>
          <cell r="D265">
            <v>0.5</v>
          </cell>
          <cell r="E265">
            <v>0.4</v>
          </cell>
          <cell r="F265">
            <v>0.5</v>
          </cell>
          <cell r="G265">
            <v>0.45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0.45</v>
          </cell>
          <cell r="M265">
            <v>0.5</v>
          </cell>
          <cell r="N265">
            <v>0.45</v>
          </cell>
          <cell r="O265">
            <v>0.5</v>
          </cell>
          <cell r="P265">
            <v>0.6</v>
          </cell>
          <cell r="Q265">
            <v>0.6</v>
          </cell>
        </row>
        <row r="266">
          <cell r="B266">
            <v>44378</v>
          </cell>
          <cell r="C266">
            <v>0.5</v>
          </cell>
          <cell r="D266">
            <v>0.5</v>
          </cell>
          <cell r="E266">
            <v>0.4</v>
          </cell>
          <cell r="F266">
            <v>0.5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0.55000000000000004</v>
          </cell>
          <cell r="N266">
            <v>0.5</v>
          </cell>
          <cell r="O266">
            <v>0.5</v>
          </cell>
          <cell r="P266">
            <v>0.65</v>
          </cell>
          <cell r="Q266">
            <v>0.6</v>
          </cell>
        </row>
        <row r="267">
          <cell r="B267">
            <v>44409</v>
          </cell>
          <cell r="C267">
            <v>0.55000000000000004</v>
          </cell>
          <cell r="D267">
            <v>0.55000000000000004</v>
          </cell>
          <cell r="E267">
            <v>0.5</v>
          </cell>
          <cell r="F267">
            <v>0.6</v>
          </cell>
          <cell r="G267">
            <v>0.55000000000000004</v>
          </cell>
          <cell r="H267">
            <v>0.6</v>
          </cell>
          <cell r="I267">
            <v>0.55000000000000004</v>
          </cell>
          <cell r="J267">
            <v>0.6</v>
          </cell>
          <cell r="K267">
            <v>0.45</v>
          </cell>
          <cell r="L267">
            <v>0.55000000000000004</v>
          </cell>
          <cell r="M267">
            <v>0.6</v>
          </cell>
          <cell r="N267">
            <v>0.55000000000000004</v>
          </cell>
          <cell r="O267">
            <v>0.6</v>
          </cell>
          <cell r="P267">
            <v>0.7</v>
          </cell>
          <cell r="Q267">
            <v>0.7</v>
          </cell>
        </row>
        <row r="268">
          <cell r="B268">
            <v>44440</v>
          </cell>
          <cell r="C268">
            <v>0.55000000000000004</v>
          </cell>
          <cell r="D268">
            <v>0.55000000000000004</v>
          </cell>
          <cell r="E268">
            <v>0.55000000000000004</v>
          </cell>
          <cell r="F268">
            <v>0.55000000000000004</v>
          </cell>
          <cell r="G268">
            <v>0.55000000000000004</v>
          </cell>
          <cell r="H268">
            <v>0.6</v>
          </cell>
          <cell r="I268">
            <v>0.6</v>
          </cell>
          <cell r="J268">
            <v>0.55000000000000004</v>
          </cell>
          <cell r="K268">
            <v>0.5</v>
          </cell>
          <cell r="L268">
            <v>0.55000000000000004</v>
          </cell>
          <cell r="M268">
            <v>0.6</v>
          </cell>
          <cell r="N268">
            <v>0.55000000000000004</v>
          </cell>
          <cell r="O268">
            <v>0.6</v>
          </cell>
          <cell r="P268">
            <v>0.7</v>
          </cell>
          <cell r="Q268">
            <v>0.65</v>
          </cell>
        </row>
        <row r="269">
          <cell r="B269">
            <v>44470</v>
          </cell>
          <cell r="C269">
            <v>0.6</v>
          </cell>
          <cell r="D269">
            <v>0.6</v>
          </cell>
          <cell r="E269">
            <v>0.55000000000000004</v>
          </cell>
          <cell r="F269">
            <v>0.6</v>
          </cell>
          <cell r="G269">
            <v>0.6</v>
          </cell>
          <cell r="H269">
            <v>0.65</v>
          </cell>
          <cell r="I269">
            <v>0.65</v>
          </cell>
          <cell r="J269">
            <v>0.6</v>
          </cell>
          <cell r="K269">
            <v>0.5</v>
          </cell>
          <cell r="L269">
            <v>0.6</v>
          </cell>
          <cell r="M269">
            <v>0.65</v>
          </cell>
          <cell r="N269">
            <v>0.6</v>
          </cell>
          <cell r="O269">
            <v>0.65</v>
          </cell>
          <cell r="P269">
            <v>0.75</v>
          </cell>
          <cell r="Q269">
            <v>0.7</v>
          </cell>
        </row>
        <row r="270">
          <cell r="B270">
            <v>44501</v>
          </cell>
          <cell r="C270">
            <v>0.8</v>
          </cell>
          <cell r="D270">
            <v>0.85</v>
          </cell>
          <cell r="E270">
            <v>0.8</v>
          </cell>
          <cell r="F270">
            <v>0.8</v>
          </cell>
          <cell r="G270">
            <v>0.9</v>
          </cell>
          <cell r="H270">
            <v>0.95</v>
          </cell>
          <cell r="I270">
            <v>0.85</v>
          </cell>
          <cell r="J270">
            <v>0.8</v>
          </cell>
          <cell r="K270">
            <v>0.95</v>
          </cell>
          <cell r="L270">
            <v>0.8</v>
          </cell>
          <cell r="M270">
            <v>0.8</v>
          </cell>
          <cell r="N270">
            <v>0.8</v>
          </cell>
          <cell r="O270">
            <v>0.95</v>
          </cell>
          <cell r="P270">
            <v>0.95</v>
          </cell>
          <cell r="Q270">
            <v>0.9</v>
          </cell>
        </row>
        <row r="271">
          <cell r="B271">
            <v>44531</v>
          </cell>
          <cell r="C271">
            <v>1</v>
          </cell>
          <cell r="D271">
            <v>1.05</v>
          </cell>
          <cell r="E271">
            <v>1</v>
          </cell>
          <cell r="F271">
            <v>1</v>
          </cell>
          <cell r="G271">
            <v>1.1499999999999999</v>
          </cell>
          <cell r="H271">
            <v>1.25</v>
          </cell>
          <cell r="I271">
            <v>1.05</v>
          </cell>
          <cell r="J271">
            <v>1</v>
          </cell>
          <cell r="K271">
            <v>1.35</v>
          </cell>
          <cell r="L271">
            <v>1</v>
          </cell>
          <cell r="M271">
            <v>1.1000000000000001</v>
          </cell>
          <cell r="N271">
            <v>1</v>
          </cell>
          <cell r="O271">
            <v>1.25</v>
          </cell>
          <cell r="P271">
            <v>1.1499999999999999</v>
          </cell>
          <cell r="Q271">
            <v>1.1000000000000001</v>
          </cell>
        </row>
        <row r="272">
          <cell r="B272">
            <v>44562</v>
          </cell>
          <cell r="C272">
            <v>0</v>
          </cell>
          <cell r="D272">
            <v>1.05</v>
          </cell>
          <cell r="E272">
            <v>1</v>
          </cell>
          <cell r="F272">
            <v>1</v>
          </cell>
          <cell r="G272">
            <v>1.1499999999999999</v>
          </cell>
          <cell r="H272">
            <v>1.45</v>
          </cell>
          <cell r="I272">
            <v>1.05</v>
          </cell>
          <cell r="J272">
            <v>1</v>
          </cell>
          <cell r="K272">
            <v>1.35</v>
          </cell>
          <cell r="L272">
            <v>0</v>
          </cell>
          <cell r="M272">
            <v>1.1000000000000001</v>
          </cell>
          <cell r="N272">
            <v>1</v>
          </cell>
          <cell r="O272">
            <v>1.45</v>
          </cell>
          <cell r="P272">
            <v>0.15</v>
          </cell>
          <cell r="Q272">
            <v>1.1000000000000001</v>
          </cell>
        </row>
        <row r="273">
          <cell r="B273">
            <v>44593</v>
          </cell>
          <cell r="C273">
            <v>0</v>
          </cell>
          <cell r="D273">
            <v>1.05</v>
          </cell>
          <cell r="E273">
            <v>1</v>
          </cell>
          <cell r="F273">
            <v>1</v>
          </cell>
          <cell r="G273">
            <v>1.1499999999999999</v>
          </cell>
          <cell r="H273">
            <v>1.45</v>
          </cell>
          <cell r="I273">
            <v>1.05</v>
          </cell>
          <cell r="J273">
            <v>1</v>
          </cell>
          <cell r="K273">
            <v>1.35</v>
          </cell>
          <cell r="L273">
            <v>0</v>
          </cell>
          <cell r="M273">
            <v>1.1000000000000001</v>
          </cell>
          <cell r="N273">
            <v>1</v>
          </cell>
          <cell r="O273">
            <v>1.45</v>
          </cell>
          <cell r="P273">
            <v>0.15</v>
          </cell>
          <cell r="Q273">
            <v>1.1000000000000001</v>
          </cell>
        </row>
        <row r="274">
          <cell r="B274">
            <v>44621</v>
          </cell>
          <cell r="C274">
            <v>0</v>
          </cell>
          <cell r="D274">
            <v>0.8</v>
          </cell>
          <cell r="E274">
            <v>0.75</v>
          </cell>
          <cell r="F274">
            <v>0.75</v>
          </cell>
          <cell r="G274">
            <v>0.85</v>
          </cell>
          <cell r="H274">
            <v>1</v>
          </cell>
          <cell r="I274">
            <v>0.75</v>
          </cell>
          <cell r="J274">
            <v>0.75</v>
          </cell>
          <cell r="K274">
            <v>0.95</v>
          </cell>
          <cell r="L274">
            <v>0</v>
          </cell>
          <cell r="M274">
            <v>0.75</v>
          </cell>
          <cell r="N274">
            <v>0.75</v>
          </cell>
          <cell r="O274">
            <v>1</v>
          </cell>
          <cell r="P274">
            <v>0.15</v>
          </cell>
          <cell r="Q274">
            <v>0.85</v>
          </cell>
        </row>
        <row r="275">
          <cell r="B275">
            <v>44652</v>
          </cell>
          <cell r="C275">
            <v>0</v>
          </cell>
          <cell r="D275">
            <v>0.45</v>
          </cell>
          <cell r="E275">
            <v>0.4</v>
          </cell>
          <cell r="F275">
            <v>0.45</v>
          </cell>
          <cell r="G275">
            <v>0.45</v>
          </cell>
          <cell r="H275">
            <v>0.45</v>
          </cell>
          <cell r="I275">
            <v>0.45</v>
          </cell>
          <cell r="J275">
            <v>0.45</v>
          </cell>
          <cell r="K275">
            <v>0.5</v>
          </cell>
          <cell r="L275">
            <v>0</v>
          </cell>
          <cell r="M275">
            <v>0.45</v>
          </cell>
          <cell r="N275">
            <v>0.4</v>
          </cell>
          <cell r="O275">
            <v>0.45</v>
          </cell>
          <cell r="P275">
            <v>0.15</v>
          </cell>
          <cell r="Q275">
            <v>0.55000000000000004</v>
          </cell>
        </row>
        <row r="276">
          <cell r="B276">
            <v>44682</v>
          </cell>
          <cell r="C276">
            <v>0</v>
          </cell>
          <cell r="D276">
            <v>0.5</v>
          </cell>
          <cell r="E276">
            <v>0.4</v>
          </cell>
          <cell r="F276">
            <v>0.4</v>
          </cell>
          <cell r="G276">
            <v>0.45</v>
          </cell>
          <cell r="H276">
            <v>0.5</v>
          </cell>
          <cell r="I276">
            <v>0.45</v>
          </cell>
          <cell r="J276">
            <v>0.4</v>
          </cell>
          <cell r="K276">
            <v>0.45</v>
          </cell>
          <cell r="L276">
            <v>0</v>
          </cell>
          <cell r="M276">
            <v>0.5</v>
          </cell>
          <cell r="N276">
            <v>0.45</v>
          </cell>
          <cell r="O276">
            <v>0.5</v>
          </cell>
          <cell r="P276">
            <v>0.15</v>
          </cell>
          <cell r="Q276">
            <v>0.5</v>
          </cell>
        </row>
        <row r="277">
          <cell r="B277">
            <v>44713</v>
          </cell>
          <cell r="C277">
            <v>0</v>
          </cell>
          <cell r="D277">
            <v>0.5</v>
          </cell>
          <cell r="E277">
            <v>0.4</v>
          </cell>
          <cell r="F277">
            <v>0.5</v>
          </cell>
          <cell r="G277">
            <v>0.45</v>
          </cell>
          <cell r="H277">
            <v>0.5</v>
          </cell>
          <cell r="I277">
            <v>0.5</v>
          </cell>
          <cell r="J277">
            <v>0.5</v>
          </cell>
          <cell r="K277">
            <v>0.5</v>
          </cell>
          <cell r="L277">
            <v>0</v>
          </cell>
          <cell r="M277">
            <v>0.5</v>
          </cell>
          <cell r="N277">
            <v>0.45</v>
          </cell>
          <cell r="O277">
            <v>0.5</v>
          </cell>
          <cell r="P277">
            <v>0.15</v>
          </cell>
          <cell r="Q277">
            <v>0.6</v>
          </cell>
        </row>
        <row r="278">
          <cell r="B278">
            <v>44743</v>
          </cell>
          <cell r="C278">
            <v>0</v>
          </cell>
          <cell r="D278">
            <v>0.5</v>
          </cell>
          <cell r="E278">
            <v>0.4</v>
          </cell>
          <cell r="F278">
            <v>0.5</v>
          </cell>
          <cell r="G278">
            <v>0.5</v>
          </cell>
          <cell r="H278">
            <v>0.5</v>
          </cell>
          <cell r="I278">
            <v>0.5</v>
          </cell>
          <cell r="J278">
            <v>0.5</v>
          </cell>
          <cell r="K278">
            <v>0.5</v>
          </cell>
          <cell r="L278">
            <v>0</v>
          </cell>
          <cell r="M278">
            <v>0.55000000000000004</v>
          </cell>
          <cell r="N278">
            <v>0.5</v>
          </cell>
          <cell r="O278">
            <v>0.5</v>
          </cell>
          <cell r="P278">
            <v>0.15</v>
          </cell>
          <cell r="Q278">
            <v>0.6</v>
          </cell>
        </row>
        <row r="279">
          <cell r="B279">
            <v>44774</v>
          </cell>
          <cell r="C279">
            <v>0</v>
          </cell>
          <cell r="D279">
            <v>0.55000000000000004</v>
          </cell>
          <cell r="E279">
            <v>0.5</v>
          </cell>
          <cell r="F279">
            <v>0.6</v>
          </cell>
          <cell r="G279">
            <v>0.55000000000000004</v>
          </cell>
          <cell r="H279">
            <v>0.6</v>
          </cell>
          <cell r="I279">
            <v>0.55000000000000004</v>
          </cell>
          <cell r="J279">
            <v>0.6</v>
          </cell>
          <cell r="K279">
            <v>0.45</v>
          </cell>
          <cell r="L279">
            <v>0</v>
          </cell>
          <cell r="M279">
            <v>0.6</v>
          </cell>
          <cell r="N279">
            <v>0.55000000000000004</v>
          </cell>
          <cell r="O279">
            <v>0.6</v>
          </cell>
          <cell r="P279">
            <v>0.15</v>
          </cell>
          <cell r="Q279">
            <v>0.7</v>
          </cell>
        </row>
        <row r="280">
          <cell r="B280">
            <v>44805</v>
          </cell>
          <cell r="C280">
            <v>0</v>
          </cell>
          <cell r="D280">
            <v>0.55000000000000004</v>
          </cell>
          <cell r="E280">
            <v>0.55000000000000004</v>
          </cell>
          <cell r="F280">
            <v>0.55000000000000004</v>
          </cell>
          <cell r="G280">
            <v>0.55000000000000004</v>
          </cell>
          <cell r="H280">
            <v>0.6</v>
          </cell>
          <cell r="I280">
            <v>0.6</v>
          </cell>
          <cell r="J280">
            <v>0.55000000000000004</v>
          </cell>
          <cell r="K280">
            <v>0.5</v>
          </cell>
          <cell r="L280">
            <v>0</v>
          </cell>
          <cell r="M280">
            <v>0.6</v>
          </cell>
          <cell r="N280">
            <v>0.55000000000000004</v>
          </cell>
          <cell r="O280">
            <v>0.6</v>
          </cell>
          <cell r="P280">
            <v>0.15</v>
          </cell>
          <cell r="Q280">
            <v>0.65</v>
          </cell>
        </row>
        <row r="281">
          <cell r="B281">
            <v>44835</v>
          </cell>
          <cell r="C281">
            <v>0</v>
          </cell>
          <cell r="D281">
            <v>0.6</v>
          </cell>
          <cell r="E281">
            <v>0.55000000000000004</v>
          </cell>
          <cell r="F281">
            <v>0.6</v>
          </cell>
          <cell r="G281">
            <v>0.6</v>
          </cell>
          <cell r="H281">
            <v>0.65</v>
          </cell>
          <cell r="I281">
            <v>0.65</v>
          </cell>
          <cell r="J281">
            <v>0.6</v>
          </cell>
          <cell r="K281">
            <v>0.5</v>
          </cell>
          <cell r="L281">
            <v>0</v>
          </cell>
          <cell r="M281">
            <v>0.65</v>
          </cell>
          <cell r="N281">
            <v>0.6</v>
          </cell>
          <cell r="O281">
            <v>0.65</v>
          </cell>
          <cell r="P281">
            <v>0.15</v>
          </cell>
          <cell r="Q281">
            <v>0.7</v>
          </cell>
        </row>
        <row r="282">
          <cell r="B282">
            <v>44866</v>
          </cell>
          <cell r="C282">
            <v>0</v>
          </cell>
          <cell r="D282">
            <v>0.85</v>
          </cell>
          <cell r="E282">
            <v>0.8</v>
          </cell>
          <cell r="F282">
            <v>0.8</v>
          </cell>
          <cell r="G282">
            <v>0.9</v>
          </cell>
          <cell r="H282">
            <v>0.95</v>
          </cell>
          <cell r="I282">
            <v>0.85</v>
          </cell>
          <cell r="J282">
            <v>0.8</v>
          </cell>
          <cell r="K282">
            <v>0.95</v>
          </cell>
          <cell r="L282">
            <v>0</v>
          </cell>
          <cell r="M282">
            <v>0.8</v>
          </cell>
          <cell r="N282">
            <v>0.8</v>
          </cell>
          <cell r="O282">
            <v>0.95</v>
          </cell>
          <cell r="P282">
            <v>0.15</v>
          </cell>
          <cell r="Q282">
            <v>0.9</v>
          </cell>
        </row>
        <row r="283">
          <cell r="B283">
            <v>44896</v>
          </cell>
          <cell r="C283">
            <v>0</v>
          </cell>
          <cell r="D283">
            <v>1.05</v>
          </cell>
          <cell r="E283">
            <v>1</v>
          </cell>
          <cell r="F283">
            <v>1</v>
          </cell>
          <cell r="G283">
            <v>1.1499999999999999</v>
          </cell>
          <cell r="H283">
            <v>1.25</v>
          </cell>
          <cell r="I283">
            <v>1.05</v>
          </cell>
          <cell r="J283">
            <v>1</v>
          </cell>
          <cell r="K283">
            <v>1.35</v>
          </cell>
          <cell r="L283">
            <v>0</v>
          </cell>
          <cell r="M283">
            <v>1.1000000000000001</v>
          </cell>
          <cell r="N283">
            <v>1</v>
          </cell>
          <cell r="O283">
            <v>1.25</v>
          </cell>
          <cell r="P283">
            <v>0.15</v>
          </cell>
          <cell r="Q283">
            <v>1.1000000000000001</v>
          </cell>
        </row>
        <row r="284">
          <cell r="B284">
            <v>44927</v>
          </cell>
          <cell r="C284">
            <v>0</v>
          </cell>
          <cell r="D284">
            <v>1.05</v>
          </cell>
          <cell r="E284">
            <v>1</v>
          </cell>
          <cell r="F284">
            <v>1</v>
          </cell>
          <cell r="G284">
            <v>1.1499999999999999</v>
          </cell>
          <cell r="H284">
            <v>1.45</v>
          </cell>
          <cell r="I284">
            <v>1.05</v>
          </cell>
          <cell r="J284">
            <v>1</v>
          </cell>
          <cell r="K284">
            <v>1.35</v>
          </cell>
          <cell r="L284">
            <v>0</v>
          </cell>
          <cell r="M284">
            <v>1.1000000000000001</v>
          </cell>
          <cell r="N284">
            <v>1</v>
          </cell>
          <cell r="O284">
            <v>1.45</v>
          </cell>
          <cell r="P284">
            <v>0.15</v>
          </cell>
          <cell r="Q284">
            <v>1.1000000000000001</v>
          </cell>
        </row>
        <row r="285">
          <cell r="B285">
            <v>44958</v>
          </cell>
          <cell r="C285">
            <v>0</v>
          </cell>
          <cell r="D285">
            <v>1.05</v>
          </cell>
          <cell r="E285">
            <v>1</v>
          </cell>
          <cell r="F285">
            <v>1</v>
          </cell>
          <cell r="G285">
            <v>1.1499999999999999</v>
          </cell>
          <cell r="H285">
            <v>1.45</v>
          </cell>
          <cell r="I285">
            <v>1.05</v>
          </cell>
          <cell r="J285">
            <v>1</v>
          </cell>
          <cell r="K285">
            <v>1.35</v>
          </cell>
          <cell r="L285">
            <v>0</v>
          </cell>
          <cell r="M285">
            <v>1.1000000000000001</v>
          </cell>
          <cell r="N285">
            <v>1</v>
          </cell>
          <cell r="O285">
            <v>1.45</v>
          </cell>
          <cell r="P285">
            <v>0.15</v>
          </cell>
          <cell r="Q285">
            <v>1.1000000000000001</v>
          </cell>
        </row>
        <row r="286">
          <cell r="B286">
            <v>44986</v>
          </cell>
          <cell r="C286">
            <v>0</v>
          </cell>
          <cell r="D286">
            <v>0.8</v>
          </cell>
          <cell r="E286">
            <v>0.75</v>
          </cell>
          <cell r="F286">
            <v>0.75</v>
          </cell>
          <cell r="G286">
            <v>0.85</v>
          </cell>
          <cell r="H286">
            <v>1</v>
          </cell>
          <cell r="I286">
            <v>0.75</v>
          </cell>
          <cell r="J286">
            <v>0.75</v>
          </cell>
          <cell r="K286">
            <v>0.95</v>
          </cell>
          <cell r="L286">
            <v>0</v>
          </cell>
          <cell r="M286">
            <v>0.75</v>
          </cell>
          <cell r="N286">
            <v>0.75</v>
          </cell>
          <cell r="O286">
            <v>1</v>
          </cell>
          <cell r="P286">
            <v>0.15</v>
          </cell>
          <cell r="Q286">
            <v>0.85</v>
          </cell>
        </row>
        <row r="287">
          <cell r="B287">
            <v>45017</v>
          </cell>
          <cell r="C287">
            <v>0</v>
          </cell>
          <cell r="D287">
            <v>0.45</v>
          </cell>
          <cell r="E287">
            <v>0.4</v>
          </cell>
          <cell r="F287">
            <v>0.45</v>
          </cell>
          <cell r="G287">
            <v>0.45</v>
          </cell>
          <cell r="H287">
            <v>0.45</v>
          </cell>
          <cell r="I287">
            <v>0.45</v>
          </cell>
          <cell r="J287">
            <v>0.45</v>
          </cell>
          <cell r="K287">
            <v>0.5</v>
          </cell>
          <cell r="L287">
            <v>0</v>
          </cell>
          <cell r="M287">
            <v>0.45</v>
          </cell>
          <cell r="N287">
            <v>0.4</v>
          </cell>
          <cell r="O287">
            <v>0.45</v>
          </cell>
          <cell r="P287">
            <v>0.15</v>
          </cell>
          <cell r="Q287">
            <v>0.55000000000000004</v>
          </cell>
        </row>
        <row r="288">
          <cell r="B288">
            <v>45047</v>
          </cell>
          <cell r="C288">
            <v>0</v>
          </cell>
          <cell r="D288">
            <v>0.5</v>
          </cell>
          <cell r="E288">
            <v>0.4</v>
          </cell>
          <cell r="F288">
            <v>0.4</v>
          </cell>
          <cell r="G288">
            <v>0.45</v>
          </cell>
          <cell r="H288">
            <v>0.5</v>
          </cell>
          <cell r="I288">
            <v>0.45</v>
          </cell>
          <cell r="J288">
            <v>0.4</v>
          </cell>
          <cell r="K288">
            <v>0.45</v>
          </cell>
          <cell r="L288">
            <v>0</v>
          </cell>
          <cell r="M288">
            <v>0.5</v>
          </cell>
          <cell r="N288">
            <v>0.45</v>
          </cell>
          <cell r="O288">
            <v>0.5</v>
          </cell>
          <cell r="P288">
            <v>0.15</v>
          </cell>
          <cell r="Q288">
            <v>0.5</v>
          </cell>
        </row>
        <row r="289">
          <cell r="B289">
            <v>45078</v>
          </cell>
          <cell r="C289">
            <v>0</v>
          </cell>
          <cell r="D289">
            <v>0.5</v>
          </cell>
          <cell r="E289">
            <v>0.4</v>
          </cell>
          <cell r="F289">
            <v>0.5</v>
          </cell>
          <cell r="G289">
            <v>0.45</v>
          </cell>
          <cell r="H289">
            <v>0.5</v>
          </cell>
          <cell r="I289">
            <v>0.5</v>
          </cell>
          <cell r="J289">
            <v>0.5</v>
          </cell>
          <cell r="K289">
            <v>0.5</v>
          </cell>
          <cell r="L289">
            <v>0</v>
          </cell>
          <cell r="M289">
            <v>0.5</v>
          </cell>
          <cell r="N289">
            <v>0.45</v>
          </cell>
          <cell r="O289">
            <v>0.5</v>
          </cell>
          <cell r="P289">
            <v>0.15</v>
          </cell>
          <cell r="Q289">
            <v>0.6</v>
          </cell>
        </row>
        <row r="290">
          <cell r="B290">
            <v>45108</v>
          </cell>
          <cell r="C290">
            <v>0</v>
          </cell>
          <cell r="D290">
            <v>0.5</v>
          </cell>
          <cell r="E290">
            <v>0.4</v>
          </cell>
          <cell r="F290">
            <v>0.5</v>
          </cell>
          <cell r="G290">
            <v>0.5</v>
          </cell>
          <cell r="H290">
            <v>0.5</v>
          </cell>
          <cell r="I290">
            <v>0.5</v>
          </cell>
          <cell r="J290">
            <v>0.5</v>
          </cell>
          <cell r="K290">
            <v>0.5</v>
          </cell>
          <cell r="L290">
            <v>0</v>
          </cell>
          <cell r="M290">
            <v>0.55000000000000004</v>
          </cell>
          <cell r="N290">
            <v>0.5</v>
          </cell>
          <cell r="O290">
            <v>0.5</v>
          </cell>
          <cell r="P290">
            <v>0.15</v>
          </cell>
          <cell r="Q290">
            <v>0.6</v>
          </cell>
        </row>
        <row r="291">
          <cell r="B291">
            <v>45139</v>
          </cell>
          <cell r="C291">
            <v>0</v>
          </cell>
          <cell r="D291">
            <v>0.55000000000000004</v>
          </cell>
          <cell r="E291">
            <v>0.5</v>
          </cell>
          <cell r="F291">
            <v>0.6</v>
          </cell>
          <cell r="G291">
            <v>0.55000000000000004</v>
          </cell>
          <cell r="H291">
            <v>0.6</v>
          </cell>
          <cell r="I291">
            <v>0.55000000000000004</v>
          </cell>
          <cell r="J291">
            <v>0.6</v>
          </cell>
          <cell r="K291">
            <v>0.45</v>
          </cell>
          <cell r="L291">
            <v>0</v>
          </cell>
          <cell r="M291">
            <v>0.6</v>
          </cell>
          <cell r="N291">
            <v>0.55000000000000004</v>
          </cell>
          <cell r="O291">
            <v>0.6</v>
          </cell>
          <cell r="P291">
            <v>0.15</v>
          </cell>
          <cell r="Q291">
            <v>0.7</v>
          </cell>
        </row>
        <row r="292">
          <cell r="B292">
            <v>45170</v>
          </cell>
          <cell r="C292">
            <v>0</v>
          </cell>
          <cell r="D292">
            <v>0.55000000000000004</v>
          </cell>
          <cell r="E292">
            <v>0.55000000000000004</v>
          </cell>
          <cell r="F292">
            <v>0.55000000000000004</v>
          </cell>
          <cell r="G292">
            <v>0.55000000000000004</v>
          </cell>
          <cell r="H292">
            <v>0.6</v>
          </cell>
          <cell r="I292">
            <v>0.6</v>
          </cell>
          <cell r="J292">
            <v>0.55000000000000004</v>
          </cell>
          <cell r="K292">
            <v>0.5</v>
          </cell>
          <cell r="L292">
            <v>0</v>
          </cell>
          <cell r="M292">
            <v>0.6</v>
          </cell>
          <cell r="N292">
            <v>0.55000000000000004</v>
          </cell>
          <cell r="O292">
            <v>0.6</v>
          </cell>
          <cell r="P292">
            <v>0.15</v>
          </cell>
          <cell r="Q292">
            <v>0.65</v>
          </cell>
        </row>
        <row r="293">
          <cell r="B293">
            <v>45200</v>
          </cell>
          <cell r="C293">
            <v>0</v>
          </cell>
          <cell r="D293">
            <v>0.6</v>
          </cell>
          <cell r="E293">
            <v>0.55000000000000004</v>
          </cell>
          <cell r="F293">
            <v>0.6</v>
          </cell>
          <cell r="G293">
            <v>0.6</v>
          </cell>
          <cell r="H293">
            <v>0.65</v>
          </cell>
          <cell r="I293">
            <v>0.65</v>
          </cell>
          <cell r="J293">
            <v>0.6</v>
          </cell>
          <cell r="K293">
            <v>0.5</v>
          </cell>
          <cell r="L293">
            <v>0</v>
          </cell>
          <cell r="M293">
            <v>0.65</v>
          </cell>
          <cell r="N293">
            <v>0.6</v>
          </cell>
          <cell r="O293">
            <v>0.65</v>
          </cell>
          <cell r="P293">
            <v>0.15</v>
          </cell>
          <cell r="Q293">
            <v>0.7</v>
          </cell>
        </row>
        <row r="294">
          <cell r="B294">
            <v>45231</v>
          </cell>
          <cell r="C294">
            <v>0</v>
          </cell>
          <cell r="D294">
            <v>0.85</v>
          </cell>
          <cell r="E294">
            <v>0.8</v>
          </cell>
          <cell r="F294">
            <v>0.8</v>
          </cell>
          <cell r="G294">
            <v>0.9</v>
          </cell>
          <cell r="H294">
            <v>0.95</v>
          </cell>
          <cell r="I294">
            <v>0.85</v>
          </cell>
          <cell r="J294">
            <v>0.8</v>
          </cell>
          <cell r="K294">
            <v>0.95</v>
          </cell>
          <cell r="L294">
            <v>0</v>
          </cell>
          <cell r="M294">
            <v>0.8</v>
          </cell>
          <cell r="N294">
            <v>0.8</v>
          </cell>
          <cell r="O294">
            <v>0.95</v>
          </cell>
          <cell r="P294">
            <v>0.15</v>
          </cell>
          <cell r="Q294">
            <v>0.9</v>
          </cell>
        </row>
        <row r="295">
          <cell r="B295">
            <v>45261</v>
          </cell>
          <cell r="C295">
            <v>0</v>
          </cell>
          <cell r="D295">
            <v>1.05</v>
          </cell>
          <cell r="E295">
            <v>1</v>
          </cell>
          <cell r="F295">
            <v>1</v>
          </cell>
          <cell r="G295">
            <v>1.1499999999999999</v>
          </cell>
          <cell r="H295">
            <v>1.25</v>
          </cell>
          <cell r="I295">
            <v>1.05</v>
          </cell>
          <cell r="J295">
            <v>1</v>
          </cell>
          <cell r="K295">
            <v>1.35</v>
          </cell>
          <cell r="L295">
            <v>0</v>
          </cell>
          <cell r="M295">
            <v>1.1000000000000001</v>
          </cell>
          <cell r="N295">
            <v>1</v>
          </cell>
          <cell r="O295">
            <v>1.25</v>
          </cell>
          <cell r="P295">
            <v>0.15</v>
          </cell>
          <cell r="Q295">
            <v>1.1000000000000001</v>
          </cell>
        </row>
        <row r="296">
          <cell r="B296">
            <v>45292</v>
          </cell>
          <cell r="C296">
            <v>0</v>
          </cell>
          <cell r="D296">
            <v>1.05</v>
          </cell>
          <cell r="E296">
            <v>1</v>
          </cell>
          <cell r="F296">
            <v>1</v>
          </cell>
          <cell r="G296">
            <v>1.1499999999999999</v>
          </cell>
          <cell r="H296">
            <v>1.45</v>
          </cell>
          <cell r="I296">
            <v>1.05</v>
          </cell>
          <cell r="J296">
            <v>1</v>
          </cell>
          <cell r="K296">
            <v>1.35</v>
          </cell>
          <cell r="L296">
            <v>0</v>
          </cell>
          <cell r="M296">
            <v>1.1000000000000001</v>
          </cell>
          <cell r="N296">
            <v>1</v>
          </cell>
          <cell r="O296">
            <v>1.45</v>
          </cell>
          <cell r="P296">
            <v>0.15</v>
          </cell>
          <cell r="Q296">
            <v>1.1000000000000001</v>
          </cell>
        </row>
        <row r="297">
          <cell r="B297">
            <v>45323</v>
          </cell>
          <cell r="C297">
            <v>0</v>
          </cell>
          <cell r="D297">
            <v>1.05</v>
          </cell>
          <cell r="E297">
            <v>1</v>
          </cell>
          <cell r="F297">
            <v>1</v>
          </cell>
          <cell r="G297">
            <v>1.1499999999999999</v>
          </cell>
          <cell r="H297">
            <v>1.45</v>
          </cell>
          <cell r="I297">
            <v>1.05</v>
          </cell>
          <cell r="J297">
            <v>1</v>
          </cell>
          <cell r="K297">
            <v>1.35</v>
          </cell>
          <cell r="L297">
            <v>0</v>
          </cell>
          <cell r="M297">
            <v>1.1000000000000001</v>
          </cell>
          <cell r="N297">
            <v>1</v>
          </cell>
          <cell r="O297">
            <v>1.45</v>
          </cell>
          <cell r="P297">
            <v>0.15</v>
          </cell>
          <cell r="Q297">
            <v>1.1000000000000001</v>
          </cell>
        </row>
        <row r="298">
          <cell r="B298">
            <v>45352</v>
          </cell>
          <cell r="C298">
            <v>0</v>
          </cell>
          <cell r="D298">
            <v>0.8</v>
          </cell>
          <cell r="E298">
            <v>0.75</v>
          </cell>
          <cell r="F298">
            <v>0.75</v>
          </cell>
          <cell r="G298">
            <v>0.85</v>
          </cell>
          <cell r="H298">
            <v>1</v>
          </cell>
          <cell r="I298">
            <v>0.75</v>
          </cell>
          <cell r="J298">
            <v>0.75</v>
          </cell>
          <cell r="K298">
            <v>0.95</v>
          </cell>
          <cell r="L298">
            <v>0</v>
          </cell>
          <cell r="M298">
            <v>0.75</v>
          </cell>
          <cell r="N298">
            <v>0.75</v>
          </cell>
          <cell r="O298">
            <v>1</v>
          </cell>
          <cell r="P298">
            <v>0.15</v>
          </cell>
          <cell r="Q298">
            <v>0.85</v>
          </cell>
        </row>
        <row r="299">
          <cell r="B299">
            <v>45383</v>
          </cell>
          <cell r="C299">
            <v>0</v>
          </cell>
          <cell r="D299">
            <v>0.45</v>
          </cell>
          <cell r="E299">
            <v>0.4</v>
          </cell>
          <cell r="F299">
            <v>0.45</v>
          </cell>
          <cell r="G299">
            <v>0.45</v>
          </cell>
          <cell r="H299">
            <v>0.45</v>
          </cell>
          <cell r="I299">
            <v>0.45</v>
          </cell>
          <cell r="J299">
            <v>0.45</v>
          </cell>
          <cell r="K299">
            <v>0.5</v>
          </cell>
          <cell r="L299">
            <v>0</v>
          </cell>
          <cell r="M299">
            <v>0.45</v>
          </cell>
          <cell r="N299">
            <v>0.4</v>
          </cell>
          <cell r="O299">
            <v>0.45</v>
          </cell>
          <cell r="P299">
            <v>0.15</v>
          </cell>
          <cell r="Q299">
            <v>0.55000000000000004</v>
          </cell>
        </row>
        <row r="300">
          <cell r="B300">
            <v>45413</v>
          </cell>
          <cell r="C300">
            <v>0</v>
          </cell>
          <cell r="D300">
            <v>0.5</v>
          </cell>
          <cell r="E300">
            <v>0.4</v>
          </cell>
          <cell r="F300">
            <v>0.4</v>
          </cell>
          <cell r="G300">
            <v>0.45</v>
          </cell>
          <cell r="H300">
            <v>0.5</v>
          </cell>
          <cell r="I300">
            <v>0.45</v>
          </cell>
          <cell r="J300">
            <v>0.4</v>
          </cell>
          <cell r="K300">
            <v>0.45</v>
          </cell>
          <cell r="L300">
            <v>0</v>
          </cell>
          <cell r="M300">
            <v>0.5</v>
          </cell>
          <cell r="N300">
            <v>0.45</v>
          </cell>
          <cell r="O300">
            <v>0.5</v>
          </cell>
          <cell r="P300">
            <v>0.15</v>
          </cell>
          <cell r="Q300">
            <v>0.5</v>
          </cell>
        </row>
        <row r="301">
          <cell r="B301">
            <v>45444</v>
          </cell>
          <cell r="C301">
            <v>0</v>
          </cell>
          <cell r="D301">
            <v>0.5</v>
          </cell>
          <cell r="E301">
            <v>0.4</v>
          </cell>
          <cell r="F301">
            <v>0.5</v>
          </cell>
          <cell r="G301">
            <v>0.45</v>
          </cell>
          <cell r="H301">
            <v>0.5</v>
          </cell>
          <cell r="I301">
            <v>0.5</v>
          </cell>
          <cell r="J301">
            <v>0.5</v>
          </cell>
          <cell r="K301">
            <v>0.5</v>
          </cell>
          <cell r="L301">
            <v>0</v>
          </cell>
          <cell r="M301">
            <v>0.5</v>
          </cell>
          <cell r="N301">
            <v>0.45</v>
          </cell>
          <cell r="O301">
            <v>0.5</v>
          </cell>
          <cell r="P301">
            <v>0.15</v>
          </cell>
          <cell r="Q301">
            <v>0.6</v>
          </cell>
        </row>
        <row r="302">
          <cell r="B302">
            <v>45474</v>
          </cell>
          <cell r="C302">
            <v>0</v>
          </cell>
          <cell r="D302">
            <v>0.5</v>
          </cell>
          <cell r="E302">
            <v>0.4</v>
          </cell>
          <cell r="F302">
            <v>0.5</v>
          </cell>
          <cell r="G302">
            <v>0.5</v>
          </cell>
          <cell r="H302">
            <v>0.5</v>
          </cell>
          <cell r="I302">
            <v>0.5</v>
          </cell>
          <cell r="J302">
            <v>0.5</v>
          </cell>
          <cell r="K302">
            <v>0.5</v>
          </cell>
          <cell r="L302">
            <v>0</v>
          </cell>
          <cell r="M302">
            <v>0.55000000000000004</v>
          </cell>
          <cell r="N302">
            <v>0.5</v>
          </cell>
          <cell r="O302">
            <v>0.5</v>
          </cell>
          <cell r="P302">
            <v>0.15</v>
          </cell>
          <cell r="Q302">
            <v>0.6</v>
          </cell>
        </row>
        <row r="303">
          <cell r="B303">
            <v>45505</v>
          </cell>
          <cell r="C303">
            <v>0</v>
          </cell>
          <cell r="D303">
            <v>0.55000000000000004</v>
          </cell>
          <cell r="E303">
            <v>0.5</v>
          </cell>
          <cell r="F303">
            <v>0.6</v>
          </cell>
          <cell r="G303">
            <v>0.55000000000000004</v>
          </cell>
          <cell r="H303">
            <v>0.6</v>
          </cell>
          <cell r="I303">
            <v>0.55000000000000004</v>
          </cell>
          <cell r="J303">
            <v>0.6</v>
          </cell>
          <cell r="K303">
            <v>0.45</v>
          </cell>
          <cell r="L303">
            <v>0</v>
          </cell>
          <cell r="M303">
            <v>0.6</v>
          </cell>
          <cell r="N303">
            <v>0.55000000000000004</v>
          </cell>
          <cell r="O303">
            <v>0.6</v>
          </cell>
          <cell r="P303">
            <v>0.15</v>
          </cell>
          <cell r="Q303">
            <v>0.7</v>
          </cell>
        </row>
        <row r="304">
          <cell r="B304">
            <v>45536</v>
          </cell>
          <cell r="C304">
            <v>0</v>
          </cell>
          <cell r="D304">
            <v>0.55000000000000004</v>
          </cell>
          <cell r="E304">
            <v>0.55000000000000004</v>
          </cell>
          <cell r="F304">
            <v>0.55000000000000004</v>
          </cell>
          <cell r="G304">
            <v>0.55000000000000004</v>
          </cell>
          <cell r="H304">
            <v>0.6</v>
          </cell>
          <cell r="I304">
            <v>0.6</v>
          </cell>
          <cell r="J304">
            <v>0.55000000000000004</v>
          </cell>
          <cell r="K304">
            <v>0.5</v>
          </cell>
          <cell r="L304">
            <v>0</v>
          </cell>
          <cell r="M304">
            <v>0.6</v>
          </cell>
          <cell r="N304">
            <v>0.55000000000000004</v>
          </cell>
          <cell r="O304">
            <v>0.6</v>
          </cell>
          <cell r="P304">
            <v>0.15</v>
          </cell>
          <cell r="Q304">
            <v>0.65</v>
          </cell>
        </row>
        <row r="305">
          <cell r="B305">
            <v>45566</v>
          </cell>
          <cell r="C305">
            <v>0</v>
          </cell>
          <cell r="D305">
            <v>0.6</v>
          </cell>
          <cell r="E305">
            <v>0.55000000000000004</v>
          </cell>
          <cell r="F305">
            <v>0.6</v>
          </cell>
          <cell r="G305">
            <v>0.6</v>
          </cell>
          <cell r="H305">
            <v>0.65</v>
          </cell>
          <cell r="I305">
            <v>0.65</v>
          </cell>
          <cell r="J305">
            <v>0.6</v>
          </cell>
          <cell r="K305">
            <v>0.5</v>
          </cell>
          <cell r="L305">
            <v>0</v>
          </cell>
          <cell r="M305">
            <v>0.65</v>
          </cell>
          <cell r="N305">
            <v>0.6</v>
          </cell>
          <cell r="O305">
            <v>0.65</v>
          </cell>
          <cell r="P305">
            <v>0.15</v>
          </cell>
          <cell r="Q305">
            <v>0.7</v>
          </cell>
        </row>
        <row r="306">
          <cell r="B306">
            <v>45597</v>
          </cell>
          <cell r="C306">
            <v>0</v>
          </cell>
          <cell r="D306">
            <v>0.85</v>
          </cell>
          <cell r="E306">
            <v>0.8</v>
          </cell>
          <cell r="F306">
            <v>0.8</v>
          </cell>
          <cell r="G306">
            <v>0.9</v>
          </cell>
          <cell r="H306">
            <v>0.95</v>
          </cell>
          <cell r="I306">
            <v>0.85</v>
          </cell>
          <cell r="J306">
            <v>0.8</v>
          </cell>
          <cell r="K306">
            <v>0.95</v>
          </cell>
          <cell r="L306">
            <v>0</v>
          </cell>
          <cell r="M306">
            <v>0.8</v>
          </cell>
          <cell r="N306">
            <v>0.8</v>
          </cell>
          <cell r="O306">
            <v>0.95</v>
          </cell>
          <cell r="P306">
            <v>0.15</v>
          </cell>
          <cell r="Q306">
            <v>0.9</v>
          </cell>
        </row>
        <row r="307">
          <cell r="B307">
            <v>45627</v>
          </cell>
          <cell r="C307">
            <v>0</v>
          </cell>
          <cell r="D307">
            <v>1.05</v>
          </cell>
          <cell r="E307">
            <v>1</v>
          </cell>
          <cell r="F307">
            <v>1</v>
          </cell>
          <cell r="G307">
            <v>1.1499999999999999</v>
          </cell>
          <cell r="H307">
            <v>1.25</v>
          </cell>
          <cell r="I307">
            <v>1.05</v>
          </cell>
          <cell r="J307">
            <v>1</v>
          </cell>
          <cell r="K307">
            <v>1.35</v>
          </cell>
          <cell r="L307">
            <v>0</v>
          </cell>
          <cell r="M307">
            <v>1.1000000000000001</v>
          </cell>
          <cell r="N307">
            <v>1</v>
          </cell>
          <cell r="O307">
            <v>1.25</v>
          </cell>
          <cell r="P307">
            <v>0.15</v>
          </cell>
          <cell r="Q307">
            <v>1.1000000000000001</v>
          </cell>
        </row>
        <row r="308">
          <cell r="B308">
            <v>45658</v>
          </cell>
          <cell r="C308">
            <v>0</v>
          </cell>
          <cell r="D308">
            <v>1.05</v>
          </cell>
          <cell r="E308">
            <v>1</v>
          </cell>
          <cell r="F308">
            <v>1</v>
          </cell>
          <cell r="G308">
            <v>1.1499999999999999</v>
          </cell>
          <cell r="H308">
            <v>1.45</v>
          </cell>
          <cell r="I308">
            <v>1.05</v>
          </cell>
          <cell r="J308">
            <v>1</v>
          </cell>
          <cell r="K308">
            <v>1.35</v>
          </cell>
          <cell r="L308">
            <v>0</v>
          </cell>
          <cell r="M308">
            <v>1.1000000000000001</v>
          </cell>
          <cell r="N308">
            <v>1</v>
          </cell>
          <cell r="O308">
            <v>1.45</v>
          </cell>
          <cell r="P308">
            <v>0.15</v>
          </cell>
          <cell r="Q308">
            <v>1.1000000000000001</v>
          </cell>
        </row>
        <row r="309">
          <cell r="B309">
            <v>45689</v>
          </cell>
          <cell r="C309">
            <v>0</v>
          </cell>
          <cell r="D309">
            <v>1.05</v>
          </cell>
          <cell r="E309">
            <v>1</v>
          </cell>
          <cell r="F309">
            <v>1</v>
          </cell>
          <cell r="G309">
            <v>1.1499999999999999</v>
          </cell>
          <cell r="H309">
            <v>1.45</v>
          </cell>
          <cell r="I309">
            <v>1.05</v>
          </cell>
          <cell r="J309">
            <v>1</v>
          </cell>
          <cell r="K309">
            <v>1.35</v>
          </cell>
          <cell r="L309">
            <v>0</v>
          </cell>
          <cell r="M309">
            <v>1.1000000000000001</v>
          </cell>
          <cell r="N309">
            <v>1</v>
          </cell>
          <cell r="O309">
            <v>1.45</v>
          </cell>
          <cell r="P309">
            <v>0.15</v>
          </cell>
          <cell r="Q309">
            <v>1.1000000000000001</v>
          </cell>
        </row>
        <row r="310">
          <cell r="B310">
            <v>45717</v>
          </cell>
          <cell r="C310">
            <v>0</v>
          </cell>
          <cell r="D310">
            <v>0.8</v>
          </cell>
          <cell r="E310">
            <v>0.75</v>
          </cell>
          <cell r="F310">
            <v>0.75</v>
          </cell>
          <cell r="G310">
            <v>0.85</v>
          </cell>
          <cell r="H310">
            <v>1</v>
          </cell>
          <cell r="I310">
            <v>0.75</v>
          </cell>
          <cell r="J310">
            <v>0.75</v>
          </cell>
          <cell r="K310">
            <v>0.95</v>
          </cell>
          <cell r="L310">
            <v>0</v>
          </cell>
          <cell r="M310">
            <v>0.75</v>
          </cell>
          <cell r="N310">
            <v>0.75</v>
          </cell>
          <cell r="O310">
            <v>1</v>
          </cell>
          <cell r="P310">
            <v>0.15</v>
          </cell>
          <cell r="Q310">
            <v>0.85</v>
          </cell>
        </row>
        <row r="311">
          <cell r="B311">
            <v>45748</v>
          </cell>
          <cell r="C311">
            <v>0</v>
          </cell>
          <cell r="D311">
            <v>0.45</v>
          </cell>
          <cell r="E311">
            <v>0.4</v>
          </cell>
          <cell r="F311">
            <v>0.45</v>
          </cell>
          <cell r="G311">
            <v>0.45</v>
          </cell>
          <cell r="H311">
            <v>0.45</v>
          </cell>
          <cell r="I311">
            <v>0.45</v>
          </cell>
          <cell r="J311">
            <v>0.45</v>
          </cell>
          <cell r="K311">
            <v>0.5</v>
          </cell>
          <cell r="L311">
            <v>0</v>
          </cell>
          <cell r="M311">
            <v>0.45</v>
          </cell>
          <cell r="N311">
            <v>0.4</v>
          </cell>
          <cell r="O311">
            <v>0.45</v>
          </cell>
          <cell r="P311">
            <v>0.15</v>
          </cell>
          <cell r="Q311">
            <v>0.55000000000000004</v>
          </cell>
        </row>
        <row r="312">
          <cell r="B312">
            <v>45778</v>
          </cell>
          <cell r="C312">
            <v>0</v>
          </cell>
          <cell r="D312">
            <v>0.5</v>
          </cell>
          <cell r="E312">
            <v>0.4</v>
          </cell>
          <cell r="F312">
            <v>0.4</v>
          </cell>
          <cell r="G312">
            <v>0.45</v>
          </cell>
          <cell r="H312">
            <v>0.5</v>
          </cell>
          <cell r="I312">
            <v>0.45</v>
          </cell>
          <cell r="J312">
            <v>0.4</v>
          </cell>
          <cell r="K312">
            <v>0.45</v>
          </cell>
          <cell r="L312">
            <v>0</v>
          </cell>
          <cell r="M312">
            <v>0.5</v>
          </cell>
          <cell r="N312">
            <v>0.45</v>
          </cell>
          <cell r="O312">
            <v>0.5</v>
          </cell>
          <cell r="P312">
            <v>0.15</v>
          </cell>
          <cell r="Q312">
            <v>0.5</v>
          </cell>
        </row>
        <row r="313">
          <cell r="B313">
            <v>45809</v>
          </cell>
          <cell r="C313">
            <v>0</v>
          </cell>
          <cell r="D313">
            <v>0.5</v>
          </cell>
          <cell r="E313">
            <v>0.4</v>
          </cell>
          <cell r="F313">
            <v>0.5</v>
          </cell>
          <cell r="G313">
            <v>0.45</v>
          </cell>
          <cell r="H313">
            <v>0.5</v>
          </cell>
          <cell r="I313">
            <v>0.5</v>
          </cell>
          <cell r="J313">
            <v>0.5</v>
          </cell>
          <cell r="K313">
            <v>0.5</v>
          </cell>
          <cell r="L313">
            <v>0</v>
          </cell>
          <cell r="M313">
            <v>0.5</v>
          </cell>
          <cell r="N313">
            <v>0.45</v>
          </cell>
          <cell r="O313">
            <v>0.5</v>
          </cell>
          <cell r="P313">
            <v>0.15</v>
          </cell>
          <cell r="Q313">
            <v>0.6</v>
          </cell>
        </row>
        <row r="314">
          <cell r="B314">
            <v>45839</v>
          </cell>
          <cell r="C314">
            <v>0</v>
          </cell>
          <cell r="D314">
            <v>0.5</v>
          </cell>
          <cell r="E314">
            <v>0.4</v>
          </cell>
          <cell r="F314">
            <v>0.5</v>
          </cell>
          <cell r="G314">
            <v>0.5</v>
          </cell>
          <cell r="H314">
            <v>0.5</v>
          </cell>
          <cell r="I314">
            <v>0.5</v>
          </cell>
          <cell r="J314">
            <v>0.5</v>
          </cell>
          <cell r="K314">
            <v>0.5</v>
          </cell>
          <cell r="L314">
            <v>0</v>
          </cell>
          <cell r="M314">
            <v>0.55000000000000004</v>
          </cell>
          <cell r="N314">
            <v>0.5</v>
          </cell>
          <cell r="O314">
            <v>0.5</v>
          </cell>
          <cell r="P314">
            <v>0.15</v>
          </cell>
          <cell r="Q314">
            <v>0.6</v>
          </cell>
        </row>
        <row r="315">
          <cell r="B315">
            <v>45870</v>
          </cell>
          <cell r="C315">
            <v>0</v>
          </cell>
          <cell r="D315">
            <v>0.55000000000000004</v>
          </cell>
          <cell r="E315">
            <v>0.5</v>
          </cell>
          <cell r="F315">
            <v>0.6</v>
          </cell>
          <cell r="G315">
            <v>0.55000000000000004</v>
          </cell>
          <cell r="H315">
            <v>0.6</v>
          </cell>
          <cell r="I315">
            <v>0.55000000000000004</v>
          </cell>
          <cell r="J315">
            <v>0.6</v>
          </cell>
          <cell r="K315">
            <v>0.45</v>
          </cell>
          <cell r="L315">
            <v>0</v>
          </cell>
          <cell r="M315">
            <v>0.6</v>
          </cell>
          <cell r="N315">
            <v>0.55000000000000004</v>
          </cell>
          <cell r="O315">
            <v>0.6</v>
          </cell>
          <cell r="P315">
            <v>0.15</v>
          </cell>
          <cell r="Q315">
            <v>0.7</v>
          </cell>
        </row>
        <row r="316">
          <cell r="B316">
            <v>45901</v>
          </cell>
          <cell r="C316">
            <v>0</v>
          </cell>
          <cell r="D316">
            <v>0.55000000000000004</v>
          </cell>
          <cell r="E316">
            <v>0.55000000000000004</v>
          </cell>
          <cell r="F316">
            <v>0.55000000000000004</v>
          </cell>
          <cell r="G316">
            <v>0.55000000000000004</v>
          </cell>
          <cell r="H316">
            <v>0.6</v>
          </cell>
          <cell r="I316">
            <v>0.6</v>
          </cell>
          <cell r="J316">
            <v>0.55000000000000004</v>
          </cell>
          <cell r="K316">
            <v>0.5</v>
          </cell>
          <cell r="L316">
            <v>0</v>
          </cell>
          <cell r="M316">
            <v>0.6</v>
          </cell>
          <cell r="N316">
            <v>0.55000000000000004</v>
          </cell>
          <cell r="O316">
            <v>0.6</v>
          </cell>
          <cell r="P316">
            <v>0.15</v>
          </cell>
          <cell r="Q316">
            <v>0.65</v>
          </cell>
        </row>
        <row r="317">
          <cell r="B317">
            <v>45931</v>
          </cell>
          <cell r="C317">
            <v>0</v>
          </cell>
          <cell r="D317">
            <v>0.6</v>
          </cell>
          <cell r="E317">
            <v>0.55000000000000004</v>
          </cell>
          <cell r="F317">
            <v>0.6</v>
          </cell>
          <cell r="G317">
            <v>0.6</v>
          </cell>
          <cell r="H317">
            <v>0.65</v>
          </cell>
          <cell r="I317">
            <v>0.65</v>
          </cell>
          <cell r="J317">
            <v>0.6</v>
          </cell>
          <cell r="K317">
            <v>0.5</v>
          </cell>
          <cell r="L317">
            <v>0</v>
          </cell>
          <cell r="M317">
            <v>0.65</v>
          </cell>
          <cell r="N317">
            <v>0.6</v>
          </cell>
          <cell r="O317">
            <v>0.65</v>
          </cell>
          <cell r="P317">
            <v>0.15</v>
          </cell>
          <cell r="Q317">
            <v>0.7</v>
          </cell>
        </row>
        <row r="318">
          <cell r="B318">
            <v>45962</v>
          </cell>
          <cell r="C318">
            <v>0</v>
          </cell>
          <cell r="D318">
            <v>0.85</v>
          </cell>
          <cell r="E318">
            <v>0.8</v>
          </cell>
          <cell r="F318">
            <v>0.8</v>
          </cell>
          <cell r="G318">
            <v>0.9</v>
          </cell>
          <cell r="H318">
            <v>0.95</v>
          </cell>
          <cell r="I318">
            <v>0.85</v>
          </cell>
          <cell r="J318">
            <v>0.8</v>
          </cell>
          <cell r="K318">
            <v>0.95</v>
          </cell>
          <cell r="L318">
            <v>0</v>
          </cell>
          <cell r="M318">
            <v>0.8</v>
          </cell>
          <cell r="N318">
            <v>0.8</v>
          </cell>
          <cell r="O318">
            <v>0.95</v>
          </cell>
          <cell r="P318">
            <v>0.15</v>
          </cell>
          <cell r="Q318">
            <v>0.9</v>
          </cell>
        </row>
        <row r="319">
          <cell r="B319">
            <v>45992</v>
          </cell>
          <cell r="C319">
            <v>0</v>
          </cell>
          <cell r="D319">
            <v>1.05</v>
          </cell>
          <cell r="E319">
            <v>1</v>
          </cell>
          <cell r="F319">
            <v>1</v>
          </cell>
          <cell r="G319">
            <v>1.1499999999999999</v>
          </cell>
          <cell r="H319">
            <v>1.25</v>
          </cell>
          <cell r="I319">
            <v>1.05</v>
          </cell>
          <cell r="J319">
            <v>1</v>
          </cell>
          <cell r="K319">
            <v>1.35</v>
          </cell>
          <cell r="L319">
            <v>0</v>
          </cell>
          <cell r="M319">
            <v>1.1000000000000001</v>
          </cell>
          <cell r="N319">
            <v>1</v>
          </cell>
          <cell r="O319">
            <v>1.25</v>
          </cell>
          <cell r="P319">
            <v>0.15</v>
          </cell>
          <cell r="Q319">
            <v>1.1000000000000001</v>
          </cell>
        </row>
        <row r="320">
          <cell r="B320">
            <v>46023</v>
          </cell>
          <cell r="C320">
            <v>0</v>
          </cell>
          <cell r="D320">
            <v>1.05</v>
          </cell>
          <cell r="E320">
            <v>1</v>
          </cell>
          <cell r="F320">
            <v>1</v>
          </cell>
          <cell r="G320">
            <v>1.1499999999999999</v>
          </cell>
          <cell r="H320">
            <v>1.45</v>
          </cell>
          <cell r="I320">
            <v>1.05</v>
          </cell>
          <cell r="J320">
            <v>1</v>
          </cell>
          <cell r="K320">
            <v>1.35</v>
          </cell>
          <cell r="L320">
            <v>0</v>
          </cell>
          <cell r="M320">
            <v>1.1000000000000001</v>
          </cell>
          <cell r="N320">
            <v>1</v>
          </cell>
          <cell r="O320">
            <v>1.45</v>
          </cell>
          <cell r="P320">
            <v>0.15</v>
          </cell>
          <cell r="Q320">
            <v>1.1000000000000001</v>
          </cell>
        </row>
        <row r="321">
          <cell r="B321">
            <v>46054</v>
          </cell>
          <cell r="C321">
            <v>0</v>
          </cell>
          <cell r="D321">
            <v>1.05</v>
          </cell>
          <cell r="E321">
            <v>1</v>
          </cell>
          <cell r="F321">
            <v>1</v>
          </cell>
          <cell r="G321">
            <v>1.1499999999999999</v>
          </cell>
          <cell r="H321">
            <v>1.45</v>
          </cell>
          <cell r="I321">
            <v>1.05</v>
          </cell>
          <cell r="J321">
            <v>1</v>
          </cell>
          <cell r="K321">
            <v>1.35</v>
          </cell>
          <cell r="L321">
            <v>0</v>
          </cell>
          <cell r="M321">
            <v>1.1000000000000001</v>
          </cell>
          <cell r="N321">
            <v>1</v>
          </cell>
          <cell r="O321">
            <v>1.45</v>
          </cell>
          <cell r="P321">
            <v>0.15</v>
          </cell>
          <cell r="Q321">
            <v>1.1000000000000001</v>
          </cell>
        </row>
        <row r="322">
          <cell r="B322">
            <v>46082</v>
          </cell>
          <cell r="C322">
            <v>0</v>
          </cell>
          <cell r="D322">
            <v>0.8</v>
          </cell>
          <cell r="E322">
            <v>0.75</v>
          </cell>
          <cell r="F322">
            <v>0.75</v>
          </cell>
          <cell r="G322">
            <v>0.85</v>
          </cell>
          <cell r="H322">
            <v>1</v>
          </cell>
          <cell r="I322">
            <v>0.75</v>
          </cell>
          <cell r="J322">
            <v>0.75</v>
          </cell>
          <cell r="K322">
            <v>0.95</v>
          </cell>
          <cell r="L322">
            <v>0</v>
          </cell>
          <cell r="M322">
            <v>0.75</v>
          </cell>
          <cell r="N322">
            <v>0.75</v>
          </cell>
          <cell r="O322">
            <v>1</v>
          </cell>
          <cell r="P322">
            <v>0.15</v>
          </cell>
          <cell r="Q322">
            <v>0.85</v>
          </cell>
        </row>
        <row r="323">
          <cell r="B323">
            <v>46113</v>
          </cell>
          <cell r="C323">
            <v>0</v>
          </cell>
          <cell r="D323">
            <v>0.45</v>
          </cell>
          <cell r="E323">
            <v>0.4</v>
          </cell>
          <cell r="F323">
            <v>0.45</v>
          </cell>
          <cell r="G323">
            <v>0.45</v>
          </cell>
          <cell r="H323">
            <v>0.45</v>
          </cell>
          <cell r="I323">
            <v>0.45</v>
          </cell>
          <cell r="J323">
            <v>0.45</v>
          </cell>
          <cell r="K323">
            <v>0.5</v>
          </cell>
          <cell r="L323">
            <v>0</v>
          </cell>
          <cell r="M323">
            <v>0.45</v>
          </cell>
          <cell r="N323">
            <v>0.4</v>
          </cell>
          <cell r="O323">
            <v>0.45</v>
          </cell>
          <cell r="P323">
            <v>0.15</v>
          </cell>
          <cell r="Q323">
            <v>0.55000000000000004</v>
          </cell>
        </row>
        <row r="324">
          <cell r="B324">
            <v>46143</v>
          </cell>
          <cell r="C324">
            <v>0</v>
          </cell>
          <cell r="D324">
            <v>0.5</v>
          </cell>
          <cell r="E324">
            <v>0.4</v>
          </cell>
          <cell r="F324">
            <v>0.4</v>
          </cell>
          <cell r="G324">
            <v>0.45</v>
          </cell>
          <cell r="H324">
            <v>0.5</v>
          </cell>
          <cell r="I324">
            <v>0.45</v>
          </cell>
          <cell r="J324">
            <v>0.4</v>
          </cell>
          <cell r="K324">
            <v>0.45</v>
          </cell>
          <cell r="L324">
            <v>0</v>
          </cell>
          <cell r="M324">
            <v>0.5</v>
          </cell>
          <cell r="N324">
            <v>0.45</v>
          </cell>
          <cell r="O324">
            <v>0.5</v>
          </cell>
          <cell r="P324">
            <v>0.15</v>
          </cell>
          <cell r="Q324">
            <v>0.5</v>
          </cell>
        </row>
        <row r="325">
          <cell r="B325">
            <v>46174</v>
          </cell>
          <cell r="C325">
            <v>0</v>
          </cell>
          <cell r="D325">
            <v>0.5</v>
          </cell>
          <cell r="E325">
            <v>0.4</v>
          </cell>
          <cell r="F325">
            <v>0.5</v>
          </cell>
          <cell r="G325">
            <v>0.45</v>
          </cell>
          <cell r="H325">
            <v>0.5</v>
          </cell>
          <cell r="I325">
            <v>0.5</v>
          </cell>
          <cell r="J325">
            <v>0.5</v>
          </cell>
          <cell r="K325">
            <v>0.5</v>
          </cell>
          <cell r="L325">
            <v>0</v>
          </cell>
          <cell r="M325">
            <v>0.5</v>
          </cell>
          <cell r="N325">
            <v>0.45</v>
          </cell>
          <cell r="O325">
            <v>0.5</v>
          </cell>
          <cell r="P325">
            <v>0.15</v>
          </cell>
          <cell r="Q325">
            <v>0.6</v>
          </cell>
        </row>
        <row r="326">
          <cell r="B326">
            <v>46204</v>
          </cell>
          <cell r="C326">
            <v>0</v>
          </cell>
          <cell r="D326">
            <v>0.5</v>
          </cell>
          <cell r="E326">
            <v>0.4</v>
          </cell>
          <cell r="F326">
            <v>0.5</v>
          </cell>
          <cell r="G326">
            <v>0.5</v>
          </cell>
          <cell r="H326">
            <v>0.5</v>
          </cell>
          <cell r="I326">
            <v>0.5</v>
          </cell>
          <cell r="J326">
            <v>0.5</v>
          </cell>
          <cell r="K326">
            <v>0.5</v>
          </cell>
          <cell r="L326">
            <v>0</v>
          </cell>
          <cell r="M326">
            <v>0.55000000000000004</v>
          </cell>
          <cell r="N326">
            <v>0.5</v>
          </cell>
          <cell r="O326">
            <v>0.5</v>
          </cell>
          <cell r="P326">
            <v>0.15</v>
          </cell>
          <cell r="Q326">
            <v>0.6</v>
          </cell>
        </row>
        <row r="327">
          <cell r="B327">
            <v>46235</v>
          </cell>
          <cell r="C327">
            <v>0</v>
          </cell>
          <cell r="D327">
            <v>0.55000000000000004</v>
          </cell>
          <cell r="E327">
            <v>0.5</v>
          </cell>
          <cell r="F327">
            <v>0.6</v>
          </cell>
          <cell r="G327">
            <v>0.55000000000000004</v>
          </cell>
          <cell r="H327">
            <v>0.6</v>
          </cell>
          <cell r="I327">
            <v>0.55000000000000004</v>
          </cell>
          <cell r="J327">
            <v>0.6</v>
          </cell>
          <cell r="K327">
            <v>0.45</v>
          </cell>
          <cell r="L327">
            <v>0</v>
          </cell>
          <cell r="M327">
            <v>0.6</v>
          </cell>
          <cell r="N327">
            <v>0.55000000000000004</v>
          </cell>
          <cell r="O327">
            <v>0.6</v>
          </cell>
          <cell r="P327">
            <v>0.15</v>
          </cell>
          <cell r="Q327">
            <v>0.7</v>
          </cell>
        </row>
        <row r="328">
          <cell r="B328">
            <v>46266</v>
          </cell>
          <cell r="C328">
            <v>0</v>
          </cell>
          <cell r="D328">
            <v>0.55000000000000004</v>
          </cell>
          <cell r="E328">
            <v>0.55000000000000004</v>
          </cell>
          <cell r="F328">
            <v>0.55000000000000004</v>
          </cell>
          <cell r="G328">
            <v>0.55000000000000004</v>
          </cell>
          <cell r="H328">
            <v>0.6</v>
          </cell>
          <cell r="I328">
            <v>0.6</v>
          </cell>
          <cell r="J328">
            <v>0.55000000000000004</v>
          </cell>
          <cell r="K328">
            <v>0.5</v>
          </cell>
          <cell r="L328">
            <v>0</v>
          </cell>
          <cell r="M328">
            <v>0.6</v>
          </cell>
          <cell r="N328">
            <v>0.55000000000000004</v>
          </cell>
          <cell r="O328">
            <v>0.6</v>
          </cell>
          <cell r="P328">
            <v>0.15</v>
          </cell>
          <cell r="Q328">
            <v>0.65</v>
          </cell>
        </row>
        <row r="329">
          <cell r="B329">
            <v>46296</v>
          </cell>
          <cell r="C329">
            <v>0</v>
          </cell>
          <cell r="D329">
            <v>0.6</v>
          </cell>
          <cell r="E329">
            <v>0.55000000000000004</v>
          </cell>
          <cell r="F329">
            <v>0.6</v>
          </cell>
          <cell r="G329">
            <v>0.6</v>
          </cell>
          <cell r="H329">
            <v>0.65</v>
          </cell>
          <cell r="I329">
            <v>0.65</v>
          </cell>
          <cell r="J329">
            <v>0.6</v>
          </cell>
          <cell r="K329">
            <v>0.5</v>
          </cell>
          <cell r="L329">
            <v>0</v>
          </cell>
          <cell r="M329">
            <v>0.65</v>
          </cell>
          <cell r="N329">
            <v>0.6</v>
          </cell>
          <cell r="O329">
            <v>0.65</v>
          </cell>
          <cell r="P329">
            <v>0.15</v>
          </cell>
          <cell r="Q329">
            <v>0.7</v>
          </cell>
        </row>
        <row r="330">
          <cell r="B330">
            <v>46327</v>
          </cell>
          <cell r="C330">
            <v>0</v>
          </cell>
          <cell r="D330">
            <v>0.85</v>
          </cell>
          <cell r="E330">
            <v>0.8</v>
          </cell>
          <cell r="F330">
            <v>0.8</v>
          </cell>
          <cell r="G330">
            <v>0.9</v>
          </cell>
          <cell r="H330">
            <v>0.95</v>
          </cell>
          <cell r="I330">
            <v>0.85</v>
          </cell>
          <cell r="J330">
            <v>0.8</v>
          </cell>
          <cell r="K330">
            <v>0.95</v>
          </cell>
          <cell r="L330">
            <v>0</v>
          </cell>
          <cell r="M330">
            <v>0.8</v>
          </cell>
          <cell r="N330">
            <v>0.8</v>
          </cell>
          <cell r="O330">
            <v>0.95</v>
          </cell>
          <cell r="P330">
            <v>0.15</v>
          </cell>
          <cell r="Q330">
            <v>0.9</v>
          </cell>
        </row>
        <row r="331">
          <cell r="B331">
            <v>46357</v>
          </cell>
          <cell r="C331">
            <v>0</v>
          </cell>
          <cell r="D331">
            <v>1.05</v>
          </cell>
          <cell r="E331">
            <v>1</v>
          </cell>
          <cell r="F331">
            <v>1</v>
          </cell>
          <cell r="G331">
            <v>1.1499999999999999</v>
          </cell>
          <cell r="H331">
            <v>1.25</v>
          </cell>
          <cell r="I331">
            <v>1.05</v>
          </cell>
          <cell r="J331">
            <v>1</v>
          </cell>
          <cell r="K331">
            <v>1.35</v>
          </cell>
          <cell r="L331">
            <v>0</v>
          </cell>
          <cell r="M331">
            <v>1.1000000000000001</v>
          </cell>
          <cell r="N331">
            <v>1</v>
          </cell>
          <cell r="O331">
            <v>1.25</v>
          </cell>
          <cell r="P331">
            <v>0.15</v>
          </cell>
          <cell r="Q331">
            <v>1.1000000000000001</v>
          </cell>
        </row>
        <row r="332">
          <cell r="B332">
            <v>46388</v>
          </cell>
          <cell r="C332">
            <v>0</v>
          </cell>
          <cell r="D332">
            <v>1.05</v>
          </cell>
          <cell r="E332">
            <v>1</v>
          </cell>
          <cell r="F332">
            <v>1</v>
          </cell>
          <cell r="G332">
            <v>1.1499999999999999</v>
          </cell>
          <cell r="H332">
            <v>1.45</v>
          </cell>
          <cell r="I332">
            <v>1.05</v>
          </cell>
          <cell r="J332">
            <v>1</v>
          </cell>
          <cell r="K332">
            <v>1.35</v>
          </cell>
          <cell r="L332">
            <v>0</v>
          </cell>
          <cell r="M332">
            <v>1.1000000000000001</v>
          </cell>
          <cell r="N332">
            <v>1</v>
          </cell>
          <cell r="O332">
            <v>1.45</v>
          </cell>
          <cell r="P332">
            <v>0.15</v>
          </cell>
          <cell r="Q332">
            <v>1.1000000000000001</v>
          </cell>
        </row>
        <row r="333">
          <cell r="B333">
            <v>46419</v>
          </cell>
          <cell r="C333">
            <v>0</v>
          </cell>
          <cell r="D333">
            <v>1.05</v>
          </cell>
          <cell r="E333">
            <v>1</v>
          </cell>
          <cell r="F333">
            <v>1</v>
          </cell>
          <cell r="G333">
            <v>1.1499999999999999</v>
          </cell>
          <cell r="H333">
            <v>1.45</v>
          </cell>
          <cell r="I333">
            <v>1.05</v>
          </cell>
          <cell r="J333">
            <v>1</v>
          </cell>
          <cell r="K333">
            <v>1.35</v>
          </cell>
          <cell r="L333">
            <v>0</v>
          </cell>
          <cell r="M333">
            <v>1.1000000000000001</v>
          </cell>
          <cell r="N333">
            <v>1</v>
          </cell>
          <cell r="O333">
            <v>1.45</v>
          </cell>
          <cell r="P333">
            <v>0.15</v>
          </cell>
          <cell r="Q333">
            <v>1.1000000000000001</v>
          </cell>
        </row>
        <row r="334">
          <cell r="B334">
            <v>46447</v>
          </cell>
          <cell r="C334">
            <v>0</v>
          </cell>
          <cell r="D334">
            <v>0.8</v>
          </cell>
          <cell r="E334">
            <v>0.75</v>
          </cell>
          <cell r="F334">
            <v>0.75</v>
          </cell>
          <cell r="G334">
            <v>0.85</v>
          </cell>
          <cell r="H334">
            <v>1</v>
          </cell>
          <cell r="I334">
            <v>0.75</v>
          </cell>
          <cell r="J334">
            <v>0.75</v>
          </cell>
          <cell r="K334">
            <v>0.95</v>
          </cell>
          <cell r="L334">
            <v>0</v>
          </cell>
          <cell r="M334">
            <v>0.75</v>
          </cell>
          <cell r="N334">
            <v>0.75</v>
          </cell>
          <cell r="O334">
            <v>1</v>
          </cell>
          <cell r="P334">
            <v>0.15</v>
          </cell>
          <cell r="Q334">
            <v>0.85</v>
          </cell>
        </row>
        <row r="335">
          <cell r="B335">
            <v>46478</v>
          </cell>
          <cell r="C335">
            <v>0</v>
          </cell>
          <cell r="D335">
            <v>0.45</v>
          </cell>
          <cell r="E335">
            <v>0.4</v>
          </cell>
          <cell r="F335">
            <v>0.45</v>
          </cell>
          <cell r="G335">
            <v>0.45</v>
          </cell>
          <cell r="H335">
            <v>0.45</v>
          </cell>
          <cell r="I335">
            <v>0.45</v>
          </cell>
          <cell r="J335">
            <v>0.45</v>
          </cell>
          <cell r="K335">
            <v>0.5</v>
          </cell>
          <cell r="L335">
            <v>0</v>
          </cell>
          <cell r="M335">
            <v>0.45</v>
          </cell>
          <cell r="N335">
            <v>0.4</v>
          </cell>
          <cell r="O335">
            <v>0.45</v>
          </cell>
          <cell r="P335">
            <v>0.15</v>
          </cell>
          <cell r="Q335">
            <v>0.55000000000000004</v>
          </cell>
        </row>
        <row r="336">
          <cell r="B336">
            <v>46508</v>
          </cell>
          <cell r="C336">
            <v>0</v>
          </cell>
          <cell r="D336">
            <v>0.5</v>
          </cell>
          <cell r="E336">
            <v>0.4</v>
          </cell>
          <cell r="F336">
            <v>0.4</v>
          </cell>
          <cell r="G336">
            <v>0.45</v>
          </cell>
          <cell r="H336">
            <v>0.5</v>
          </cell>
          <cell r="I336">
            <v>0.45</v>
          </cell>
          <cell r="J336">
            <v>0.4</v>
          </cell>
          <cell r="K336">
            <v>0.45</v>
          </cell>
          <cell r="L336">
            <v>0</v>
          </cell>
          <cell r="M336">
            <v>0.5</v>
          </cell>
          <cell r="N336">
            <v>0.45</v>
          </cell>
          <cell r="O336">
            <v>0.5</v>
          </cell>
          <cell r="P336">
            <v>0.15</v>
          </cell>
          <cell r="Q336">
            <v>0.5</v>
          </cell>
        </row>
        <row r="337">
          <cell r="B337">
            <v>46539</v>
          </cell>
          <cell r="C337">
            <v>0</v>
          </cell>
          <cell r="D337">
            <v>0.5</v>
          </cell>
          <cell r="E337">
            <v>0.4</v>
          </cell>
          <cell r="F337">
            <v>0.5</v>
          </cell>
          <cell r="G337">
            <v>0.45</v>
          </cell>
          <cell r="H337">
            <v>0.5</v>
          </cell>
          <cell r="I337">
            <v>0.5</v>
          </cell>
          <cell r="J337">
            <v>0.5</v>
          </cell>
          <cell r="K337">
            <v>0.5</v>
          </cell>
          <cell r="L337">
            <v>0</v>
          </cell>
          <cell r="M337">
            <v>0.5</v>
          </cell>
          <cell r="N337">
            <v>0.45</v>
          </cell>
          <cell r="O337">
            <v>0.5</v>
          </cell>
          <cell r="P337">
            <v>0.15</v>
          </cell>
          <cell r="Q337">
            <v>0.6</v>
          </cell>
        </row>
        <row r="338">
          <cell r="B338">
            <v>46569</v>
          </cell>
          <cell r="C338">
            <v>0</v>
          </cell>
          <cell r="D338">
            <v>0.5</v>
          </cell>
          <cell r="E338">
            <v>0.4</v>
          </cell>
          <cell r="F338">
            <v>0.5</v>
          </cell>
          <cell r="G338">
            <v>0.5</v>
          </cell>
          <cell r="H338">
            <v>0.5</v>
          </cell>
          <cell r="I338">
            <v>0.5</v>
          </cell>
          <cell r="J338">
            <v>0.5</v>
          </cell>
          <cell r="K338">
            <v>0.5</v>
          </cell>
          <cell r="L338">
            <v>0</v>
          </cell>
          <cell r="M338">
            <v>0.55000000000000004</v>
          </cell>
          <cell r="N338">
            <v>0.5</v>
          </cell>
          <cell r="O338">
            <v>0.5</v>
          </cell>
          <cell r="P338">
            <v>0.15</v>
          </cell>
          <cell r="Q338">
            <v>0.6</v>
          </cell>
        </row>
        <row r="339">
          <cell r="B339">
            <v>46600</v>
          </cell>
          <cell r="C339">
            <v>0</v>
          </cell>
          <cell r="D339">
            <v>0.55000000000000004</v>
          </cell>
          <cell r="E339">
            <v>0.5</v>
          </cell>
          <cell r="F339">
            <v>0.6</v>
          </cell>
          <cell r="G339">
            <v>0.55000000000000004</v>
          </cell>
          <cell r="H339">
            <v>0.6</v>
          </cell>
          <cell r="I339">
            <v>0.55000000000000004</v>
          </cell>
          <cell r="J339">
            <v>0.6</v>
          </cell>
          <cell r="K339">
            <v>0.45</v>
          </cell>
          <cell r="L339">
            <v>0</v>
          </cell>
          <cell r="M339">
            <v>0.6</v>
          </cell>
          <cell r="N339">
            <v>0.55000000000000004</v>
          </cell>
          <cell r="O339">
            <v>0.6</v>
          </cell>
          <cell r="P339">
            <v>0.15</v>
          </cell>
          <cell r="Q339">
            <v>0.7</v>
          </cell>
        </row>
        <row r="340">
          <cell r="B340">
            <v>46631</v>
          </cell>
          <cell r="C340">
            <v>0</v>
          </cell>
          <cell r="D340">
            <v>0.55000000000000004</v>
          </cell>
          <cell r="E340">
            <v>0.55000000000000004</v>
          </cell>
          <cell r="F340">
            <v>0.55000000000000004</v>
          </cell>
          <cell r="G340">
            <v>0.55000000000000004</v>
          </cell>
          <cell r="H340">
            <v>0.6</v>
          </cell>
          <cell r="I340">
            <v>0.6</v>
          </cell>
          <cell r="J340">
            <v>0.55000000000000004</v>
          </cell>
          <cell r="K340">
            <v>0.5</v>
          </cell>
          <cell r="L340">
            <v>0</v>
          </cell>
          <cell r="M340">
            <v>0.6</v>
          </cell>
          <cell r="N340">
            <v>0.55000000000000004</v>
          </cell>
          <cell r="O340">
            <v>0.6</v>
          </cell>
          <cell r="P340">
            <v>0.15</v>
          </cell>
          <cell r="Q340">
            <v>0.65</v>
          </cell>
        </row>
        <row r="341">
          <cell r="B341">
            <v>46661</v>
          </cell>
          <cell r="C341">
            <v>0</v>
          </cell>
          <cell r="D341">
            <v>0.6</v>
          </cell>
          <cell r="E341">
            <v>0.55000000000000004</v>
          </cell>
          <cell r="F341">
            <v>0.6</v>
          </cell>
          <cell r="G341">
            <v>0.6</v>
          </cell>
          <cell r="H341">
            <v>0.65</v>
          </cell>
          <cell r="I341">
            <v>0.65</v>
          </cell>
          <cell r="J341">
            <v>0.6</v>
          </cell>
          <cell r="K341">
            <v>0.5</v>
          </cell>
          <cell r="L341">
            <v>0</v>
          </cell>
          <cell r="M341">
            <v>0.65</v>
          </cell>
          <cell r="N341">
            <v>0.6</v>
          </cell>
          <cell r="O341">
            <v>0.65</v>
          </cell>
          <cell r="P341">
            <v>0.15</v>
          </cell>
          <cell r="Q341">
            <v>0.7</v>
          </cell>
        </row>
        <row r="342">
          <cell r="B342">
            <v>46692</v>
          </cell>
          <cell r="C342">
            <v>0</v>
          </cell>
          <cell r="D342">
            <v>0.85</v>
          </cell>
          <cell r="E342">
            <v>0.8</v>
          </cell>
          <cell r="F342">
            <v>0.8</v>
          </cell>
          <cell r="G342">
            <v>0.9</v>
          </cell>
          <cell r="H342">
            <v>0.95</v>
          </cell>
          <cell r="I342">
            <v>0.85</v>
          </cell>
          <cell r="J342">
            <v>0.8</v>
          </cell>
          <cell r="K342">
            <v>0.95</v>
          </cell>
          <cell r="L342">
            <v>0</v>
          </cell>
          <cell r="M342">
            <v>0.8</v>
          </cell>
          <cell r="N342">
            <v>0.8</v>
          </cell>
          <cell r="O342">
            <v>0.95</v>
          </cell>
          <cell r="P342">
            <v>0.15</v>
          </cell>
          <cell r="Q342">
            <v>0.9</v>
          </cell>
        </row>
        <row r="343">
          <cell r="B343">
            <v>46722</v>
          </cell>
          <cell r="C343">
            <v>0</v>
          </cell>
          <cell r="D343">
            <v>1.05</v>
          </cell>
          <cell r="E343">
            <v>1</v>
          </cell>
          <cell r="F343">
            <v>1</v>
          </cell>
          <cell r="G343">
            <v>1.1499999999999999</v>
          </cell>
          <cell r="H343">
            <v>1.25</v>
          </cell>
          <cell r="I343">
            <v>1.05</v>
          </cell>
          <cell r="J343">
            <v>1</v>
          </cell>
          <cell r="K343">
            <v>1.35</v>
          </cell>
          <cell r="L343">
            <v>0</v>
          </cell>
          <cell r="M343">
            <v>1.1000000000000001</v>
          </cell>
          <cell r="N343">
            <v>1</v>
          </cell>
          <cell r="O343">
            <v>1.25</v>
          </cell>
          <cell r="P343">
            <v>0.15</v>
          </cell>
          <cell r="Q343">
            <v>1.1000000000000001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2,PRIM ACT 1,1" advise="1">
        <values>
          <value>
            <val>2.56</val>
          </value>
        </values>
      </ddeItem>
      <ddeItem name="NGF3,PRIM ACT 1,1" advise="1">
        <values>
          <value>
            <val>3.36</val>
          </value>
        </values>
      </ddeItem>
      <ddeItem name="NGF4,PRIM ACT 1,1" advise="1">
        <values>
          <value>
            <val>3.51</val>
          </value>
        </values>
      </ddeItem>
      <ddeItem name="NGG2,PRIM ACT 1,1" advise="1">
        <values>
          <value>
            <val>2.69</val>
          </value>
        </values>
      </ddeItem>
      <ddeItem name="NGG3,PRIM ACT 1,1" advise="1">
        <values>
          <value>
            <val>3.28</val>
          </value>
        </values>
      </ddeItem>
      <ddeItem name="NGG4,PRIM ACT 1,1" advise="1">
        <values>
          <value>
            <val>3.48</val>
          </value>
        </values>
      </ddeItem>
      <ddeItem name="NGH2,PRIM ACT 1,1" advise="1">
        <values>
          <value>
            <val>2.7149999999999999</val>
          </value>
        </values>
      </ddeItem>
      <ddeItem name="NGH3,PRIM ACT 1,1" advise="1">
        <values>
          <value>
            <val>3.19</val>
          </value>
        </values>
      </ddeItem>
      <ddeItem name="NGH4,PRIM ACT 1,1" advise="1">
        <values>
          <value>
            <val>3.35</val>
          </value>
        </values>
      </ddeItem>
      <ddeItem name="NGJ2,PRIM ACT 1,1" advise="1">
        <values>
          <value>
            <val>2.7</val>
          </value>
        </values>
      </ddeItem>
      <ddeItem name="NGJ3,PRIM ACT 1,1" advise="1">
        <values>
          <value>
            <val>3.05</val>
          </value>
        </values>
      </ddeItem>
      <ddeItem name="NGJ4,PRIM ACT 1,1" advise="1">
        <values>
          <value>
            <val>3.165</val>
          </value>
        </values>
      </ddeItem>
      <ddeItem name="NGK2,PRIM ACT 1,1" advise="1">
        <values>
          <value>
            <val>2.7349999999999999</val>
          </value>
        </values>
      </ddeItem>
      <ddeItem name="NGK3,PRIM ACT 1,1" advise="1">
        <values>
          <value>
            <val>3.05</val>
          </value>
        </values>
      </ddeItem>
      <ddeItem name="NGK4,PRIM ACT 1,1" advise="1">
        <values>
          <value>
            <val>3.165</val>
          </value>
        </values>
      </ddeItem>
      <ddeItem name="NGM2,PRIM ACT 1,1" advise="1">
        <values>
          <value>
            <val>2.79</val>
          </value>
        </values>
      </ddeItem>
      <ddeItem name="NGM3,PRIM ACT 1,1" advise="1">
        <values>
          <value>
            <val>3.06</val>
          </value>
        </values>
      </ddeItem>
      <ddeItem name="NGM4,PRIM ACT 1,1" advise="1">
        <values>
          <value>
            <val>3.2</val>
          </value>
        </values>
      </ddeItem>
      <ddeItem name="NGN2,PRIM ACT 1,1" advise="1">
        <values>
          <value>
            <val>2.835</val>
          </value>
        </values>
      </ddeItem>
      <ddeItem name="NGN3,PRIM ACT 1,1" advise="1">
        <values>
          <value>
            <val>3.1150000000000002</val>
          </value>
        </values>
      </ddeItem>
      <ddeItem name="NGN4,PRIM ACT 1,1" advise="1">
        <values>
          <value>
            <val>3.24</val>
          </value>
        </values>
      </ddeItem>
      <ddeItem name="NGQ2,PRIM ACT 1,1" advise="1">
        <values>
          <value>
            <val>2.89</val>
          </value>
        </values>
      </ddeItem>
      <ddeItem name="NGQ3,PRIM ACT 1,1" advise="1">
        <values>
          <value>
            <val>3.15</val>
          </value>
        </values>
      </ddeItem>
      <ddeItem name="NGQ4,PRIM ACT 1,1" advise="1">
        <values>
          <value>
            <val>3.28</val>
          </value>
        </values>
      </ddeItem>
      <ddeItem name="NGU2,PRIM ACT 1,1" advise="1">
        <values>
          <value>
            <val>2.87</val>
          </value>
        </values>
      </ddeItem>
      <ddeItem name="NGU3,PRIM ACT 1,1" advise="1">
        <values>
          <value>
            <val>3.2</val>
          </value>
        </values>
      </ddeItem>
      <ddeItem name="NGU4,PRIM ACT 1,1" advise="1">
        <values>
          <value>
            <val>3.22</val>
          </value>
        </values>
      </ddeItem>
      <ddeItem name="NGV2,PRIM ACT 1,1" advise="1">
        <values>
          <value>
            <val>2.88</val>
          </value>
        </values>
      </ddeItem>
      <ddeItem name="NGV3,PRIM ACT 1,1" advise="1">
        <values>
          <value>
            <val>3.2010000000000001</val>
          </value>
        </values>
      </ddeItem>
      <ddeItem name="NGV4,PRIM ACT 1,1" advise="1">
        <values>
          <value>
            <val>3.2879999999999998</val>
          </value>
        </values>
      </ddeItem>
      <ddeItem name="NGX2,PRIM ACT 1,1" advise="1">
        <values>
          <value>
            <val>3.0750000000000002</val>
          </value>
        </values>
      </ddeItem>
      <ddeItem name="NGX3,PRIM ACT 1,1" advise="1">
        <values>
          <value>
            <val>3.3410000000000002</val>
          </value>
        </values>
      </ddeItem>
      <ddeItem name="NGX4,PRIM ACT 1,1" advise="1">
        <values>
          <value>
            <val>3.4</val>
          </value>
        </values>
      </ddeItem>
      <ddeItem name="NGZ2,PRIM ACT 1,1" advise="1">
        <values>
          <value>
            <val>3.26</val>
          </value>
        </values>
      </ddeItem>
      <ddeItem name="NGZ3,PRIM ACT 1,1" advise="1">
        <values>
          <value>
            <val>3.46</val>
          </value>
        </values>
      </ddeItem>
      <ddeItem name="NGz4,PRIM ACT 1,1" advise="1">
        <values>
          <value t="str">
            <val>#N/A 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X127"/>
  <sheetViews>
    <sheetView workbookViewId="0">
      <selection activeCell="L12" sqref="L12"/>
    </sheetView>
  </sheetViews>
  <sheetFormatPr defaultRowHeight="13.2" x14ac:dyDescent="0.25"/>
  <cols>
    <col min="1" max="1" width="16.6640625" style="75" customWidth="1"/>
    <col min="2" max="4" width="9.109375" style="75" customWidth="1"/>
    <col min="5" max="5" width="10.109375" style="75" customWidth="1"/>
    <col min="6" max="13" width="9.109375" style="75" customWidth="1"/>
    <col min="14" max="14" width="10.109375" style="75" customWidth="1"/>
    <col min="15" max="34" width="9.109375" style="75" customWidth="1"/>
  </cols>
  <sheetData>
    <row r="1" spans="1:50" x14ac:dyDescent="0.25">
      <c r="A1" s="55"/>
      <c r="B1" s="151"/>
      <c r="C1" s="55"/>
      <c r="D1" s="55" t="s">
        <v>24</v>
      </c>
      <c r="E1" s="55"/>
      <c r="F1" s="55"/>
      <c r="H1" s="77" t="s">
        <v>37</v>
      </c>
      <c r="I1" s="77" t="s">
        <v>28</v>
      </c>
      <c r="J1" s="77" t="s">
        <v>29</v>
      </c>
      <c r="K1" s="77" t="s">
        <v>33</v>
      </c>
      <c r="L1" s="77" t="s">
        <v>32</v>
      </c>
      <c r="AQ1" s="75"/>
      <c r="AR1" s="75"/>
      <c r="AS1" s="75"/>
      <c r="AT1" s="75"/>
      <c r="AU1" s="75"/>
      <c r="AV1" s="75"/>
      <c r="AW1" s="75"/>
      <c r="AX1" s="75"/>
    </row>
    <row r="2" spans="1:50" x14ac:dyDescent="0.25">
      <c r="A2" s="74"/>
      <c r="B2" s="151"/>
      <c r="C2" s="140"/>
      <c r="D2" s="56">
        <v>36892</v>
      </c>
      <c r="E2" s="55"/>
      <c r="F2" s="55"/>
      <c r="H2" s="139" t="e">
        <f>AE20</f>
        <v>#VALUE!</v>
      </c>
      <c r="I2" s="139" t="e">
        <f>AF20</f>
        <v>#VALUE!</v>
      </c>
      <c r="J2" s="139" t="e">
        <f>AG20</f>
        <v>#VALUE!</v>
      </c>
      <c r="K2" s="139" t="e">
        <f>AH20</f>
        <v>#VALUE!</v>
      </c>
      <c r="L2" s="139" t="e">
        <f>AI20</f>
        <v>#VALUE!</v>
      </c>
      <c r="O2" s="78"/>
      <c r="P2" s="77"/>
      <c r="Q2" s="79"/>
      <c r="R2" s="75" t="e">
        <f>IF(#REF!=3,IF(B7=1,"CALL","PUT"),"STRADDLE")</f>
        <v>#REF!</v>
      </c>
      <c r="S2" s="79"/>
      <c r="T2" s="79"/>
      <c r="U2" s="79"/>
      <c r="V2" s="79"/>
      <c r="W2" s="79"/>
      <c r="X2" s="79"/>
      <c r="Y2" s="80"/>
      <c r="Z2" s="79"/>
      <c r="AA2" s="80"/>
      <c r="AB2" s="79"/>
      <c r="AQ2" s="75"/>
      <c r="AR2" s="75"/>
      <c r="AS2" s="75"/>
      <c r="AT2" s="75"/>
      <c r="AU2" s="75"/>
      <c r="AV2" s="75"/>
      <c r="AW2" s="75"/>
      <c r="AX2" s="75"/>
    </row>
    <row r="3" spans="1:50" x14ac:dyDescent="0.25">
      <c r="A3" s="141" t="s">
        <v>36</v>
      </c>
      <c r="B3" s="149">
        <v>4.46</v>
      </c>
      <c r="D3" s="55"/>
      <c r="E3" s="55"/>
      <c r="F3" s="55"/>
      <c r="H3" s="131"/>
      <c r="I3" s="134"/>
      <c r="J3" s="134"/>
      <c r="K3" s="131"/>
      <c r="L3" s="131"/>
      <c r="O3" s="78"/>
      <c r="P3" s="77"/>
      <c r="Q3" s="79"/>
      <c r="R3" s="75" t="e">
        <f>IF(#REF!=3,IF(C7=1,"CALL","PUT"),"STRADDLE")</f>
        <v>#REF!</v>
      </c>
      <c r="S3" s="79"/>
      <c r="T3" s="79"/>
      <c r="U3" s="79"/>
      <c r="V3" s="79"/>
      <c r="W3" s="79"/>
      <c r="X3" s="79"/>
      <c r="Y3" s="80"/>
      <c r="Z3" s="79"/>
      <c r="AA3" s="80"/>
      <c r="AB3" s="79"/>
      <c r="AQ3" s="75"/>
      <c r="AR3" s="75"/>
      <c r="AS3" s="75"/>
      <c r="AT3" s="75"/>
      <c r="AU3" s="75"/>
      <c r="AV3" s="75"/>
      <c r="AW3" s="75"/>
      <c r="AX3" s="75"/>
    </row>
    <row r="4" spans="1:50" x14ac:dyDescent="0.25">
      <c r="A4" s="140"/>
      <c r="B4" s="142"/>
      <c r="C4" s="55"/>
      <c r="D4" s="55"/>
      <c r="E4" s="55"/>
      <c r="F4" s="55"/>
      <c r="H4" s="131"/>
      <c r="I4" s="131"/>
      <c r="J4" s="131"/>
      <c r="K4" s="131"/>
      <c r="L4" s="131"/>
      <c r="O4" s="78"/>
      <c r="P4" s="77"/>
      <c r="Q4" s="79"/>
      <c r="R4" s="79"/>
      <c r="S4" s="79"/>
      <c r="T4" s="79"/>
      <c r="U4" s="79"/>
      <c r="V4" s="79"/>
      <c r="W4" s="79"/>
      <c r="X4" s="79"/>
      <c r="Y4" s="80"/>
      <c r="Z4" s="79"/>
      <c r="AA4" s="80"/>
      <c r="AB4" s="79"/>
      <c r="AQ4" s="75"/>
      <c r="AR4" s="75"/>
      <c r="AS4" s="75"/>
      <c r="AT4" s="75"/>
      <c r="AU4" s="75"/>
      <c r="AV4" s="75"/>
      <c r="AW4" s="75"/>
      <c r="AX4" s="75"/>
    </row>
    <row r="5" spans="1:50" x14ac:dyDescent="0.25">
      <c r="A5" s="55"/>
      <c r="B5" s="55" t="s">
        <v>47</v>
      </c>
      <c r="C5" s="55" t="s">
        <v>48</v>
      </c>
      <c r="D5" s="55"/>
      <c r="E5" s="55"/>
      <c r="F5" s="55"/>
      <c r="H5" s="77" t="s">
        <v>37</v>
      </c>
      <c r="I5" s="77" t="s">
        <v>28</v>
      </c>
      <c r="J5" s="77" t="s">
        <v>29</v>
      </c>
      <c r="K5" s="77" t="s">
        <v>33</v>
      </c>
      <c r="L5" s="77" t="s">
        <v>32</v>
      </c>
      <c r="O5" s="78"/>
      <c r="P5" s="77"/>
      <c r="Q5" s="79"/>
      <c r="R5" s="79"/>
      <c r="S5" s="79"/>
      <c r="T5" s="79"/>
      <c r="U5" s="79"/>
      <c r="V5" s="79"/>
      <c r="W5" s="79"/>
      <c r="X5" s="79"/>
      <c r="Y5" s="80"/>
      <c r="Z5" s="79"/>
      <c r="AA5" s="80"/>
      <c r="AB5" s="79"/>
      <c r="AQ5" s="75"/>
      <c r="AR5" s="75"/>
      <c r="AS5" s="75"/>
      <c r="AT5" s="75"/>
      <c r="AU5" s="75"/>
      <c r="AV5" s="75"/>
      <c r="AW5" s="75"/>
      <c r="AX5" s="75"/>
    </row>
    <row r="6" spans="1:50" x14ac:dyDescent="0.25">
      <c r="A6" s="55" t="s">
        <v>107</v>
      </c>
      <c r="B6" s="149">
        <v>4.37</v>
      </c>
      <c r="C6" s="149">
        <v>4.3899999999999997</v>
      </c>
      <c r="D6" s="55"/>
      <c r="E6" s="55"/>
      <c r="F6" s="55"/>
      <c r="H6" s="139" t="e">
        <f>AL20</f>
        <v>#VALUE!</v>
      </c>
      <c r="I6" s="139" t="e">
        <f>AM20</f>
        <v>#VALUE!</v>
      </c>
      <c r="J6" s="139" t="e">
        <f>AN20</f>
        <v>#VALUE!</v>
      </c>
      <c r="K6" s="139" t="e">
        <f>AO20</f>
        <v>#VALUE!</v>
      </c>
      <c r="L6" s="139" t="e">
        <f>AP20</f>
        <v>#VALUE!</v>
      </c>
      <c r="O6" s="78"/>
      <c r="P6" s="77"/>
      <c r="Q6" s="79"/>
      <c r="R6" s="79"/>
      <c r="S6" s="79"/>
      <c r="T6" s="79"/>
      <c r="U6" s="79"/>
      <c r="V6" s="79"/>
      <c r="W6" s="79"/>
      <c r="X6" s="79"/>
      <c r="Y6" s="80"/>
      <c r="Z6" s="79"/>
      <c r="AA6" s="80"/>
      <c r="AB6" s="79"/>
      <c r="AQ6" s="75"/>
      <c r="AR6" s="75"/>
      <c r="AS6" s="75"/>
      <c r="AT6" s="75"/>
      <c r="AU6" s="75"/>
      <c r="AV6" s="75"/>
      <c r="AW6" s="75"/>
      <c r="AX6" s="75"/>
    </row>
    <row r="7" spans="1:50" x14ac:dyDescent="0.25">
      <c r="A7" s="55" t="s">
        <v>112</v>
      </c>
      <c r="B7" s="143">
        <v>3</v>
      </c>
      <c r="C7" s="143">
        <v>2</v>
      </c>
      <c r="D7" s="55"/>
      <c r="E7" s="55"/>
      <c r="F7" s="55"/>
      <c r="H7" s="131"/>
      <c r="I7" s="134"/>
      <c r="J7" s="134"/>
      <c r="K7" s="131"/>
      <c r="L7" s="131"/>
      <c r="O7" s="78"/>
      <c r="P7" s="77"/>
      <c r="Q7" s="79"/>
      <c r="R7" s="79"/>
      <c r="S7" s="79"/>
      <c r="T7" s="79"/>
      <c r="U7" s="79"/>
      <c r="W7" s="79"/>
      <c r="X7" s="79"/>
      <c r="Y7" s="80"/>
      <c r="Z7" s="79"/>
      <c r="AA7" s="80"/>
      <c r="AB7" s="79"/>
      <c r="AQ7" s="90"/>
      <c r="AR7" s="90"/>
      <c r="AS7" s="75"/>
      <c r="AT7" s="75"/>
      <c r="AU7" s="75"/>
      <c r="AV7" s="75"/>
      <c r="AW7" s="75"/>
      <c r="AX7" s="75"/>
    </row>
    <row r="8" spans="1:50" x14ac:dyDescent="0.25">
      <c r="A8" s="55" t="s">
        <v>52</v>
      </c>
      <c r="B8" s="150">
        <v>0.51</v>
      </c>
      <c r="C8" s="150">
        <v>0.48</v>
      </c>
      <c r="D8" s="55"/>
      <c r="E8" s="55"/>
      <c r="F8" s="55"/>
      <c r="G8" s="55"/>
      <c r="O8" s="78"/>
      <c r="P8" s="77"/>
      <c r="Q8" s="79"/>
      <c r="R8" s="79"/>
      <c r="S8" s="79"/>
      <c r="T8" s="79"/>
      <c r="U8" s="79"/>
      <c r="W8" s="79"/>
      <c r="X8" s="79"/>
      <c r="Y8" s="80"/>
      <c r="Z8" s="79"/>
      <c r="AA8" s="80"/>
      <c r="AB8" s="79"/>
      <c r="AQ8" s="90"/>
      <c r="AR8" s="90"/>
      <c r="AS8" s="75"/>
      <c r="AT8" s="75"/>
      <c r="AU8" s="75"/>
      <c r="AV8" s="75"/>
      <c r="AW8" s="75"/>
      <c r="AX8" s="75"/>
    </row>
    <row r="9" spans="1:50" x14ac:dyDescent="0.25">
      <c r="A9" s="55"/>
      <c r="B9" s="172"/>
      <c r="C9" s="172"/>
      <c r="D9" s="55"/>
      <c r="E9" s="55"/>
      <c r="F9" s="55"/>
      <c r="G9" s="55"/>
      <c r="O9" s="78"/>
      <c r="P9" s="77"/>
      <c r="Q9" s="79"/>
      <c r="R9" s="79"/>
      <c r="S9" s="79"/>
      <c r="T9" s="79"/>
      <c r="U9" s="79"/>
      <c r="W9" s="79"/>
      <c r="X9" s="79"/>
      <c r="Y9" s="80"/>
      <c r="Z9" s="79"/>
      <c r="AA9" s="80"/>
      <c r="AB9" s="79"/>
      <c r="AQ9" s="90"/>
      <c r="AR9" s="90"/>
      <c r="AS9" s="75"/>
      <c r="AT9" s="75"/>
      <c r="AU9" s="75"/>
      <c r="AV9" s="75"/>
      <c r="AW9" s="75"/>
      <c r="AX9" s="75"/>
    </row>
    <row r="10" spans="1:50" x14ac:dyDescent="0.25">
      <c r="A10" s="75" t="s">
        <v>141</v>
      </c>
      <c r="B10" s="170">
        <v>36678</v>
      </c>
      <c r="C10" s="132"/>
      <c r="D10" s="55"/>
      <c r="E10" s="55"/>
      <c r="F10" s="55"/>
      <c r="G10" s="55"/>
      <c r="I10" s="75" t="e">
        <f>3*L22*I2</f>
        <v>#VALUE!</v>
      </c>
      <c r="O10" s="78"/>
      <c r="P10" s="77"/>
      <c r="Q10" s="79"/>
      <c r="R10" s="79"/>
      <c r="S10" s="79"/>
      <c r="T10" s="79"/>
      <c r="U10" s="79"/>
      <c r="W10" s="79"/>
      <c r="X10" s="79"/>
      <c r="Y10" s="80"/>
      <c r="Z10" s="79"/>
      <c r="AA10" s="80"/>
      <c r="AB10" s="79"/>
      <c r="AQ10" s="90"/>
      <c r="AR10" s="90"/>
      <c r="AS10" s="75"/>
      <c r="AT10" s="75"/>
      <c r="AU10" s="75"/>
      <c r="AV10" s="75"/>
      <c r="AW10" s="75"/>
      <c r="AX10" s="75"/>
    </row>
    <row r="11" spans="1:50" x14ac:dyDescent="0.25">
      <c r="A11" s="75" t="s">
        <v>142</v>
      </c>
      <c r="B11" s="170">
        <v>36707</v>
      </c>
      <c r="C11" s="91"/>
      <c r="D11" s="55"/>
      <c r="E11" s="55"/>
      <c r="F11" s="55"/>
      <c r="G11" s="55"/>
      <c r="O11" s="78"/>
      <c r="P11" s="77"/>
      <c r="Q11" s="79"/>
      <c r="R11" s="79"/>
      <c r="S11" s="79"/>
      <c r="T11" s="79"/>
      <c r="U11" s="79"/>
      <c r="W11" s="79"/>
      <c r="X11" s="79"/>
      <c r="Y11" s="80"/>
      <c r="Z11" s="79"/>
      <c r="AA11" s="80"/>
      <c r="AB11" s="79"/>
      <c r="AQ11" s="90"/>
      <c r="AR11" s="90"/>
      <c r="AS11" s="75"/>
      <c r="AT11" s="75"/>
      <c r="AU11" s="75"/>
      <c r="AV11" s="75"/>
      <c r="AW11" s="75"/>
      <c r="AX11" s="75"/>
    </row>
    <row r="12" spans="1:50" x14ac:dyDescent="0.25">
      <c r="A12" s="75" t="s">
        <v>143</v>
      </c>
      <c r="B12" s="170">
        <v>36698</v>
      </c>
      <c r="C12" s="92"/>
      <c r="D12" s="55"/>
      <c r="E12" s="55"/>
      <c r="F12" s="55"/>
      <c r="G12" s="55"/>
      <c r="O12" s="78"/>
      <c r="P12" s="77"/>
      <c r="Q12" s="79"/>
      <c r="R12" s="79"/>
      <c r="S12" s="79"/>
      <c r="T12" s="79"/>
      <c r="U12" s="79"/>
      <c r="W12" s="79"/>
      <c r="X12" s="79"/>
      <c r="Y12" s="80"/>
      <c r="Z12" s="79"/>
      <c r="AA12" s="80"/>
      <c r="AB12" s="79"/>
      <c r="AQ12" s="90"/>
      <c r="AR12" s="90"/>
      <c r="AS12" s="75"/>
      <c r="AT12" s="75"/>
      <c r="AU12" s="75"/>
      <c r="AV12" s="75"/>
      <c r="AW12" s="75"/>
      <c r="AX12" s="75"/>
    </row>
    <row r="13" spans="1:50" x14ac:dyDescent="0.25">
      <c r="A13" s="147"/>
      <c r="B13" s="148"/>
      <c r="C13" s="125"/>
      <c r="D13" s="55"/>
      <c r="E13" s="55"/>
      <c r="F13" s="55"/>
      <c r="G13" s="55"/>
      <c r="O13" s="78"/>
      <c r="P13" s="77"/>
      <c r="Q13" s="79"/>
      <c r="R13" s="79"/>
      <c r="S13" s="79"/>
      <c r="T13" s="79"/>
      <c r="U13" s="79"/>
      <c r="W13" s="79"/>
      <c r="X13" s="79"/>
      <c r="Y13" s="80"/>
      <c r="Z13" s="79"/>
      <c r="AA13" s="80"/>
      <c r="AB13" s="79"/>
      <c r="AD13" s="75" t="e">
        <f>AD20/Z22</f>
        <v>#DIV/0!</v>
      </c>
      <c r="AQ13" s="90"/>
      <c r="AR13" s="90"/>
      <c r="AS13" s="75"/>
      <c r="AT13" s="75"/>
      <c r="AU13" s="75"/>
      <c r="AV13" s="75"/>
      <c r="AW13" s="75"/>
      <c r="AX13" s="75"/>
    </row>
    <row r="14" spans="1:50" x14ac:dyDescent="0.25">
      <c r="A14" s="55"/>
      <c r="B14" s="55"/>
      <c r="C14" s="55"/>
      <c r="D14" s="55"/>
      <c r="E14" s="55"/>
      <c r="F14" s="55"/>
      <c r="G14" s="55"/>
      <c r="H14" s="75">
        <f>((62.5/25)*24)-(1.5*24)</f>
        <v>24</v>
      </c>
      <c r="K14" s="75" t="e">
        <f>L22*3*I2</f>
        <v>#VALUE!</v>
      </c>
      <c r="O14" s="87"/>
      <c r="P14" s="84"/>
      <c r="Q14" s="79"/>
      <c r="R14" s="79"/>
      <c r="S14" s="79"/>
      <c r="T14" s="79"/>
      <c r="U14" s="79"/>
      <c r="W14" s="79"/>
      <c r="X14" s="79"/>
      <c r="Y14" s="80"/>
      <c r="Z14" s="79"/>
      <c r="AA14" s="80"/>
      <c r="AB14" s="79"/>
      <c r="AQ14" s="90"/>
      <c r="AR14" s="90"/>
      <c r="AS14" s="75"/>
      <c r="AT14" s="75"/>
      <c r="AU14" s="75"/>
      <c r="AV14" s="75"/>
      <c r="AW14" s="75"/>
      <c r="AX14" s="75"/>
    </row>
    <row r="15" spans="1:50" x14ac:dyDescent="0.25">
      <c r="G15" s="55"/>
      <c r="H15" s="131"/>
      <c r="I15" s="131"/>
      <c r="J15" s="131"/>
      <c r="K15" s="131"/>
      <c r="O15" s="88"/>
      <c r="P15" s="84"/>
      <c r="Q15" s="79"/>
      <c r="R15" s="79"/>
      <c r="S15" s="79"/>
      <c r="T15" s="79"/>
      <c r="U15" s="79"/>
      <c r="W15" s="79"/>
      <c r="X15" s="79"/>
      <c r="Y15" s="80"/>
      <c r="Z15" s="79"/>
      <c r="AA15" s="80"/>
      <c r="AB15" s="79"/>
      <c r="AE15" s="75" t="e">
        <f>AE20/31</f>
        <v>#VALUE!</v>
      </c>
      <c r="AL15" t="e">
        <f>AL20/AE20</f>
        <v>#VALUE!</v>
      </c>
      <c r="AQ15" s="90"/>
      <c r="AR15" s="90"/>
      <c r="AS15" s="75"/>
      <c r="AT15" s="75"/>
      <c r="AU15" s="75"/>
      <c r="AV15" s="75"/>
      <c r="AW15" s="75"/>
      <c r="AX15" s="75"/>
    </row>
    <row r="16" spans="1:50" x14ac:dyDescent="0.25">
      <c r="G16" s="55"/>
      <c r="O16" s="88"/>
      <c r="P16" s="84"/>
      <c r="Q16" s="79"/>
      <c r="R16" s="79"/>
      <c r="S16" s="79"/>
      <c r="T16" s="79"/>
      <c r="U16" s="79"/>
      <c r="W16" s="79"/>
      <c r="X16" s="79"/>
      <c r="Y16" s="80"/>
      <c r="Z16" s="79"/>
      <c r="AA16" s="80"/>
      <c r="AB16" s="79"/>
      <c r="AQ16" s="90"/>
      <c r="AR16" s="90"/>
      <c r="AS16" s="75"/>
      <c r="AT16" s="75"/>
      <c r="AU16" s="75"/>
      <c r="AV16" s="75"/>
      <c r="AW16" s="75"/>
      <c r="AX16" s="75"/>
    </row>
    <row r="17" spans="1:48" x14ac:dyDescent="0.25">
      <c r="G17" s="55"/>
      <c r="L17" s="88"/>
      <c r="M17" s="88"/>
      <c r="N17" s="84"/>
      <c r="O17" s="79"/>
      <c r="P17" s="79"/>
      <c r="Q17" s="79"/>
      <c r="R17" s="79"/>
      <c r="S17" s="79"/>
      <c r="U17" s="79"/>
      <c r="V17" s="79"/>
      <c r="W17" s="80"/>
      <c r="X17" s="79"/>
      <c r="Y17" s="80"/>
      <c r="Z17" s="79"/>
      <c r="AG17"/>
      <c r="AH17"/>
      <c r="AO17" s="90"/>
      <c r="AP17" s="90"/>
      <c r="AQ17" s="75"/>
      <c r="AR17" s="75"/>
      <c r="AS17" s="75"/>
      <c r="AT17" s="75"/>
      <c r="AU17" s="75"/>
      <c r="AV17" s="75"/>
    </row>
    <row r="18" spans="1:48" x14ac:dyDescent="0.25">
      <c r="G18" s="55"/>
      <c r="L18" s="88"/>
      <c r="M18" s="88"/>
      <c r="N18" s="84"/>
      <c r="O18" s="79"/>
      <c r="P18" s="79"/>
      <c r="Q18" s="79"/>
      <c r="R18" s="79"/>
      <c r="S18" s="79"/>
      <c r="U18" s="79"/>
      <c r="V18" s="79"/>
      <c r="W18" s="80"/>
      <c r="X18" s="79"/>
      <c r="Y18" s="80"/>
      <c r="Z18" s="79"/>
      <c r="AG18"/>
      <c r="AH18"/>
      <c r="AO18" s="90"/>
      <c r="AP18" s="90"/>
      <c r="AQ18" s="75"/>
      <c r="AR18" s="75"/>
      <c r="AS18" s="75"/>
      <c r="AT18" s="75"/>
      <c r="AU18" s="75"/>
      <c r="AV18" s="75"/>
    </row>
    <row r="19" spans="1:48" x14ac:dyDescent="0.25">
      <c r="G19" s="55"/>
      <c r="L19" s="88"/>
      <c r="M19" s="88"/>
      <c r="N19" s="84"/>
      <c r="O19" s="79"/>
      <c r="P19" s="79"/>
      <c r="Q19" s="79"/>
      <c r="R19" s="79"/>
      <c r="S19" s="79"/>
      <c r="U19" s="79"/>
      <c r="V19" s="79"/>
      <c r="W19" s="79"/>
      <c r="X19" s="79"/>
      <c r="Y19" s="80"/>
      <c r="Z19" s="79"/>
      <c r="AG19"/>
      <c r="AH19"/>
      <c r="AO19" s="90"/>
      <c r="AP19" s="90"/>
      <c r="AQ19" s="75"/>
      <c r="AR19" s="75"/>
      <c r="AS19" s="75"/>
      <c r="AT19" s="75"/>
      <c r="AU19" s="75"/>
      <c r="AV19" s="75"/>
    </row>
    <row r="20" spans="1:48" x14ac:dyDescent="0.25">
      <c r="H20" s="86"/>
      <c r="I20" s="162"/>
      <c r="J20" s="162"/>
      <c r="K20" s="162"/>
      <c r="L20" s="89"/>
      <c r="M20" s="89"/>
      <c r="N20" s="77" t="s">
        <v>47</v>
      </c>
      <c r="O20" s="79" t="s">
        <v>48</v>
      </c>
      <c r="P20" s="77" t="s">
        <v>47</v>
      </c>
      <c r="Q20" s="79" t="s">
        <v>48</v>
      </c>
      <c r="R20" s="77" t="s">
        <v>47</v>
      </c>
      <c r="S20" s="79" t="s">
        <v>48</v>
      </c>
      <c r="T20" s="77" t="s">
        <v>47</v>
      </c>
      <c r="U20" s="79" t="s">
        <v>48</v>
      </c>
      <c r="V20" s="77" t="s">
        <v>47</v>
      </c>
      <c r="W20" s="79" t="s">
        <v>48</v>
      </c>
      <c r="X20" s="79"/>
      <c r="Y20" s="80"/>
      <c r="Z20" s="79"/>
      <c r="AC20" s="102"/>
      <c r="AD20" s="102"/>
      <c r="AE20" s="102" t="e">
        <f>SUM(AE25:AE55)/$L22</f>
        <v>#VALUE!</v>
      </c>
      <c r="AF20" s="102" t="e">
        <f>SUM(AF25:AF55)/$L22</f>
        <v>#VALUE!</v>
      </c>
      <c r="AG20" s="102" t="e">
        <f>SUM(AG25:AG55)/$L22</f>
        <v>#VALUE!</v>
      </c>
      <c r="AH20" s="102" t="e">
        <f>SUM(AH25:AH55)/$L22</f>
        <v>#VALUE!</v>
      </c>
      <c r="AI20" s="102" t="e">
        <f>SUM(AI25:AI55)/$L22</f>
        <v>#VALUE!</v>
      </c>
      <c r="AK20" s="102"/>
      <c r="AL20" s="102" t="e">
        <f>SUM(AL25:AL55)/$L22</f>
        <v>#VALUE!</v>
      </c>
      <c r="AM20" s="102" t="e">
        <f>SUM(AM25:AM55)/$L22</f>
        <v>#VALUE!</v>
      </c>
      <c r="AN20" s="102" t="e">
        <f>SUM(AN25:AN55)/$L22</f>
        <v>#VALUE!</v>
      </c>
      <c r="AO20" s="102" t="e">
        <f>SUM(AO25:AO55)/$L22</f>
        <v>#VALUE!</v>
      </c>
      <c r="AP20" s="102" t="e">
        <f>SUM(AP25:AP55)/$L22</f>
        <v>#VALUE!</v>
      </c>
      <c r="AQ20" s="75"/>
      <c r="AR20" s="75"/>
      <c r="AS20" s="75"/>
      <c r="AT20" s="75"/>
      <c r="AU20" s="75"/>
      <c r="AV20" s="75"/>
    </row>
    <row r="21" spans="1:48" x14ac:dyDescent="0.25">
      <c r="G21" s="77"/>
      <c r="N21" s="79" t="s">
        <v>38</v>
      </c>
      <c r="O21" s="79" t="s">
        <v>38</v>
      </c>
      <c r="P21" s="79" t="s">
        <v>28</v>
      </c>
      <c r="Q21" s="79" t="s">
        <v>28</v>
      </c>
      <c r="R21" s="80" t="s">
        <v>29</v>
      </c>
      <c r="S21" s="80" t="s">
        <v>29</v>
      </c>
      <c r="T21" s="79" t="s">
        <v>32</v>
      </c>
      <c r="U21" s="79" t="s">
        <v>32</v>
      </c>
      <c r="V21" s="80" t="s">
        <v>33</v>
      </c>
      <c r="W21" s="80" t="s">
        <v>33</v>
      </c>
      <c r="X21" s="79"/>
      <c r="Y21" s="80"/>
      <c r="Z21" s="79"/>
      <c r="AG21"/>
      <c r="AH21"/>
      <c r="AK21" s="75"/>
      <c r="AL21" s="75"/>
      <c r="AM21" s="75"/>
      <c r="AQ21" s="75"/>
      <c r="AR21" s="75"/>
      <c r="AS21" s="75"/>
      <c r="AT21" s="75"/>
      <c r="AU21" s="75"/>
      <c r="AV21" s="75"/>
    </row>
    <row r="22" spans="1:48" x14ac:dyDescent="0.25">
      <c r="D22" s="93"/>
      <c r="E22" s="92"/>
      <c r="F22" s="93"/>
      <c r="G22" s="93"/>
      <c r="L22" s="89">
        <f>SUM(L25:L55)</f>
        <v>9</v>
      </c>
      <c r="M22" s="89"/>
      <c r="N22" s="79">
        <f>$B7</f>
        <v>3</v>
      </c>
      <c r="O22" s="79">
        <f>$C7</f>
        <v>2</v>
      </c>
      <c r="P22" s="79">
        <f>$B7</f>
        <v>3</v>
      </c>
      <c r="Q22" s="79">
        <f>$C7</f>
        <v>2</v>
      </c>
      <c r="R22" s="79">
        <f>$B7</f>
        <v>3</v>
      </c>
      <c r="S22" s="79">
        <f>$C7</f>
        <v>2</v>
      </c>
      <c r="T22" s="79">
        <f>$B7</f>
        <v>3</v>
      </c>
      <c r="U22" s="79">
        <f>$C7</f>
        <v>2</v>
      </c>
      <c r="V22" s="79">
        <f>$B7</f>
        <v>3</v>
      </c>
      <c r="W22" s="79">
        <f>$C7</f>
        <v>2</v>
      </c>
      <c r="Y22" s="80"/>
      <c r="Z22" s="130"/>
      <c r="AG22"/>
      <c r="AH22"/>
      <c r="AK22" s="75"/>
      <c r="AL22" s="75"/>
      <c r="AM22" s="75"/>
      <c r="AQ22" s="77"/>
      <c r="AR22" s="77"/>
      <c r="AS22" s="77"/>
      <c r="AT22" s="77"/>
      <c r="AU22" s="77"/>
      <c r="AV22" s="77"/>
    </row>
    <row r="23" spans="1:48" ht="13.8" thickBot="1" x14ac:dyDescent="0.3">
      <c r="B23" s="82"/>
      <c r="C23" s="82"/>
      <c r="D23" s="82"/>
      <c r="E23" s="82"/>
      <c r="F23" s="82"/>
      <c r="G23" s="82"/>
      <c r="H23" s="79"/>
      <c r="I23" s="79"/>
      <c r="J23" s="79"/>
      <c r="K23" s="79"/>
      <c r="L23" s="79"/>
      <c r="M23" s="79"/>
      <c r="N23" s="75">
        <v>1</v>
      </c>
      <c r="O23" s="75">
        <v>1</v>
      </c>
      <c r="P23" s="75">
        <v>2</v>
      </c>
      <c r="Q23" s="75">
        <v>2</v>
      </c>
      <c r="R23" s="75">
        <v>3</v>
      </c>
      <c r="S23" s="75">
        <v>3</v>
      </c>
      <c r="T23" s="75">
        <v>5</v>
      </c>
      <c r="U23" s="75">
        <v>5</v>
      </c>
      <c r="V23" s="75">
        <v>4</v>
      </c>
      <c r="W23" s="75">
        <v>4</v>
      </c>
      <c r="AD23" s="91"/>
      <c r="AE23" s="77" t="s">
        <v>37</v>
      </c>
      <c r="AF23" s="77" t="s">
        <v>28</v>
      </c>
      <c r="AG23" s="77" t="s">
        <v>29</v>
      </c>
      <c r="AH23" s="77" t="s">
        <v>33</v>
      </c>
      <c r="AI23" s="77" t="s">
        <v>32</v>
      </c>
      <c r="AK23" s="91"/>
      <c r="AL23" s="77" t="s">
        <v>37</v>
      </c>
      <c r="AM23" s="77" t="s">
        <v>28</v>
      </c>
      <c r="AN23" s="77" t="s">
        <v>29</v>
      </c>
      <c r="AO23" s="77" t="s">
        <v>33</v>
      </c>
      <c r="AP23" s="77" t="s">
        <v>32</v>
      </c>
      <c r="AQ23" s="79"/>
      <c r="AR23" s="79"/>
      <c r="AS23" s="80"/>
      <c r="AT23" s="75"/>
      <c r="AU23" s="75"/>
      <c r="AV23" s="75"/>
    </row>
    <row r="24" spans="1:48" ht="14.4" thickTop="1" thickBot="1" x14ac:dyDescent="0.3">
      <c r="A24" s="95" t="s">
        <v>24</v>
      </c>
      <c r="B24" s="95" t="s">
        <v>39</v>
      </c>
      <c r="C24" s="95" t="s">
        <v>45</v>
      </c>
      <c r="D24" s="95" t="s">
        <v>46</v>
      </c>
      <c r="E24" s="95" t="s">
        <v>144</v>
      </c>
      <c r="F24" s="95" t="s">
        <v>145</v>
      </c>
      <c r="H24" s="95" t="s">
        <v>26</v>
      </c>
      <c r="I24" s="163"/>
      <c r="J24" s="163"/>
      <c r="K24" s="163"/>
      <c r="L24" s="79"/>
      <c r="M24" s="79" t="s">
        <v>25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AD24" s="80"/>
      <c r="AG24"/>
      <c r="AH24"/>
      <c r="AK24" s="80"/>
      <c r="AL24" s="75"/>
      <c r="AM24" s="75"/>
      <c r="AQ24" s="79"/>
      <c r="AR24" s="79"/>
      <c r="AS24" s="80"/>
      <c r="AT24" s="79"/>
      <c r="AU24" s="75"/>
      <c r="AV24" s="80"/>
    </row>
    <row r="25" spans="1:48" ht="13.8" thickTop="1" x14ac:dyDescent="0.25">
      <c r="A25" s="152">
        <v>1</v>
      </c>
      <c r="B25" s="97">
        <f>B3</f>
        <v>4.46</v>
      </c>
      <c r="C25" s="98">
        <f t="shared" ref="C25:D55" si="0">B$6</f>
        <v>4.37</v>
      </c>
      <c r="D25" s="98">
        <f t="shared" si="0"/>
        <v>4.3899999999999997</v>
      </c>
      <c r="E25" s="77">
        <f t="shared" ref="E25:E55" si="1">B$8</f>
        <v>0.51</v>
      </c>
      <c r="F25" s="77">
        <f t="shared" ref="F25:F55" si="2">C$8</f>
        <v>0.48</v>
      </c>
      <c r="H25" s="77" t="e">
        <f>VLOOKUP(D2,STRADDLE,14,FALSE)</f>
        <v>#N/A</v>
      </c>
      <c r="I25" s="171">
        <f>B10</f>
        <v>36678</v>
      </c>
      <c r="J25" s="171">
        <f>IF(K25=6,I25-1,IF(K25=7,I25-2,I25))</f>
        <v>36678</v>
      </c>
      <c r="K25" s="154">
        <f>WEEKDAY(B10,2)</f>
        <v>4</v>
      </c>
      <c r="L25" s="154">
        <f t="shared" ref="L25:L55" si="3">IF(I25&gt;B$11,0,IF(M25&lt;1,0,1))</f>
        <v>0</v>
      </c>
      <c r="M25" s="154">
        <f t="shared" ref="M25:M55" si="4">J25-B$12</f>
        <v>-20</v>
      </c>
      <c r="N25" s="101">
        <f t="shared" ref="N25:N55" si="5">IF($L25=0,0,bsd(N$23,N$22,$B25,$C25,$M25,$E25,$H25,0.1))</f>
        <v>0</v>
      </c>
      <c r="O25" s="101">
        <f t="shared" ref="O25:O55" si="6">IF($L25=0,0,bsd(O$23,O$22,$B25,$D25,$M25,$F25,$H25,0.1))</f>
        <v>0</v>
      </c>
      <c r="P25" s="101">
        <f t="shared" ref="P25:P55" si="7">IF($L25=0,0,bsd(P$23,P$22,$B25,$C25,$M25,$E25,$H25,0.1))</f>
        <v>0</v>
      </c>
      <c r="Q25" s="101">
        <f t="shared" ref="Q25:Q55" si="8">IF($L25=0,0,bsd(Q$23,Q$22,$B25,$D25,$M25,$F25,$H25,0.1))</f>
        <v>0</v>
      </c>
      <c r="R25" s="101">
        <f t="shared" ref="R25:R55" si="9">IF($L25=0,0,bsd(R$23,R$22,$B25,$C25,$M25,$E25,$H25,0.1))</f>
        <v>0</v>
      </c>
      <c r="S25" s="101">
        <f t="shared" ref="S25:S55" si="10">IF($L25=0,0,bsd(S$23,S$22,$B25,$D25,$M25,$F25,$H25,0.1))</f>
        <v>0</v>
      </c>
      <c r="T25" s="101">
        <f t="shared" ref="T25:T55" si="11">IF($L25=0,0,bsd(T$23,T$22,$B25,$C25,$M25,$E25,$H25,0.1))</f>
        <v>0</v>
      </c>
      <c r="U25" s="101">
        <f t="shared" ref="U25:U55" si="12">IF($L25=0,0,bsd(U$23,U$22,$B25,$D25,$M25,$F25,$H25,0.1))</f>
        <v>0</v>
      </c>
      <c r="V25" s="101">
        <f t="shared" ref="V25:V55" si="13">IF($L25=0,0,bsd(V$23,V$22,$B25,$C25,$M25,$E25,$H25,0.1))</f>
        <v>0</v>
      </c>
      <c r="W25" s="101">
        <f t="shared" ref="W25:W55" si="14">IF($L25=0,0,bsd(W$23,W$22,$B25,$D25,$M25,$F25,$H25,0.1))</f>
        <v>0</v>
      </c>
      <c r="Y25" s="78"/>
      <c r="Z25" s="78"/>
      <c r="AA25" s="152"/>
      <c r="AD25" s="102"/>
      <c r="AE25" s="103">
        <f>$L25*N25</f>
        <v>0</v>
      </c>
      <c r="AF25" s="103">
        <f>$L25*P25</f>
        <v>0</v>
      </c>
      <c r="AG25" s="103">
        <f>$L25*R25</f>
        <v>0</v>
      </c>
      <c r="AH25" s="103">
        <f>$L25*T25</f>
        <v>0</v>
      </c>
      <c r="AI25" s="103">
        <f>$L25*V25</f>
        <v>0</v>
      </c>
      <c r="AK25" s="102"/>
      <c r="AL25" s="103">
        <f t="shared" ref="AL25:AL55" si="15">$L25*O25</f>
        <v>0</v>
      </c>
      <c r="AM25" s="103">
        <f t="shared" ref="AM25:AM55" si="16">$L25*Q25</f>
        <v>0</v>
      </c>
      <c r="AN25" s="103">
        <f t="shared" ref="AN25:AN55" si="17">$L25*S25</f>
        <v>0</v>
      </c>
      <c r="AO25" s="103">
        <f t="shared" ref="AO25:AO55" si="18">$L25*U25</f>
        <v>0</v>
      </c>
      <c r="AP25" s="103">
        <f t="shared" ref="AP25:AP55" si="19">$L25*W25</f>
        <v>0</v>
      </c>
      <c r="AQ25" s="122"/>
      <c r="AR25" s="103"/>
      <c r="AS25" s="122"/>
      <c r="AT25" s="94"/>
      <c r="AU25" s="94"/>
      <c r="AV25" s="94"/>
    </row>
    <row r="26" spans="1:48" x14ac:dyDescent="0.25">
      <c r="A26" s="152">
        <f>A25+1</f>
        <v>2</v>
      </c>
      <c r="B26" s="97">
        <f>B25</f>
        <v>4.46</v>
      </c>
      <c r="C26" s="98">
        <f t="shared" si="0"/>
        <v>4.37</v>
      </c>
      <c r="D26" s="98">
        <f t="shared" si="0"/>
        <v>4.3899999999999997</v>
      </c>
      <c r="E26" s="77">
        <f t="shared" si="1"/>
        <v>0.51</v>
      </c>
      <c r="F26" s="77">
        <f t="shared" si="2"/>
        <v>0.48</v>
      </c>
      <c r="H26" s="77" t="e">
        <f>H25</f>
        <v>#N/A</v>
      </c>
      <c r="I26" s="171">
        <f>I25+1</f>
        <v>36679</v>
      </c>
      <c r="J26" s="171">
        <f t="shared" ref="J26:J55" si="20">IF(K26=6,I26-1,IF(K26=7,I26-2,I26))</f>
        <v>36679</v>
      </c>
      <c r="K26" s="154">
        <f>WEEKDAY(I26,2)</f>
        <v>5</v>
      </c>
      <c r="L26" s="154">
        <f t="shared" si="3"/>
        <v>0</v>
      </c>
      <c r="M26" s="154">
        <f t="shared" si="4"/>
        <v>-19</v>
      </c>
      <c r="N26" s="101">
        <f>IF($L26=0,0,bsd(N$23,N$22,$B26,$C26,$M26,$E26,$H26,0.1))</f>
        <v>0</v>
      </c>
      <c r="O26" s="101">
        <f t="shared" si="6"/>
        <v>0</v>
      </c>
      <c r="P26" s="101">
        <f t="shared" si="7"/>
        <v>0</v>
      </c>
      <c r="Q26" s="101">
        <f t="shared" si="8"/>
        <v>0</v>
      </c>
      <c r="R26" s="101">
        <f t="shared" si="9"/>
        <v>0</v>
      </c>
      <c r="S26" s="101">
        <f t="shared" si="10"/>
        <v>0</v>
      </c>
      <c r="T26" s="101">
        <f t="shared" si="11"/>
        <v>0</v>
      </c>
      <c r="U26" s="101">
        <f t="shared" si="12"/>
        <v>0</v>
      </c>
      <c r="V26" s="101">
        <f t="shared" si="13"/>
        <v>0</v>
      </c>
      <c r="W26" s="101">
        <f t="shared" si="14"/>
        <v>0</v>
      </c>
      <c r="Y26" s="78"/>
      <c r="Z26" s="78"/>
      <c r="AA26" s="152"/>
      <c r="AD26" s="102"/>
      <c r="AE26" s="103">
        <f t="shared" ref="AE26:AE55" si="21">$L26*N26</f>
        <v>0</v>
      </c>
      <c r="AF26" s="103">
        <f t="shared" ref="AF26:AF55" si="22">$L26*P26</f>
        <v>0</v>
      </c>
      <c r="AG26" s="103">
        <f t="shared" ref="AG26:AG55" si="23">$L26*R26</f>
        <v>0</v>
      </c>
      <c r="AH26" s="103">
        <f t="shared" ref="AH26:AH55" si="24">$L26*T26</f>
        <v>0</v>
      </c>
      <c r="AI26" s="103">
        <f t="shared" ref="AI26:AI55" si="25">$L26*V26</f>
        <v>0</v>
      </c>
      <c r="AK26" s="102"/>
      <c r="AL26" s="103">
        <f t="shared" si="15"/>
        <v>0</v>
      </c>
      <c r="AM26" s="103">
        <f t="shared" si="16"/>
        <v>0</v>
      </c>
      <c r="AN26" s="103">
        <f t="shared" si="17"/>
        <v>0</v>
      </c>
      <c r="AO26" s="103">
        <f t="shared" si="18"/>
        <v>0</v>
      </c>
      <c r="AP26" s="103">
        <f t="shared" si="19"/>
        <v>0</v>
      </c>
      <c r="AQ26" s="122"/>
      <c r="AR26" s="103"/>
      <c r="AS26" s="122"/>
      <c r="AT26" s="94"/>
      <c r="AU26" s="94"/>
      <c r="AV26" s="94"/>
    </row>
    <row r="27" spans="1:48" x14ac:dyDescent="0.25">
      <c r="A27" s="152">
        <f t="shared" ref="A27:A55" si="26">A26+1</f>
        <v>3</v>
      </c>
      <c r="B27" s="97">
        <f t="shared" ref="B27:B55" si="27">B26</f>
        <v>4.46</v>
      </c>
      <c r="C27" s="98">
        <f t="shared" si="0"/>
        <v>4.37</v>
      </c>
      <c r="D27" s="98">
        <f t="shared" si="0"/>
        <v>4.3899999999999997</v>
      </c>
      <c r="E27" s="77">
        <f t="shared" si="1"/>
        <v>0.51</v>
      </c>
      <c r="F27" s="77">
        <f t="shared" si="2"/>
        <v>0.48</v>
      </c>
      <c r="H27" s="77" t="e">
        <f t="shared" ref="H27:H55" si="28">H26</f>
        <v>#N/A</v>
      </c>
      <c r="I27" s="171">
        <f t="shared" ref="I27:I55" si="29">I26+1</f>
        <v>36680</v>
      </c>
      <c r="J27" s="171">
        <f t="shared" si="20"/>
        <v>36679</v>
      </c>
      <c r="K27" s="154">
        <f t="shared" ref="K27:K55" si="30">WEEKDAY(I27,2)</f>
        <v>6</v>
      </c>
      <c r="L27" s="154">
        <f t="shared" si="3"/>
        <v>0</v>
      </c>
      <c r="M27" s="154">
        <f t="shared" si="4"/>
        <v>-19</v>
      </c>
      <c r="N27" s="101">
        <f t="shared" si="5"/>
        <v>0</v>
      </c>
      <c r="O27" s="101">
        <f t="shared" si="6"/>
        <v>0</v>
      </c>
      <c r="P27" s="101">
        <f t="shared" si="7"/>
        <v>0</v>
      </c>
      <c r="Q27" s="101">
        <f t="shared" si="8"/>
        <v>0</v>
      </c>
      <c r="R27" s="101">
        <f t="shared" si="9"/>
        <v>0</v>
      </c>
      <c r="S27" s="101">
        <f t="shared" si="10"/>
        <v>0</v>
      </c>
      <c r="T27" s="101">
        <f t="shared" si="11"/>
        <v>0</v>
      </c>
      <c r="U27" s="101">
        <f t="shared" si="12"/>
        <v>0</v>
      </c>
      <c r="V27" s="101">
        <f t="shared" si="13"/>
        <v>0</v>
      </c>
      <c r="W27" s="101">
        <f t="shared" si="14"/>
        <v>0</v>
      </c>
      <c r="Y27" s="78"/>
      <c r="Z27" s="78"/>
      <c r="AA27" s="152"/>
      <c r="AD27" s="102"/>
      <c r="AE27" s="103">
        <f t="shared" si="21"/>
        <v>0</v>
      </c>
      <c r="AF27" s="103">
        <f t="shared" si="22"/>
        <v>0</v>
      </c>
      <c r="AG27" s="103">
        <f t="shared" si="23"/>
        <v>0</v>
      </c>
      <c r="AH27" s="103">
        <f t="shared" si="24"/>
        <v>0</v>
      </c>
      <c r="AI27" s="103">
        <f t="shared" si="25"/>
        <v>0</v>
      </c>
      <c r="AK27" s="102"/>
      <c r="AL27" s="103">
        <f t="shared" si="15"/>
        <v>0</v>
      </c>
      <c r="AM27" s="103">
        <f t="shared" si="16"/>
        <v>0</v>
      </c>
      <c r="AN27" s="103">
        <f t="shared" si="17"/>
        <v>0</v>
      </c>
      <c r="AO27" s="103">
        <f t="shared" si="18"/>
        <v>0</v>
      </c>
      <c r="AP27" s="103">
        <f t="shared" si="19"/>
        <v>0</v>
      </c>
      <c r="AQ27" s="122"/>
      <c r="AR27" s="103"/>
      <c r="AS27" s="122"/>
      <c r="AT27" s="94"/>
      <c r="AU27" s="94"/>
      <c r="AV27" s="94"/>
    </row>
    <row r="28" spans="1:48" x14ac:dyDescent="0.25">
      <c r="A28" s="152">
        <f t="shared" si="26"/>
        <v>4</v>
      </c>
      <c r="B28" s="97">
        <f t="shared" si="27"/>
        <v>4.46</v>
      </c>
      <c r="C28" s="98">
        <f t="shared" si="0"/>
        <v>4.37</v>
      </c>
      <c r="D28" s="98">
        <f t="shared" si="0"/>
        <v>4.3899999999999997</v>
      </c>
      <c r="E28" s="77">
        <f t="shared" si="1"/>
        <v>0.51</v>
      </c>
      <c r="F28" s="77">
        <f t="shared" si="2"/>
        <v>0.48</v>
      </c>
      <c r="H28" s="77" t="e">
        <f t="shared" si="28"/>
        <v>#N/A</v>
      </c>
      <c r="I28" s="171">
        <f t="shared" si="29"/>
        <v>36681</v>
      </c>
      <c r="J28" s="171">
        <f t="shared" si="20"/>
        <v>36679</v>
      </c>
      <c r="K28" s="154">
        <f t="shared" si="30"/>
        <v>7</v>
      </c>
      <c r="L28" s="154">
        <f t="shared" si="3"/>
        <v>0</v>
      </c>
      <c r="M28" s="154">
        <f t="shared" si="4"/>
        <v>-19</v>
      </c>
      <c r="N28" s="101">
        <f t="shared" si="5"/>
        <v>0</v>
      </c>
      <c r="O28" s="101">
        <f t="shared" si="6"/>
        <v>0</v>
      </c>
      <c r="P28" s="101">
        <f t="shared" si="7"/>
        <v>0</v>
      </c>
      <c r="Q28" s="101">
        <f t="shared" si="8"/>
        <v>0</v>
      </c>
      <c r="R28" s="101">
        <f t="shared" si="9"/>
        <v>0</v>
      </c>
      <c r="S28" s="101">
        <f t="shared" si="10"/>
        <v>0</v>
      </c>
      <c r="T28" s="101">
        <f t="shared" si="11"/>
        <v>0</v>
      </c>
      <c r="U28" s="101">
        <f t="shared" si="12"/>
        <v>0</v>
      </c>
      <c r="V28" s="101">
        <f t="shared" si="13"/>
        <v>0</v>
      </c>
      <c r="W28" s="101">
        <f t="shared" si="14"/>
        <v>0</v>
      </c>
      <c r="Y28" s="78"/>
      <c r="Z28" s="78"/>
      <c r="AA28" s="152"/>
      <c r="AD28" s="102"/>
      <c r="AE28" s="103">
        <f t="shared" si="21"/>
        <v>0</v>
      </c>
      <c r="AF28" s="103">
        <f t="shared" si="22"/>
        <v>0</v>
      </c>
      <c r="AG28" s="103">
        <f t="shared" si="23"/>
        <v>0</v>
      </c>
      <c r="AH28" s="103">
        <f t="shared" si="24"/>
        <v>0</v>
      </c>
      <c r="AI28" s="103">
        <f t="shared" si="25"/>
        <v>0</v>
      </c>
      <c r="AK28" s="102"/>
      <c r="AL28" s="103">
        <f t="shared" si="15"/>
        <v>0</v>
      </c>
      <c r="AM28" s="103">
        <f t="shared" si="16"/>
        <v>0</v>
      </c>
      <c r="AN28" s="103">
        <f t="shared" si="17"/>
        <v>0</v>
      </c>
      <c r="AO28" s="103">
        <f t="shared" si="18"/>
        <v>0</v>
      </c>
      <c r="AP28" s="103">
        <f t="shared" si="19"/>
        <v>0</v>
      </c>
      <c r="AQ28" s="122"/>
      <c r="AR28" s="103"/>
      <c r="AS28" s="122"/>
      <c r="AT28" s="94"/>
      <c r="AU28" s="94"/>
      <c r="AV28" s="94"/>
    </row>
    <row r="29" spans="1:48" x14ac:dyDescent="0.25">
      <c r="A29" s="152">
        <f t="shared" si="26"/>
        <v>5</v>
      </c>
      <c r="B29" s="97">
        <f t="shared" si="27"/>
        <v>4.46</v>
      </c>
      <c r="C29" s="98">
        <f t="shared" si="0"/>
        <v>4.37</v>
      </c>
      <c r="D29" s="98">
        <f t="shared" si="0"/>
        <v>4.3899999999999997</v>
      </c>
      <c r="E29" s="77">
        <f t="shared" si="1"/>
        <v>0.51</v>
      </c>
      <c r="F29" s="77">
        <f t="shared" si="2"/>
        <v>0.48</v>
      </c>
      <c r="H29" s="77" t="e">
        <f t="shared" si="28"/>
        <v>#N/A</v>
      </c>
      <c r="I29" s="171">
        <f t="shared" si="29"/>
        <v>36682</v>
      </c>
      <c r="J29" s="171">
        <f t="shared" si="20"/>
        <v>36682</v>
      </c>
      <c r="K29" s="154">
        <f t="shared" si="30"/>
        <v>1</v>
      </c>
      <c r="L29" s="154">
        <f t="shared" si="3"/>
        <v>0</v>
      </c>
      <c r="M29" s="154">
        <f t="shared" si="4"/>
        <v>-16</v>
      </c>
      <c r="N29" s="101">
        <f t="shared" si="5"/>
        <v>0</v>
      </c>
      <c r="O29" s="101">
        <f t="shared" si="6"/>
        <v>0</v>
      </c>
      <c r="P29" s="101">
        <f t="shared" si="7"/>
        <v>0</v>
      </c>
      <c r="Q29" s="101">
        <f t="shared" si="8"/>
        <v>0</v>
      </c>
      <c r="R29" s="101">
        <f t="shared" si="9"/>
        <v>0</v>
      </c>
      <c r="S29" s="101">
        <f t="shared" si="10"/>
        <v>0</v>
      </c>
      <c r="T29" s="101">
        <f t="shared" si="11"/>
        <v>0</v>
      </c>
      <c r="U29" s="101">
        <f t="shared" si="12"/>
        <v>0</v>
      </c>
      <c r="V29" s="101">
        <f t="shared" si="13"/>
        <v>0</v>
      </c>
      <c r="W29" s="101">
        <f t="shared" si="14"/>
        <v>0</v>
      </c>
      <c r="Y29" s="78"/>
      <c r="Z29" s="78"/>
      <c r="AA29" s="152"/>
      <c r="AD29" s="102"/>
      <c r="AE29" s="103">
        <f t="shared" si="21"/>
        <v>0</v>
      </c>
      <c r="AF29" s="103">
        <f t="shared" si="22"/>
        <v>0</v>
      </c>
      <c r="AG29" s="103">
        <f t="shared" si="23"/>
        <v>0</v>
      </c>
      <c r="AH29" s="103">
        <f t="shared" si="24"/>
        <v>0</v>
      </c>
      <c r="AI29" s="103">
        <f t="shared" si="25"/>
        <v>0</v>
      </c>
      <c r="AK29" s="102"/>
      <c r="AL29" s="103">
        <f t="shared" si="15"/>
        <v>0</v>
      </c>
      <c r="AM29" s="103">
        <f t="shared" si="16"/>
        <v>0</v>
      </c>
      <c r="AN29" s="103">
        <f t="shared" si="17"/>
        <v>0</v>
      </c>
      <c r="AO29" s="103">
        <f t="shared" si="18"/>
        <v>0</v>
      </c>
      <c r="AP29" s="103">
        <f t="shared" si="19"/>
        <v>0</v>
      </c>
      <c r="AQ29" s="122"/>
      <c r="AR29" s="103"/>
      <c r="AS29" s="122"/>
      <c r="AT29" s="94"/>
      <c r="AU29" s="94"/>
      <c r="AV29" s="94"/>
    </row>
    <row r="30" spans="1:48" x14ac:dyDescent="0.25">
      <c r="A30" s="152">
        <f t="shared" si="26"/>
        <v>6</v>
      </c>
      <c r="B30" s="97">
        <f t="shared" si="27"/>
        <v>4.46</v>
      </c>
      <c r="C30" s="98">
        <f t="shared" si="0"/>
        <v>4.37</v>
      </c>
      <c r="D30" s="98">
        <f t="shared" si="0"/>
        <v>4.3899999999999997</v>
      </c>
      <c r="E30" s="77">
        <f t="shared" si="1"/>
        <v>0.51</v>
      </c>
      <c r="F30" s="77">
        <f t="shared" si="2"/>
        <v>0.48</v>
      </c>
      <c r="H30" s="77" t="e">
        <f t="shared" si="28"/>
        <v>#N/A</v>
      </c>
      <c r="I30" s="171">
        <f t="shared" si="29"/>
        <v>36683</v>
      </c>
      <c r="J30" s="171">
        <f t="shared" si="20"/>
        <v>36683</v>
      </c>
      <c r="K30" s="154">
        <f t="shared" si="30"/>
        <v>2</v>
      </c>
      <c r="L30" s="154">
        <f t="shared" si="3"/>
        <v>0</v>
      </c>
      <c r="M30" s="154">
        <f t="shared" si="4"/>
        <v>-15</v>
      </c>
      <c r="N30" s="101">
        <f t="shared" si="5"/>
        <v>0</v>
      </c>
      <c r="O30" s="101">
        <f t="shared" si="6"/>
        <v>0</v>
      </c>
      <c r="P30" s="101">
        <f t="shared" si="7"/>
        <v>0</v>
      </c>
      <c r="Q30" s="101">
        <f t="shared" si="8"/>
        <v>0</v>
      </c>
      <c r="R30" s="101">
        <f t="shared" si="9"/>
        <v>0</v>
      </c>
      <c r="S30" s="101">
        <f t="shared" si="10"/>
        <v>0</v>
      </c>
      <c r="T30" s="101">
        <f t="shared" si="11"/>
        <v>0</v>
      </c>
      <c r="U30" s="101">
        <f t="shared" si="12"/>
        <v>0</v>
      </c>
      <c r="V30" s="101">
        <f t="shared" si="13"/>
        <v>0</v>
      </c>
      <c r="W30" s="101">
        <f t="shared" si="14"/>
        <v>0</v>
      </c>
      <c r="Y30" s="78"/>
      <c r="Z30" s="78"/>
      <c r="AA30" s="152"/>
      <c r="AD30" s="102"/>
      <c r="AE30" s="103">
        <f t="shared" si="21"/>
        <v>0</v>
      </c>
      <c r="AF30" s="103">
        <f t="shared" si="22"/>
        <v>0</v>
      </c>
      <c r="AG30" s="103">
        <f t="shared" si="23"/>
        <v>0</v>
      </c>
      <c r="AH30" s="103">
        <f t="shared" si="24"/>
        <v>0</v>
      </c>
      <c r="AI30" s="103">
        <f t="shared" si="25"/>
        <v>0</v>
      </c>
      <c r="AK30" s="102"/>
      <c r="AL30" s="103">
        <f t="shared" si="15"/>
        <v>0</v>
      </c>
      <c r="AM30" s="103">
        <f t="shared" si="16"/>
        <v>0</v>
      </c>
      <c r="AN30" s="103">
        <f t="shared" si="17"/>
        <v>0</v>
      </c>
      <c r="AO30" s="103">
        <f t="shared" si="18"/>
        <v>0</v>
      </c>
      <c r="AP30" s="103">
        <f t="shared" si="19"/>
        <v>0</v>
      </c>
      <c r="AQ30" s="122"/>
      <c r="AR30" s="103"/>
      <c r="AS30" s="122"/>
      <c r="AT30" s="94"/>
      <c r="AU30" s="94"/>
      <c r="AV30" s="94"/>
    </row>
    <row r="31" spans="1:48" x14ac:dyDescent="0.25">
      <c r="A31" s="152">
        <f t="shared" si="26"/>
        <v>7</v>
      </c>
      <c r="B31" s="97">
        <f t="shared" si="27"/>
        <v>4.46</v>
      </c>
      <c r="C31" s="98">
        <f t="shared" si="0"/>
        <v>4.37</v>
      </c>
      <c r="D31" s="98">
        <f t="shared" si="0"/>
        <v>4.3899999999999997</v>
      </c>
      <c r="E31" s="77">
        <f t="shared" si="1"/>
        <v>0.51</v>
      </c>
      <c r="F31" s="77">
        <f t="shared" si="2"/>
        <v>0.48</v>
      </c>
      <c r="H31" s="77" t="e">
        <f t="shared" si="28"/>
        <v>#N/A</v>
      </c>
      <c r="I31" s="171">
        <f t="shared" si="29"/>
        <v>36684</v>
      </c>
      <c r="J31" s="171">
        <f t="shared" si="20"/>
        <v>36684</v>
      </c>
      <c r="K31" s="154">
        <f t="shared" si="30"/>
        <v>3</v>
      </c>
      <c r="L31" s="154">
        <f t="shared" si="3"/>
        <v>0</v>
      </c>
      <c r="M31" s="154">
        <f t="shared" si="4"/>
        <v>-14</v>
      </c>
      <c r="N31" s="101">
        <f t="shared" si="5"/>
        <v>0</v>
      </c>
      <c r="O31" s="101">
        <f t="shared" si="6"/>
        <v>0</v>
      </c>
      <c r="P31" s="101">
        <f t="shared" si="7"/>
        <v>0</v>
      </c>
      <c r="Q31" s="101">
        <f t="shared" si="8"/>
        <v>0</v>
      </c>
      <c r="R31" s="101">
        <f t="shared" si="9"/>
        <v>0</v>
      </c>
      <c r="S31" s="101">
        <f t="shared" si="10"/>
        <v>0</v>
      </c>
      <c r="T31" s="101">
        <f t="shared" si="11"/>
        <v>0</v>
      </c>
      <c r="U31" s="101">
        <f t="shared" si="12"/>
        <v>0</v>
      </c>
      <c r="V31" s="101">
        <f t="shared" si="13"/>
        <v>0</v>
      </c>
      <c r="W31" s="101">
        <f t="shared" si="14"/>
        <v>0</v>
      </c>
      <c r="Y31" s="78"/>
      <c r="Z31" s="78"/>
      <c r="AA31" s="152"/>
      <c r="AD31" s="102"/>
      <c r="AE31" s="103">
        <f t="shared" si="21"/>
        <v>0</v>
      </c>
      <c r="AF31" s="103">
        <f t="shared" si="22"/>
        <v>0</v>
      </c>
      <c r="AG31" s="103">
        <f t="shared" si="23"/>
        <v>0</v>
      </c>
      <c r="AH31" s="103">
        <f t="shared" si="24"/>
        <v>0</v>
      </c>
      <c r="AI31" s="103">
        <f t="shared" si="25"/>
        <v>0</v>
      </c>
      <c r="AK31" s="102"/>
      <c r="AL31" s="103">
        <f t="shared" si="15"/>
        <v>0</v>
      </c>
      <c r="AM31" s="103">
        <f t="shared" si="16"/>
        <v>0</v>
      </c>
      <c r="AN31" s="103">
        <f t="shared" si="17"/>
        <v>0</v>
      </c>
      <c r="AO31" s="103">
        <f t="shared" si="18"/>
        <v>0</v>
      </c>
      <c r="AP31" s="103">
        <f t="shared" si="19"/>
        <v>0</v>
      </c>
      <c r="AQ31" s="122"/>
      <c r="AR31" s="103"/>
      <c r="AS31" s="122"/>
      <c r="AT31" s="94"/>
      <c r="AU31" s="94"/>
      <c r="AV31" s="94"/>
    </row>
    <row r="32" spans="1:48" x14ac:dyDescent="0.25">
      <c r="A32" s="152">
        <f t="shared" si="26"/>
        <v>8</v>
      </c>
      <c r="B32" s="97">
        <f t="shared" si="27"/>
        <v>4.46</v>
      </c>
      <c r="C32" s="98">
        <f t="shared" si="0"/>
        <v>4.37</v>
      </c>
      <c r="D32" s="98">
        <f t="shared" si="0"/>
        <v>4.3899999999999997</v>
      </c>
      <c r="E32" s="77">
        <f t="shared" si="1"/>
        <v>0.51</v>
      </c>
      <c r="F32" s="77">
        <f t="shared" si="2"/>
        <v>0.48</v>
      </c>
      <c r="H32" s="77" t="e">
        <f t="shared" si="28"/>
        <v>#N/A</v>
      </c>
      <c r="I32" s="171">
        <f t="shared" si="29"/>
        <v>36685</v>
      </c>
      <c r="J32" s="171">
        <f t="shared" si="20"/>
        <v>36685</v>
      </c>
      <c r="K32" s="154">
        <f t="shared" si="30"/>
        <v>4</v>
      </c>
      <c r="L32" s="154">
        <f t="shared" si="3"/>
        <v>0</v>
      </c>
      <c r="M32" s="154">
        <f t="shared" si="4"/>
        <v>-13</v>
      </c>
      <c r="N32" s="101">
        <f t="shared" si="5"/>
        <v>0</v>
      </c>
      <c r="O32" s="101">
        <f t="shared" si="6"/>
        <v>0</v>
      </c>
      <c r="P32" s="101">
        <f t="shared" si="7"/>
        <v>0</v>
      </c>
      <c r="Q32" s="101">
        <f t="shared" si="8"/>
        <v>0</v>
      </c>
      <c r="R32" s="101">
        <f t="shared" si="9"/>
        <v>0</v>
      </c>
      <c r="S32" s="101">
        <f t="shared" si="10"/>
        <v>0</v>
      </c>
      <c r="T32" s="101">
        <f t="shared" si="11"/>
        <v>0</v>
      </c>
      <c r="U32" s="101">
        <f t="shared" si="12"/>
        <v>0</v>
      </c>
      <c r="V32" s="101">
        <f t="shared" si="13"/>
        <v>0</v>
      </c>
      <c r="W32" s="101">
        <f t="shared" si="14"/>
        <v>0</v>
      </c>
      <c r="Y32" s="78"/>
      <c r="Z32" s="78"/>
      <c r="AA32" s="152"/>
      <c r="AD32" s="102"/>
      <c r="AE32" s="103">
        <f t="shared" si="21"/>
        <v>0</v>
      </c>
      <c r="AF32" s="103">
        <f t="shared" si="22"/>
        <v>0</v>
      </c>
      <c r="AG32" s="103">
        <f t="shared" si="23"/>
        <v>0</v>
      </c>
      <c r="AH32" s="103">
        <f t="shared" si="24"/>
        <v>0</v>
      </c>
      <c r="AI32" s="103">
        <f t="shared" si="25"/>
        <v>0</v>
      </c>
      <c r="AK32" s="102"/>
      <c r="AL32" s="103">
        <f t="shared" si="15"/>
        <v>0</v>
      </c>
      <c r="AM32" s="103">
        <f t="shared" si="16"/>
        <v>0</v>
      </c>
      <c r="AN32" s="103">
        <f t="shared" si="17"/>
        <v>0</v>
      </c>
      <c r="AO32" s="103">
        <f t="shared" si="18"/>
        <v>0</v>
      </c>
      <c r="AP32" s="103">
        <f t="shared" si="19"/>
        <v>0</v>
      </c>
      <c r="AQ32" s="122"/>
      <c r="AR32" s="103"/>
      <c r="AS32" s="122"/>
      <c r="AT32" s="94"/>
      <c r="AU32" s="94"/>
      <c r="AV32" s="94"/>
    </row>
    <row r="33" spans="1:48" x14ac:dyDescent="0.25">
      <c r="A33" s="152">
        <f t="shared" si="26"/>
        <v>9</v>
      </c>
      <c r="B33" s="97">
        <f t="shared" si="27"/>
        <v>4.46</v>
      </c>
      <c r="C33" s="98">
        <f t="shared" si="0"/>
        <v>4.37</v>
      </c>
      <c r="D33" s="98">
        <f t="shared" si="0"/>
        <v>4.3899999999999997</v>
      </c>
      <c r="E33" s="77">
        <f t="shared" si="1"/>
        <v>0.51</v>
      </c>
      <c r="F33" s="77">
        <f t="shared" si="2"/>
        <v>0.48</v>
      </c>
      <c r="H33" s="77" t="e">
        <f t="shared" si="28"/>
        <v>#N/A</v>
      </c>
      <c r="I33" s="171">
        <f t="shared" si="29"/>
        <v>36686</v>
      </c>
      <c r="J33" s="171">
        <f t="shared" si="20"/>
        <v>36686</v>
      </c>
      <c r="K33" s="154">
        <f t="shared" si="30"/>
        <v>5</v>
      </c>
      <c r="L33" s="154">
        <f t="shared" si="3"/>
        <v>0</v>
      </c>
      <c r="M33" s="154">
        <f t="shared" si="4"/>
        <v>-12</v>
      </c>
      <c r="N33" s="101">
        <f>IF($L33=0,0,bsd(N$23,N$22,$B33,$C33,$M33,$E33,$H33,0.1))</f>
        <v>0</v>
      </c>
      <c r="O33" s="101">
        <f t="shared" si="6"/>
        <v>0</v>
      </c>
      <c r="P33" s="101">
        <f t="shared" si="7"/>
        <v>0</v>
      </c>
      <c r="Q33" s="101">
        <f t="shared" si="8"/>
        <v>0</v>
      </c>
      <c r="R33" s="101">
        <f>IF($L33=0,0,bsd(R$23,R$22,$B33,$C33,$M33,$E33,$H33,0.1))</f>
        <v>0</v>
      </c>
      <c r="S33" s="101">
        <f t="shared" si="10"/>
        <v>0</v>
      </c>
      <c r="T33" s="101">
        <f t="shared" si="11"/>
        <v>0</v>
      </c>
      <c r="U33" s="101">
        <f t="shared" si="12"/>
        <v>0</v>
      </c>
      <c r="V33" s="101">
        <f t="shared" si="13"/>
        <v>0</v>
      </c>
      <c r="W33" s="101">
        <f t="shared" si="14"/>
        <v>0</v>
      </c>
      <c r="Y33" s="78"/>
      <c r="Z33" s="78"/>
      <c r="AA33" s="152"/>
      <c r="AD33" s="102"/>
      <c r="AE33" s="103">
        <f t="shared" si="21"/>
        <v>0</v>
      </c>
      <c r="AF33" s="103">
        <f t="shared" si="22"/>
        <v>0</v>
      </c>
      <c r="AG33" s="103">
        <f t="shared" si="23"/>
        <v>0</v>
      </c>
      <c r="AH33" s="103">
        <f t="shared" si="24"/>
        <v>0</v>
      </c>
      <c r="AI33" s="103">
        <f t="shared" si="25"/>
        <v>0</v>
      </c>
      <c r="AK33" s="102"/>
      <c r="AL33" s="103">
        <f t="shared" si="15"/>
        <v>0</v>
      </c>
      <c r="AM33" s="103">
        <f t="shared" si="16"/>
        <v>0</v>
      </c>
      <c r="AN33" s="103">
        <f t="shared" si="17"/>
        <v>0</v>
      </c>
      <c r="AO33" s="103">
        <f t="shared" si="18"/>
        <v>0</v>
      </c>
      <c r="AP33" s="103">
        <f t="shared" si="19"/>
        <v>0</v>
      </c>
      <c r="AQ33" s="122"/>
      <c r="AR33" s="103"/>
      <c r="AS33" s="122"/>
      <c r="AT33" s="94"/>
      <c r="AU33" s="94"/>
      <c r="AV33" s="94"/>
    </row>
    <row r="34" spans="1:48" x14ac:dyDescent="0.25">
      <c r="A34" s="152">
        <f t="shared" si="26"/>
        <v>10</v>
      </c>
      <c r="B34" s="97">
        <f t="shared" si="27"/>
        <v>4.46</v>
      </c>
      <c r="C34" s="98">
        <f t="shared" si="0"/>
        <v>4.37</v>
      </c>
      <c r="D34" s="98">
        <f t="shared" si="0"/>
        <v>4.3899999999999997</v>
      </c>
      <c r="E34" s="77">
        <f t="shared" si="1"/>
        <v>0.51</v>
      </c>
      <c r="F34" s="77">
        <f t="shared" si="2"/>
        <v>0.48</v>
      </c>
      <c r="H34" s="77" t="e">
        <f t="shared" si="28"/>
        <v>#N/A</v>
      </c>
      <c r="I34" s="171">
        <f t="shared" si="29"/>
        <v>36687</v>
      </c>
      <c r="J34" s="171">
        <f t="shared" si="20"/>
        <v>36686</v>
      </c>
      <c r="K34" s="154">
        <f t="shared" si="30"/>
        <v>6</v>
      </c>
      <c r="L34" s="154">
        <f t="shared" si="3"/>
        <v>0</v>
      </c>
      <c r="M34" s="154">
        <f t="shared" si="4"/>
        <v>-12</v>
      </c>
      <c r="N34" s="101">
        <f t="shared" si="5"/>
        <v>0</v>
      </c>
      <c r="O34" s="101">
        <f t="shared" si="6"/>
        <v>0</v>
      </c>
      <c r="P34" s="101">
        <f t="shared" si="7"/>
        <v>0</v>
      </c>
      <c r="Q34" s="101">
        <f t="shared" si="8"/>
        <v>0</v>
      </c>
      <c r="R34" s="101">
        <f t="shared" si="9"/>
        <v>0</v>
      </c>
      <c r="S34" s="101">
        <f t="shared" si="10"/>
        <v>0</v>
      </c>
      <c r="T34" s="101">
        <f t="shared" si="11"/>
        <v>0</v>
      </c>
      <c r="U34" s="101">
        <f t="shared" si="12"/>
        <v>0</v>
      </c>
      <c r="V34" s="101">
        <f t="shared" si="13"/>
        <v>0</v>
      </c>
      <c r="W34" s="101">
        <f t="shared" si="14"/>
        <v>0</v>
      </c>
      <c r="Y34" s="78"/>
      <c r="Z34" s="78"/>
      <c r="AA34" s="152"/>
      <c r="AD34" s="102"/>
      <c r="AE34" s="103">
        <f t="shared" si="21"/>
        <v>0</v>
      </c>
      <c r="AF34" s="103">
        <f t="shared" si="22"/>
        <v>0</v>
      </c>
      <c r="AG34" s="103">
        <f t="shared" si="23"/>
        <v>0</v>
      </c>
      <c r="AH34" s="103">
        <f t="shared" si="24"/>
        <v>0</v>
      </c>
      <c r="AI34" s="103">
        <f t="shared" si="25"/>
        <v>0</v>
      </c>
      <c r="AK34" s="102"/>
      <c r="AL34" s="103">
        <f t="shared" si="15"/>
        <v>0</v>
      </c>
      <c r="AM34" s="103">
        <f t="shared" si="16"/>
        <v>0</v>
      </c>
      <c r="AN34" s="103">
        <f t="shared" si="17"/>
        <v>0</v>
      </c>
      <c r="AO34" s="103">
        <f t="shared" si="18"/>
        <v>0</v>
      </c>
      <c r="AP34" s="103">
        <f t="shared" si="19"/>
        <v>0</v>
      </c>
      <c r="AQ34" s="122"/>
      <c r="AR34" s="103"/>
      <c r="AS34" s="122"/>
      <c r="AT34" s="94"/>
      <c r="AU34" s="94"/>
      <c r="AV34" s="94"/>
    </row>
    <row r="35" spans="1:48" x14ac:dyDescent="0.25">
      <c r="A35" s="152">
        <f t="shared" si="26"/>
        <v>11</v>
      </c>
      <c r="B35" s="97">
        <f t="shared" si="27"/>
        <v>4.46</v>
      </c>
      <c r="C35" s="98">
        <f t="shared" si="0"/>
        <v>4.37</v>
      </c>
      <c r="D35" s="98">
        <f t="shared" si="0"/>
        <v>4.3899999999999997</v>
      </c>
      <c r="E35" s="77">
        <f t="shared" si="1"/>
        <v>0.51</v>
      </c>
      <c r="F35" s="77">
        <f t="shared" si="2"/>
        <v>0.48</v>
      </c>
      <c r="H35" s="77" t="e">
        <f t="shared" si="28"/>
        <v>#N/A</v>
      </c>
      <c r="I35" s="171">
        <f t="shared" si="29"/>
        <v>36688</v>
      </c>
      <c r="J35" s="171">
        <f t="shared" si="20"/>
        <v>36686</v>
      </c>
      <c r="K35" s="154">
        <f t="shared" si="30"/>
        <v>7</v>
      </c>
      <c r="L35" s="154">
        <f t="shared" si="3"/>
        <v>0</v>
      </c>
      <c r="M35" s="154">
        <f t="shared" si="4"/>
        <v>-12</v>
      </c>
      <c r="N35" s="101">
        <f t="shared" si="5"/>
        <v>0</v>
      </c>
      <c r="O35" s="101">
        <f t="shared" si="6"/>
        <v>0</v>
      </c>
      <c r="P35" s="101">
        <f t="shared" si="7"/>
        <v>0</v>
      </c>
      <c r="Q35" s="101">
        <f t="shared" si="8"/>
        <v>0</v>
      </c>
      <c r="R35" s="101">
        <f t="shared" si="9"/>
        <v>0</v>
      </c>
      <c r="S35" s="101">
        <f t="shared" si="10"/>
        <v>0</v>
      </c>
      <c r="T35" s="101">
        <f t="shared" si="11"/>
        <v>0</v>
      </c>
      <c r="U35" s="101">
        <f t="shared" si="12"/>
        <v>0</v>
      </c>
      <c r="V35" s="101">
        <f t="shared" si="13"/>
        <v>0</v>
      </c>
      <c r="W35" s="101">
        <f t="shared" si="14"/>
        <v>0</v>
      </c>
      <c r="Y35" s="78"/>
      <c r="Z35" s="78"/>
      <c r="AA35" s="152"/>
      <c r="AD35" s="102"/>
      <c r="AE35" s="103">
        <f t="shared" si="21"/>
        <v>0</v>
      </c>
      <c r="AF35" s="103">
        <f t="shared" si="22"/>
        <v>0</v>
      </c>
      <c r="AG35" s="103">
        <f t="shared" si="23"/>
        <v>0</v>
      </c>
      <c r="AH35" s="103">
        <f t="shared" si="24"/>
        <v>0</v>
      </c>
      <c r="AI35" s="103">
        <f t="shared" si="25"/>
        <v>0</v>
      </c>
      <c r="AK35" s="102"/>
      <c r="AL35" s="103">
        <f t="shared" si="15"/>
        <v>0</v>
      </c>
      <c r="AM35" s="103">
        <f t="shared" si="16"/>
        <v>0</v>
      </c>
      <c r="AN35" s="103">
        <f t="shared" si="17"/>
        <v>0</v>
      </c>
      <c r="AO35" s="103">
        <f t="shared" si="18"/>
        <v>0</v>
      </c>
      <c r="AP35" s="103">
        <f t="shared" si="19"/>
        <v>0</v>
      </c>
      <c r="AQ35" s="122"/>
      <c r="AR35" s="103"/>
      <c r="AS35" s="122"/>
      <c r="AT35" s="94"/>
      <c r="AU35" s="94"/>
      <c r="AV35" s="94"/>
    </row>
    <row r="36" spans="1:48" x14ac:dyDescent="0.25">
      <c r="A36" s="152">
        <f t="shared" si="26"/>
        <v>12</v>
      </c>
      <c r="B36" s="97">
        <f t="shared" si="27"/>
        <v>4.46</v>
      </c>
      <c r="C36" s="98">
        <f t="shared" si="0"/>
        <v>4.37</v>
      </c>
      <c r="D36" s="98">
        <f t="shared" si="0"/>
        <v>4.3899999999999997</v>
      </c>
      <c r="E36" s="77">
        <f t="shared" si="1"/>
        <v>0.51</v>
      </c>
      <c r="F36" s="77">
        <f t="shared" si="2"/>
        <v>0.48</v>
      </c>
      <c r="H36" s="77" t="e">
        <f t="shared" si="28"/>
        <v>#N/A</v>
      </c>
      <c r="I36" s="171">
        <f t="shared" si="29"/>
        <v>36689</v>
      </c>
      <c r="J36" s="171">
        <f t="shared" si="20"/>
        <v>36689</v>
      </c>
      <c r="K36" s="154">
        <f t="shared" si="30"/>
        <v>1</v>
      </c>
      <c r="L36" s="154">
        <f t="shared" si="3"/>
        <v>0</v>
      </c>
      <c r="M36" s="154">
        <f t="shared" si="4"/>
        <v>-9</v>
      </c>
      <c r="N36" s="101">
        <f t="shared" si="5"/>
        <v>0</v>
      </c>
      <c r="O36" s="101">
        <f t="shared" si="6"/>
        <v>0</v>
      </c>
      <c r="P36" s="101">
        <f t="shared" si="7"/>
        <v>0</v>
      </c>
      <c r="Q36" s="101">
        <f t="shared" si="8"/>
        <v>0</v>
      </c>
      <c r="R36" s="101">
        <f t="shared" si="9"/>
        <v>0</v>
      </c>
      <c r="S36" s="101">
        <f t="shared" si="10"/>
        <v>0</v>
      </c>
      <c r="T36" s="101">
        <f t="shared" si="11"/>
        <v>0</v>
      </c>
      <c r="U36" s="101">
        <f t="shared" si="12"/>
        <v>0</v>
      </c>
      <c r="V36" s="101">
        <f t="shared" si="13"/>
        <v>0</v>
      </c>
      <c r="W36" s="101">
        <f t="shared" si="14"/>
        <v>0</v>
      </c>
      <c r="Y36" s="78"/>
      <c r="Z36" s="78"/>
      <c r="AA36" s="152"/>
      <c r="AD36" s="102"/>
      <c r="AE36" s="103">
        <f t="shared" si="21"/>
        <v>0</v>
      </c>
      <c r="AF36" s="103">
        <f t="shared" si="22"/>
        <v>0</v>
      </c>
      <c r="AG36" s="103">
        <f t="shared" si="23"/>
        <v>0</v>
      </c>
      <c r="AH36" s="103">
        <f t="shared" si="24"/>
        <v>0</v>
      </c>
      <c r="AI36" s="103">
        <f t="shared" si="25"/>
        <v>0</v>
      </c>
      <c r="AK36" s="102"/>
      <c r="AL36" s="103">
        <f t="shared" si="15"/>
        <v>0</v>
      </c>
      <c r="AM36" s="103">
        <f t="shared" si="16"/>
        <v>0</v>
      </c>
      <c r="AN36" s="103">
        <f t="shared" si="17"/>
        <v>0</v>
      </c>
      <c r="AO36" s="103">
        <f t="shared" si="18"/>
        <v>0</v>
      </c>
      <c r="AP36" s="103">
        <f t="shared" si="19"/>
        <v>0</v>
      </c>
      <c r="AQ36" s="122"/>
      <c r="AR36" s="103"/>
      <c r="AS36" s="122"/>
      <c r="AT36" s="94"/>
      <c r="AU36" s="94"/>
      <c r="AV36" s="94"/>
    </row>
    <row r="37" spans="1:48" x14ac:dyDescent="0.25">
      <c r="A37" s="152">
        <f t="shared" si="26"/>
        <v>13</v>
      </c>
      <c r="B37" s="97">
        <f t="shared" si="27"/>
        <v>4.46</v>
      </c>
      <c r="C37" s="98">
        <f t="shared" si="0"/>
        <v>4.37</v>
      </c>
      <c r="D37" s="98">
        <f t="shared" si="0"/>
        <v>4.3899999999999997</v>
      </c>
      <c r="E37" s="77">
        <f t="shared" si="1"/>
        <v>0.51</v>
      </c>
      <c r="F37" s="77">
        <f t="shared" si="2"/>
        <v>0.48</v>
      </c>
      <c r="H37" s="77" t="e">
        <f t="shared" si="28"/>
        <v>#N/A</v>
      </c>
      <c r="I37" s="171">
        <f t="shared" si="29"/>
        <v>36690</v>
      </c>
      <c r="J37" s="171">
        <f t="shared" si="20"/>
        <v>36690</v>
      </c>
      <c r="K37" s="154">
        <f t="shared" si="30"/>
        <v>2</v>
      </c>
      <c r="L37" s="154">
        <f t="shared" si="3"/>
        <v>0</v>
      </c>
      <c r="M37" s="154">
        <f t="shared" si="4"/>
        <v>-8</v>
      </c>
      <c r="N37" s="101">
        <f t="shared" si="5"/>
        <v>0</v>
      </c>
      <c r="O37" s="101">
        <f t="shared" si="6"/>
        <v>0</v>
      </c>
      <c r="P37" s="101">
        <f t="shared" si="7"/>
        <v>0</v>
      </c>
      <c r="Q37" s="101">
        <f t="shared" si="8"/>
        <v>0</v>
      </c>
      <c r="R37" s="101">
        <f t="shared" si="9"/>
        <v>0</v>
      </c>
      <c r="S37" s="101">
        <f t="shared" si="10"/>
        <v>0</v>
      </c>
      <c r="T37" s="101">
        <f t="shared" si="11"/>
        <v>0</v>
      </c>
      <c r="U37" s="101">
        <f t="shared" si="12"/>
        <v>0</v>
      </c>
      <c r="V37" s="101">
        <f t="shared" si="13"/>
        <v>0</v>
      </c>
      <c r="W37" s="101">
        <f t="shared" si="14"/>
        <v>0</v>
      </c>
      <c r="Y37" s="78"/>
      <c r="Z37" s="78"/>
      <c r="AA37" s="152"/>
      <c r="AD37" s="102"/>
      <c r="AE37" s="103">
        <f t="shared" si="21"/>
        <v>0</v>
      </c>
      <c r="AF37" s="103">
        <f t="shared" si="22"/>
        <v>0</v>
      </c>
      <c r="AG37" s="103">
        <f t="shared" si="23"/>
        <v>0</v>
      </c>
      <c r="AH37" s="103">
        <f t="shared" si="24"/>
        <v>0</v>
      </c>
      <c r="AI37" s="103">
        <f t="shared" si="25"/>
        <v>0</v>
      </c>
      <c r="AK37" s="102"/>
      <c r="AL37" s="103">
        <f t="shared" si="15"/>
        <v>0</v>
      </c>
      <c r="AM37" s="103">
        <f t="shared" si="16"/>
        <v>0</v>
      </c>
      <c r="AN37" s="103">
        <f t="shared" si="17"/>
        <v>0</v>
      </c>
      <c r="AO37" s="103">
        <f t="shared" si="18"/>
        <v>0</v>
      </c>
      <c r="AP37" s="103">
        <f t="shared" si="19"/>
        <v>0</v>
      </c>
      <c r="AQ37" s="122"/>
      <c r="AR37" s="103"/>
      <c r="AS37" s="122"/>
      <c r="AT37" s="94"/>
      <c r="AU37" s="94"/>
      <c r="AV37" s="94"/>
    </row>
    <row r="38" spans="1:48" x14ac:dyDescent="0.25">
      <c r="A38" s="152">
        <f t="shared" si="26"/>
        <v>14</v>
      </c>
      <c r="B38" s="97">
        <f t="shared" si="27"/>
        <v>4.46</v>
      </c>
      <c r="C38" s="98">
        <f t="shared" si="0"/>
        <v>4.37</v>
      </c>
      <c r="D38" s="98">
        <f t="shared" si="0"/>
        <v>4.3899999999999997</v>
      </c>
      <c r="E38" s="77">
        <f t="shared" si="1"/>
        <v>0.51</v>
      </c>
      <c r="F38" s="77">
        <f t="shared" si="2"/>
        <v>0.48</v>
      </c>
      <c r="H38" s="77" t="e">
        <f t="shared" si="28"/>
        <v>#N/A</v>
      </c>
      <c r="I38" s="171">
        <f t="shared" si="29"/>
        <v>36691</v>
      </c>
      <c r="J38" s="171">
        <f t="shared" si="20"/>
        <v>36691</v>
      </c>
      <c r="K38" s="154">
        <f t="shared" si="30"/>
        <v>3</v>
      </c>
      <c r="L38" s="154">
        <f t="shared" si="3"/>
        <v>0</v>
      </c>
      <c r="M38" s="154">
        <f t="shared" si="4"/>
        <v>-7</v>
      </c>
      <c r="N38" s="101">
        <f t="shared" si="5"/>
        <v>0</v>
      </c>
      <c r="O38" s="101">
        <f t="shared" si="6"/>
        <v>0</v>
      </c>
      <c r="P38" s="101">
        <f t="shared" si="7"/>
        <v>0</v>
      </c>
      <c r="Q38" s="101">
        <f t="shared" si="8"/>
        <v>0</v>
      </c>
      <c r="R38" s="101">
        <f t="shared" si="9"/>
        <v>0</v>
      </c>
      <c r="S38" s="101">
        <f t="shared" si="10"/>
        <v>0</v>
      </c>
      <c r="T38" s="101">
        <f t="shared" si="11"/>
        <v>0</v>
      </c>
      <c r="U38" s="101">
        <f t="shared" si="12"/>
        <v>0</v>
      </c>
      <c r="V38" s="101">
        <f t="shared" si="13"/>
        <v>0</v>
      </c>
      <c r="W38" s="101">
        <f t="shared" si="14"/>
        <v>0</v>
      </c>
      <c r="Y38" s="78"/>
      <c r="Z38" s="78"/>
      <c r="AA38" s="152"/>
      <c r="AD38" s="102"/>
      <c r="AE38" s="103">
        <f t="shared" si="21"/>
        <v>0</v>
      </c>
      <c r="AF38" s="103">
        <f t="shared" si="22"/>
        <v>0</v>
      </c>
      <c r="AG38" s="103">
        <f t="shared" si="23"/>
        <v>0</v>
      </c>
      <c r="AH38" s="103">
        <f t="shared" si="24"/>
        <v>0</v>
      </c>
      <c r="AI38" s="103">
        <f t="shared" si="25"/>
        <v>0</v>
      </c>
      <c r="AK38" s="102"/>
      <c r="AL38" s="103">
        <f t="shared" si="15"/>
        <v>0</v>
      </c>
      <c r="AM38" s="103">
        <f t="shared" si="16"/>
        <v>0</v>
      </c>
      <c r="AN38" s="103">
        <f t="shared" si="17"/>
        <v>0</v>
      </c>
      <c r="AO38" s="103">
        <f t="shared" si="18"/>
        <v>0</v>
      </c>
      <c r="AP38" s="103">
        <f t="shared" si="19"/>
        <v>0</v>
      </c>
      <c r="AQ38" s="122"/>
      <c r="AR38" s="103"/>
      <c r="AS38" s="122"/>
      <c r="AT38" s="94"/>
      <c r="AU38" s="94"/>
      <c r="AV38" s="94"/>
    </row>
    <row r="39" spans="1:48" x14ac:dyDescent="0.25">
      <c r="A39" s="152">
        <f t="shared" si="26"/>
        <v>15</v>
      </c>
      <c r="B39" s="97">
        <f t="shared" si="27"/>
        <v>4.46</v>
      </c>
      <c r="C39" s="98">
        <f t="shared" si="0"/>
        <v>4.37</v>
      </c>
      <c r="D39" s="98">
        <f t="shared" si="0"/>
        <v>4.3899999999999997</v>
      </c>
      <c r="E39" s="77">
        <f t="shared" si="1"/>
        <v>0.51</v>
      </c>
      <c r="F39" s="77">
        <f t="shared" si="2"/>
        <v>0.48</v>
      </c>
      <c r="H39" s="77" t="e">
        <f t="shared" si="28"/>
        <v>#N/A</v>
      </c>
      <c r="I39" s="171">
        <f t="shared" si="29"/>
        <v>36692</v>
      </c>
      <c r="J39" s="171">
        <f t="shared" si="20"/>
        <v>36692</v>
      </c>
      <c r="K39" s="154">
        <f t="shared" si="30"/>
        <v>4</v>
      </c>
      <c r="L39" s="154">
        <f t="shared" si="3"/>
        <v>0</v>
      </c>
      <c r="M39" s="154">
        <f t="shared" si="4"/>
        <v>-6</v>
      </c>
      <c r="N39" s="101">
        <f t="shared" si="5"/>
        <v>0</v>
      </c>
      <c r="O39" s="101">
        <f t="shared" si="6"/>
        <v>0</v>
      </c>
      <c r="P39" s="101">
        <f t="shared" si="7"/>
        <v>0</v>
      </c>
      <c r="Q39" s="101">
        <f t="shared" si="8"/>
        <v>0</v>
      </c>
      <c r="R39" s="101">
        <f t="shared" si="9"/>
        <v>0</v>
      </c>
      <c r="S39" s="101">
        <f t="shared" si="10"/>
        <v>0</v>
      </c>
      <c r="T39" s="101">
        <f t="shared" si="11"/>
        <v>0</v>
      </c>
      <c r="U39" s="101">
        <f t="shared" si="12"/>
        <v>0</v>
      </c>
      <c r="V39" s="101">
        <f t="shared" si="13"/>
        <v>0</v>
      </c>
      <c r="W39" s="101">
        <f t="shared" si="14"/>
        <v>0</v>
      </c>
      <c r="Y39" s="78"/>
      <c r="Z39" s="78"/>
      <c r="AA39" s="152"/>
      <c r="AD39" s="102"/>
      <c r="AE39" s="103">
        <f t="shared" si="21"/>
        <v>0</v>
      </c>
      <c r="AF39" s="103">
        <f t="shared" si="22"/>
        <v>0</v>
      </c>
      <c r="AG39" s="103">
        <f t="shared" si="23"/>
        <v>0</v>
      </c>
      <c r="AH39" s="103">
        <f t="shared" si="24"/>
        <v>0</v>
      </c>
      <c r="AI39" s="103">
        <f t="shared" si="25"/>
        <v>0</v>
      </c>
      <c r="AK39" s="102"/>
      <c r="AL39" s="103">
        <f t="shared" si="15"/>
        <v>0</v>
      </c>
      <c r="AM39" s="103">
        <f t="shared" si="16"/>
        <v>0</v>
      </c>
      <c r="AN39" s="103">
        <f t="shared" si="17"/>
        <v>0</v>
      </c>
      <c r="AO39" s="103">
        <f t="shared" si="18"/>
        <v>0</v>
      </c>
      <c r="AP39" s="103">
        <f t="shared" si="19"/>
        <v>0</v>
      </c>
      <c r="AQ39" s="122"/>
      <c r="AR39" s="103"/>
      <c r="AS39" s="122"/>
      <c r="AT39" s="94"/>
      <c r="AU39" s="94"/>
      <c r="AV39" s="94"/>
    </row>
    <row r="40" spans="1:48" x14ac:dyDescent="0.25">
      <c r="A40" s="152">
        <f t="shared" si="26"/>
        <v>16</v>
      </c>
      <c r="B40" s="97">
        <f t="shared" si="27"/>
        <v>4.46</v>
      </c>
      <c r="C40" s="98">
        <f t="shared" si="0"/>
        <v>4.37</v>
      </c>
      <c r="D40" s="98">
        <f t="shared" si="0"/>
        <v>4.3899999999999997</v>
      </c>
      <c r="E40" s="77">
        <f t="shared" si="1"/>
        <v>0.51</v>
      </c>
      <c r="F40" s="77">
        <f t="shared" si="2"/>
        <v>0.48</v>
      </c>
      <c r="H40" s="77" t="e">
        <f t="shared" si="28"/>
        <v>#N/A</v>
      </c>
      <c r="I40" s="171">
        <f t="shared" si="29"/>
        <v>36693</v>
      </c>
      <c r="J40" s="171">
        <f t="shared" si="20"/>
        <v>36693</v>
      </c>
      <c r="K40" s="154">
        <f t="shared" si="30"/>
        <v>5</v>
      </c>
      <c r="L40" s="154">
        <f t="shared" si="3"/>
        <v>0</v>
      </c>
      <c r="M40" s="154">
        <f t="shared" si="4"/>
        <v>-5</v>
      </c>
      <c r="N40" s="101">
        <f t="shared" si="5"/>
        <v>0</v>
      </c>
      <c r="O40" s="101">
        <f t="shared" si="6"/>
        <v>0</v>
      </c>
      <c r="P40" s="101">
        <f t="shared" si="7"/>
        <v>0</v>
      </c>
      <c r="Q40" s="101">
        <f t="shared" si="8"/>
        <v>0</v>
      </c>
      <c r="R40" s="101">
        <f t="shared" si="9"/>
        <v>0</v>
      </c>
      <c r="S40" s="101">
        <f t="shared" si="10"/>
        <v>0</v>
      </c>
      <c r="T40" s="101">
        <f t="shared" si="11"/>
        <v>0</v>
      </c>
      <c r="U40" s="101">
        <f t="shared" si="12"/>
        <v>0</v>
      </c>
      <c r="V40" s="101">
        <f t="shared" si="13"/>
        <v>0</v>
      </c>
      <c r="W40" s="101">
        <f t="shared" si="14"/>
        <v>0</v>
      </c>
      <c r="Y40" s="78"/>
      <c r="Z40" s="78"/>
      <c r="AA40" s="152"/>
      <c r="AD40" s="102"/>
      <c r="AE40" s="103">
        <f t="shared" si="21"/>
        <v>0</v>
      </c>
      <c r="AF40" s="103">
        <f t="shared" si="22"/>
        <v>0</v>
      </c>
      <c r="AG40" s="103">
        <f t="shared" si="23"/>
        <v>0</v>
      </c>
      <c r="AH40" s="103">
        <f t="shared" si="24"/>
        <v>0</v>
      </c>
      <c r="AI40" s="103">
        <f t="shared" si="25"/>
        <v>0</v>
      </c>
      <c r="AK40" s="102"/>
      <c r="AL40" s="103">
        <f t="shared" si="15"/>
        <v>0</v>
      </c>
      <c r="AM40" s="103">
        <f t="shared" si="16"/>
        <v>0</v>
      </c>
      <c r="AN40" s="103">
        <f t="shared" si="17"/>
        <v>0</v>
      </c>
      <c r="AO40" s="103">
        <f t="shared" si="18"/>
        <v>0</v>
      </c>
      <c r="AP40" s="103">
        <f t="shared" si="19"/>
        <v>0</v>
      </c>
      <c r="AQ40" s="122"/>
      <c r="AR40" s="103"/>
      <c r="AS40" s="122"/>
      <c r="AT40" s="94"/>
      <c r="AU40" s="94"/>
      <c r="AV40" s="94"/>
    </row>
    <row r="41" spans="1:48" x14ac:dyDescent="0.25">
      <c r="A41" s="152">
        <f t="shared" si="26"/>
        <v>17</v>
      </c>
      <c r="B41" s="97">
        <f t="shared" si="27"/>
        <v>4.46</v>
      </c>
      <c r="C41" s="98">
        <f t="shared" si="0"/>
        <v>4.37</v>
      </c>
      <c r="D41" s="98">
        <f t="shared" si="0"/>
        <v>4.3899999999999997</v>
      </c>
      <c r="E41" s="77">
        <f t="shared" si="1"/>
        <v>0.51</v>
      </c>
      <c r="F41" s="77">
        <f t="shared" si="2"/>
        <v>0.48</v>
      </c>
      <c r="H41" s="77" t="e">
        <f t="shared" si="28"/>
        <v>#N/A</v>
      </c>
      <c r="I41" s="171">
        <f t="shared" si="29"/>
        <v>36694</v>
      </c>
      <c r="J41" s="171">
        <f t="shared" si="20"/>
        <v>36693</v>
      </c>
      <c r="K41" s="154">
        <f t="shared" si="30"/>
        <v>6</v>
      </c>
      <c r="L41" s="154">
        <f t="shared" si="3"/>
        <v>0</v>
      </c>
      <c r="M41" s="154">
        <f t="shared" si="4"/>
        <v>-5</v>
      </c>
      <c r="N41" s="101">
        <f t="shared" si="5"/>
        <v>0</v>
      </c>
      <c r="O41" s="101">
        <f t="shared" si="6"/>
        <v>0</v>
      </c>
      <c r="P41" s="101">
        <f t="shared" si="7"/>
        <v>0</v>
      </c>
      <c r="Q41" s="101">
        <f t="shared" si="8"/>
        <v>0</v>
      </c>
      <c r="R41" s="101">
        <f t="shared" si="9"/>
        <v>0</v>
      </c>
      <c r="S41" s="101">
        <f t="shared" si="10"/>
        <v>0</v>
      </c>
      <c r="T41" s="101">
        <f t="shared" si="11"/>
        <v>0</v>
      </c>
      <c r="U41" s="101">
        <f t="shared" si="12"/>
        <v>0</v>
      </c>
      <c r="V41" s="101">
        <f t="shared" si="13"/>
        <v>0</v>
      </c>
      <c r="W41" s="101">
        <f t="shared" si="14"/>
        <v>0</v>
      </c>
      <c r="Y41" s="78"/>
      <c r="Z41" s="78"/>
      <c r="AA41" s="152"/>
      <c r="AD41" s="102"/>
      <c r="AE41" s="103">
        <f t="shared" si="21"/>
        <v>0</v>
      </c>
      <c r="AF41" s="103">
        <f t="shared" si="22"/>
        <v>0</v>
      </c>
      <c r="AG41" s="103">
        <f t="shared" si="23"/>
        <v>0</v>
      </c>
      <c r="AH41" s="103">
        <f t="shared" si="24"/>
        <v>0</v>
      </c>
      <c r="AI41" s="103">
        <f t="shared" si="25"/>
        <v>0</v>
      </c>
      <c r="AK41" s="102"/>
      <c r="AL41" s="103">
        <f t="shared" si="15"/>
        <v>0</v>
      </c>
      <c r="AM41" s="103">
        <f t="shared" si="16"/>
        <v>0</v>
      </c>
      <c r="AN41" s="103">
        <f t="shared" si="17"/>
        <v>0</v>
      </c>
      <c r="AO41" s="103">
        <f t="shared" si="18"/>
        <v>0</v>
      </c>
      <c r="AP41" s="103">
        <f t="shared" si="19"/>
        <v>0</v>
      </c>
      <c r="AQ41" s="122"/>
      <c r="AR41" s="103"/>
      <c r="AS41" s="122"/>
      <c r="AT41" s="94"/>
      <c r="AU41" s="94"/>
      <c r="AV41" s="94"/>
    </row>
    <row r="42" spans="1:48" x14ac:dyDescent="0.25">
      <c r="A42" s="152">
        <f t="shared" si="26"/>
        <v>18</v>
      </c>
      <c r="B42" s="97">
        <f t="shared" si="27"/>
        <v>4.46</v>
      </c>
      <c r="C42" s="98">
        <f t="shared" si="0"/>
        <v>4.37</v>
      </c>
      <c r="D42" s="98">
        <f t="shared" si="0"/>
        <v>4.3899999999999997</v>
      </c>
      <c r="E42" s="77">
        <f t="shared" si="1"/>
        <v>0.51</v>
      </c>
      <c r="F42" s="77">
        <f t="shared" si="2"/>
        <v>0.48</v>
      </c>
      <c r="H42" s="77" t="e">
        <f t="shared" si="28"/>
        <v>#N/A</v>
      </c>
      <c r="I42" s="171">
        <f t="shared" si="29"/>
        <v>36695</v>
      </c>
      <c r="J42" s="171">
        <f t="shared" si="20"/>
        <v>36693</v>
      </c>
      <c r="K42" s="154">
        <f t="shared" si="30"/>
        <v>7</v>
      </c>
      <c r="L42" s="154">
        <f t="shared" si="3"/>
        <v>0</v>
      </c>
      <c r="M42" s="154">
        <f t="shared" si="4"/>
        <v>-5</v>
      </c>
      <c r="N42" s="101">
        <f t="shared" si="5"/>
        <v>0</v>
      </c>
      <c r="O42" s="101">
        <f t="shared" si="6"/>
        <v>0</v>
      </c>
      <c r="P42" s="101">
        <f t="shared" si="7"/>
        <v>0</v>
      </c>
      <c r="Q42" s="101">
        <f t="shared" si="8"/>
        <v>0</v>
      </c>
      <c r="R42" s="101">
        <f t="shared" si="9"/>
        <v>0</v>
      </c>
      <c r="S42" s="101">
        <f t="shared" si="10"/>
        <v>0</v>
      </c>
      <c r="T42" s="101">
        <f t="shared" si="11"/>
        <v>0</v>
      </c>
      <c r="U42" s="101">
        <f t="shared" si="12"/>
        <v>0</v>
      </c>
      <c r="V42" s="101">
        <f t="shared" si="13"/>
        <v>0</v>
      </c>
      <c r="W42" s="101">
        <f t="shared" si="14"/>
        <v>0</v>
      </c>
      <c r="Y42" s="78"/>
      <c r="Z42" s="78"/>
      <c r="AA42" s="152"/>
      <c r="AD42" s="102"/>
      <c r="AE42" s="103">
        <f t="shared" si="21"/>
        <v>0</v>
      </c>
      <c r="AF42" s="103">
        <f t="shared" si="22"/>
        <v>0</v>
      </c>
      <c r="AG42" s="103">
        <f t="shared" si="23"/>
        <v>0</v>
      </c>
      <c r="AH42" s="103">
        <f t="shared" si="24"/>
        <v>0</v>
      </c>
      <c r="AI42" s="103">
        <f t="shared" si="25"/>
        <v>0</v>
      </c>
      <c r="AK42" s="102"/>
      <c r="AL42" s="103">
        <f t="shared" si="15"/>
        <v>0</v>
      </c>
      <c r="AM42" s="103">
        <f t="shared" si="16"/>
        <v>0</v>
      </c>
      <c r="AN42" s="103">
        <f t="shared" si="17"/>
        <v>0</v>
      </c>
      <c r="AO42" s="103">
        <f t="shared" si="18"/>
        <v>0</v>
      </c>
      <c r="AP42" s="103">
        <f t="shared" si="19"/>
        <v>0</v>
      </c>
      <c r="AQ42" s="122"/>
      <c r="AR42" s="103"/>
      <c r="AS42" s="122"/>
      <c r="AT42" s="94"/>
      <c r="AU42" s="94"/>
      <c r="AV42" s="94"/>
    </row>
    <row r="43" spans="1:48" x14ac:dyDescent="0.25">
      <c r="A43" s="152">
        <f t="shared" si="26"/>
        <v>19</v>
      </c>
      <c r="B43" s="97">
        <f t="shared" si="27"/>
        <v>4.46</v>
      </c>
      <c r="C43" s="98">
        <f t="shared" si="0"/>
        <v>4.37</v>
      </c>
      <c r="D43" s="98">
        <f t="shared" si="0"/>
        <v>4.3899999999999997</v>
      </c>
      <c r="E43" s="77">
        <f t="shared" si="1"/>
        <v>0.51</v>
      </c>
      <c r="F43" s="77">
        <f t="shared" si="2"/>
        <v>0.48</v>
      </c>
      <c r="H43" s="77" t="e">
        <f t="shared" si="28"/>
        <v>#N/A</v>
      </c>
      <c r="I43" s="171">
        <f t="shared" si="29"/>
        <v>36696</v>
      </c>
      <c r="J43" s="171">
        <f t="shared" si="20"/>
        <v>36696</v>
      </c>
      <c r="K43" s="154">
        <f t="shared" si="30"/>
        <v>1</v>
      </c>
      <c r="L43" s="154">
        <f t="shared" si="3"/>
        <v>0</v>
      </c>
      <c r="M43" s="154">
        <f t="shared" si="4"/>
        <v>-2</v>
      </c>
      <c r="N43" s="101">
        <f t="shared" si="5"/>
        <v>0</v>
      </c>
      <c r="O43" s="101">
        <f t="shared" si="6"/>
        <v>0</v>
      </c>
      <c r="P43" s="101">
        <f t="shared" si="7"/>
        <v>0</v>
      </c>
      <c r="Q43" s="101">
        <f t="shared" si="8"/>
        <v>0</v>
      </c>
      <c r="R43" s="101">
        <f t="shared" si="9"/>
        <v>0</v>
      </c>
      <c r="S43" s="101">
        <f t="shared" si="10"/>
        <v>0</v>
      </c>
      <c r="T43" s="101">
        <f t="shared" si="11"/>
        <v>0</v>
      </c>
      <c r="U43" s="101">
        <f>IF($L43=0,0,bsd(U$23,U$22,$B43,$D43,$M43,$F43,$H43,0.1))</f>
        <v>0</v>
      </c>
      <c r="V43" s="101">
        <f t="shared" si="13"/>
        <v>0</v>
      </c>
      <c r="W43" s="101">
        <f t="shared" si="14"/>
        <v>0</v>
      </c>
      <c r="Y43" s="78"/>
      <c r="Z43" s="78"/>
      <c r="AA43" s="152"/>
      <c r="AD43" s="102"/>
      <c r="AE43" s="103">
        <f t="shared" si="21"/>
        <v>0</v>
      </c>
      <c r="AF43" s="103">
        <f t="shared" si="22"/>
        <v>0</v>
      </c>
      <c r="AG43" s="103">
        <f t="shared" si="23"/>
        <v>0</v>
      </c>
      <c r="AH43" s="103">
        <f t="shared" si="24"/>
        <v>0</v>
      </c>
      <c r="AI43" s="103">
        <f t="shared" si="25"/>
        <v>0</v>
      </c>
      <c r="AK43" s="102"/>
      <c r="AL43" s="103">
        <f t="shared" si="15"/>
        <v>0</v>
      </c>
      <c r="AM43" s="103">
        <f t="shared" si="16"/>
        <v>0</v>
      </c>
      <c r="AN43" s="103">
        <f t="shared" si="17"/>
        <v>0</v>
      </c>
      <c r="AO43" s="103">
        <f t="shared" si="18"/>
        <v>0</v>
      </c>
      <c r="AP43" s="103">
        <f t="shared" si="19"/>
        <v>0</v>
      </c>
      <c r="AQ43" s="122"/>
      <c r="AR43" s="103"/>
      <c r="AS43" s="122"/>
      <c r="AT43" s="94"/>
      <c r="AU43" s="94"/>
      <c r="AV43" s="94"/>
    </row>
    <row r="44" spans="1:48" x14ac:dyDescent="0.25">
      <c r="A44" s="152">
        <f t="shared" si="26"/>
        <v>20</v>
      </c>
      <c r="B44" s="97">
        <f t="shared" si="27"/>
        <v>4.46</v>
      </c>
      <c r="C44" s="98">
        <f t="shared" si="0"/>
        <v>4.37</v>
      </c>
      <c r="D44" s="98">
        <f t="shared" si="0"/>
        <v>4.3899999999999997</v>
      </c>
      <c r="E44" s="77">
        <f t="shared" si="1"/>
        <v>0.51</v>
      </c>
      <c r="F44" s="77">
        <f t="shared" si="2"/>
        <v>0.48</v>
      </c>
      <c r="H44" s="77" t="e">
        <f t="shared" si="28"/>
        <v>#N/A</v>
      </c>
      <c r="I44" s="171">
        <f t="shared" si="29"/>
        <v>36697</v>
      </c>
      <c r="J44" s="171">
        <f t="shared" si="20"/>
        <v>36697</v>
      </c>
      <c r="K44" s="154">
        <f t="shared" si="30"/>
        <v>2</v>
      </c>
      <c r="L44" s="154">
        <f t="shared" si="3"/>
        <v>0</v>
      </c>
      <c r="M44" s="154">
        <f t="shared" si="4"/>
        <v>-1</v>
      </c>
      <c r="N44" s="101">
        <f t="shared" si="5"/>
        <v>0</v>
      </c>
      <c r="O44" s="101">
        <f t="shared" si="6"/>
        <v>0</v>
      </c>
      <c r="P44" s="101">
        <f t="shared" si="7"/>
        <v>0</v>
      </c>
      <c r="Q44" s="101">
        <f t="shared" si="8"/>
        <v>0</v>
      </c>
      <c r="R44" s="101">
        <f t="shared" si="9"/>
        <v>0</v>
      </c>
      <c r="S44" s="101">
        <f t="shared" si="10"/>
        <v>0</v>
      </c>
      <c r="T44" s="101">
        <f t="shared" si="11"/>
        <v>0</v>
      </c>
      <c r="U44" s="101">
        <f t="shared" si="12"/>
        <v>0</v>
      </c>
      <c r="V44" s="101">
        <f t="shared" si="13"/>
        <v>0</v>
      </c>
      <c r="W44" s="101">
        <f t="shared" si="14"/>
        <v>0</v>
      </c>
      <c r="Y44" s="78"/>
      <c r="Z44" s="78"/>
      <c r="AA44" s="152"/>
      <c r="AD44" s="102"/>
      <c r="AE44" s="103">
        <f t="shared" si="21"/>
        <v>0</v>
      </c>
      <c r="AF44" s="103">
        <f t="shared" si="22"/>
        <v>0</v>
      </c>
      <c r="AG44" s="103">
        <f t="shared" si="23"/>
        <v>0</v>
      </c>
      <c r="AH44" s="103">
        <f t="shared" si="24"/>
        <v>0</v>
      </c>
      <c r="AI44" s="103">
        <f t="shared" si="25"/>
        <v>0</v>
      </c>
      <c r="AK44" s="102"/>
      <c r="AL44" s="103">
        <f t="shared" si="15"/>
        <v>0</v>
      </c>
      <c r="AM44" s="103">
        <f t="shared" si="16"/>
        <v>0</v>
      </c>
      <c r="AN44" s="103">
        <f t="shared" si="17"/>
        <v>0</v>
      </c>
      <c r="AO44" s="103">
        <f t="shared" si="18"/>
        <v>0</v>
      </c>
      <c r="AP44" s="103">
        <f t="shared" si="19"/>
        <v>0</v>
      </c>
      <c r="AQ44" s="122"/>
      <c r="AR44" s="103"/>
      <c r="AS44" s="122"/>
      <c r="AT44" s="94"/>
      <c r="AU44" s="94"/>
      <c r="AV44" s="94"/>
    </row>
    <row r="45" spans="1:48" x14ac:dyDescent="0.25">
      <c r="A45" s="152">
        <f t="shared" si="26"/>
        <v>21</v>
      </c>
      <c r="B45" s="97">
        <f t="shared" si="27"/>
        <v>4.46</v>
      </c>
      <c r="C45" s="98">
        <f t="shared" si="0"/>
        <v>4.37</v>
      </c>
      <c r="D45" s="98">
        <f t="shared" si="0"/>
        <v>4.3899999999999997</v>
      </c>
      <c r="E45" s="77">
        <f t="shared" si="1"/>
        <v>0.51</v>
      </c>
      <c r="F45" s="77">
        <f t="shared" si="2"/>
        <v>0.48</v>
      </c>
      <c r="H45" s="77" t="e">
        <f t="shared" si="28"/>
        <v>#N/A</v>
      </c>
      <c r="I45" s="171">
        <f t="shared" si="29"/>
        <v>36698</v>
      </c>
      <c r="J45" s="171">
        <f t="shared" si="20"/>
        <v>36698</v>
      </c>
      <c r="K45" s="154">
        <f t="shared" si="30"/>
        <v>3</v>
      </c>
      <c r="L45" s="154">
        <f t="shared" si="3"/>
        <v>0</v>
      </c>
      <c r="M45" s="154">
        <f t="shared" si="4"/>
        <v>0</v>
      </c>
      <c r="N45" s="101">
        <f t="shared" si="5"/>
        <v>0</v>
      </c>
      <c r="O45" s="101">
        <f t="shared" si="6"/>
        <v>0</v>
      </c>
      <c r="P45" s="101">
        <f t="shared" si="7"/>
        <v>0</v>
      </c>
      <c r="Q45" s="101">
        <f t="shared" si="8"/>
        <v>0</v>
      </c>
      <c r="R45" s="101">
        <f t="shared" si="9"/>
        <v>0</v>
      </c>
      <c r="S45" s="101">
        <f t="shared" si="10"/>
        <v>0</v>
      </c>
      <c r="T45" s="101">
        <f t="shared" si="11"/>
        <v>0</v>
      </c>
      <c r="U45" s="101">
        <f t="shared" si="12"/>
        <v>0</v>
      </c>
      <c r="V45" s="101">
        <f t="shared" si="13"/>
        <v>0</v>
      </c>
      <c r="W45" s="101">
        <f t="shared" si="14"/>
        <v>0</v>
      </c>
      <c r="Y45" s="78"/>
      <c r="Z45" s="78"/>
      <c r="AA45" s="152"/>
      <c r="AD45" s="102"/>
      <c r="AE45" s="103">
        <f t="shared" si="21"/>
        <v>0</v>
      </c>
      <c r="AF45" s="103">
        <f t="shared" si="22"/>
        <v>0</v>
      </c>
      <c r="AG45" s="103">
        <f t="shared" si="23"/>
        <v>0</v>
      </c>
      <c r="AH45" s="103">
        <f t="shared" si="24"/>
        <v>0</v>
      </c>
      <c r="AI45" s="103">
        <f t="shared" si="25"/>
        <v>0</v>
      </c>
      <c r="AK45" s="102"/>
      <c r="AL45" s="103">
        <f t="shared" si="15"/>
        <v>0</v>
      </c>
      <c r="AM45" s="103">
        <f t="shared" si="16"/>
        <v>0</v>
      </c>
      <c r="AN45" s="103">
        <f t="shared" si="17"/>
        <v>0</v>
      </c>
      <c r="AO45" s="103">
        <f t="shared" si="18"/>
        <v>0</v>
      </c>
      <c r="AP45" s="103">
        <f t="shared" si="19"/>
        <v>0</v>
      </c>
      <c r="AQ45" s="122"/>
      <c r="AR45" s="103"/>
      <c r="AS45" s="122"/>
      <c r="AT45" s="94"/>
      <c r="AU45" s="94"/>
      <c r="AV45" s="94"/>
    </row>
    <row r="46" spans="1:48" x14ac:dyDescent="0.25">
      <c r="A46" s="152">
        <f t="shared" si="26"/>
        <v>22</v>
      </c>
      <c r="B46" s="97">
        <f t="shared" si="27"/>
        <v>4.46</v>
      </c>
      <c r="C46" s="98">
        <f t="shared" si="0"/>
        <v>4.37</v>
      </c>
      <c r="D46" s="98">
        <f t="shared" si="0"/>
        <v>4.3899999999999997</v>
      </c>
      <c r="E46" s="77">
        <f t="shared" si="1"/>
        <v>0.51</v>
      </c>
      <c r="F46" s="77">
        <f t="shared" si="2"/>
        <v>0.48</v>
      </c>
      <c r="H46" s="77" t="e">
        <f t="shared" si="28"/>
        <v>#N/A</v>
      </c>
      <c r="I46" s="171">
        <f t="shared" si="29"/>
        <v>36699</v>
      </c>
      <c r="J46" s="171">
        <f t="shared" si="20"/>
        <v>36699</v>
      </c>
      <c r="K46" s="154">
        <f t="shared" si="30"/>
        <v>4</v>
      </c>
      <c r="L46" s="154">
        <f t="shared" si="3"/>
        <v>1</v>
      </c>
      <c r="M46" s="154">
        <f t="shared" si="4"/>
        <v>1</v>
      </c>
      <c r="N46" s="101" t="e">
        <f t="shared" si="5"/>
        <v>#VALUE!</v>
      </c>
      <c r="O46" s="101" t="e">
        <f t="shared" si="6"/>
        <v>#VALUE!</v>
      </c>
      <c r="P46" s="101" t="e">
        <f t="shared" si="7"/>
        <v>#VALUE!</v>
      </c>
      <c r="Q46" s="101" t="e">
        <f t="shared" si="8"/>
        <v>#VALUE!</v>
      </c>
      <c r="R46" s="101" t="e">
        <f t="shared" si="9"/>
        <v>#VALUE!</v>
      </c>
      <c r="S46" s="101" t="e">
        <f t="shared" si="10"/>
        <v>#VALUE!</v>
      </c>
      <c r="T46" s="101" t="e">
        <f t="shared" si="11"/>
        <v>#VALUE!</v>
      </c>
      <c r="U46" s="101" t="e">
        <f t="shared" si="12"/>
        <v>#VALUE!</v>
      </c>
      <c r="V46" s="101" t="e">
        <f t="shared" si="13"/>
        <v>#VALUE!</v>
      </c>
      <c r="W46" s="101" t="e">
        <f t="shared" si="14"/>
        <v>#VALUE!</v>
      </c>
      <c r="Y46" s="78"/>
      <c r="Z46" s="78"/>
      <c r="AA46" s="152"/>
      <c r="AD46" s="102"/>
      <c r="AE46" s="103" t="e">
        <f t="shared" si="21"/>
        <v>#VALUE!</v>
      </c>
      <c r="AF46" s="103" t="e">
        <f t="shared" si="22"/>
        <v>#VALUE!</v>
      </c>
      <c r="AG46" s="103" t="e">
        <f t="shared" si="23"/>
        <v>#VALUE!</v>
      </c>
      <c r="AH46" s="103" t="e">
        <f t="shared" si="24"/>
        <v>#VALUE!</v>
      </c>
      <c r="AI46" s="103" t="e">
        <f t="shared" si="25"/>
        <v>#VALUE!</v>
      </c>
      <c r="AK46" s="102"/>
      <c r="AL46" s="103" t="e">
        <f t="shared" si="15"/>
        <v>#VALUE!</v>
      </c>
      <c r="AM46" s="103" t="e">
        <f t="shared" si="16"/>
        <v>#VALUE!</v>
      </c>
      <c r="AN46" s="103" t="e">
        <f t="shared" si="17"/>
        <v>#VALUE!</v>
      </c>
      <c r="AO46" s="103" t="e">
        <f t="shared" si="18"/>
        <v>#VALUE!</v>
      </c>
      <c r="AP46" s="103" t="e">
        <f t="shared" si="19"/>
        <v>#VALUE!</v>
      </c>
      <c r="AQ46" s="122"/>
      <c r="AR46" s="103"/>
      <c r="AS46" s="122"/>
      <c r="AT46" s="94"/>
      <c r="AU46" s="94"/>
      <c r="AV46" s="94"/>
    </row>
    <row r="47" spans="1:48" x14ac:dyDescent="0.25">
      <c r="A47" s="152">
        <f t="shared" si="26"/>
        <v>23</v>
      </c>
      <c r="B47" s="97">
        <f t="shared" si="27"/>
        <v>4.46</v>
      </c>
      <c r="C47" s="98">
        <f t="shared" si="0"/>
        <v>4.37</v>
      </c>
      <c r="D47" s="98">
        <f t="shared" si="0"/>
        <v>4.3899999999999997</v>
      </c>
      <c r="E47" s="77">
        <f t="shared" si="1"/>
        <v>0.51</v>
      </c>
      <c r="F47" s="77">
        <f t="shared" si="2"/>
        <v>0.48</v>
      </c>
      <c r="H47" s="77" t="e">
        <f t="shared" si="28"/>
        <v>#N/A</v>
      </c>
      <c r="I47" s="171">
        <f t="shared" si="29"/>
        <v>36700</v>
      </c>
      <c r="J47" s="171">
        <f t="shared" si="20"/>
        <v>36700</v>
      </c>
      <c r="K47" s="154">
        <f t="shared" si="30"/>
        <v>5</v>
      </c>
      <c r="L47" s="154">
        <f t="shared" si="3"/>
        <v>1</v>
      </c>
      <c r="M47" s="154">
        <f t="shared" si="4"/>
        <v>2</v>
      </c>
      <c r="N47" s="101" t="e">
        <f t="shared" si="5"/>
        <v>#VALUE!</v>
      </c>
      <c r="O47" s="101" t="e">
        <f t="shared" si="6"/>
        <v>#VALUE!</v>
      </c>
      <c r="P47" s="101" t="e">
        <f t="shared" si="7"/>
        <v>#VALUE!</v>
      </c>
      <c r="Q47" s="101" t="e">
        <f t="shared" si="8"/>
        <v>#VALUE!</v>
      </c>
      <c r="R47" s="101" t="e">
        <f t="shared" si="9"/>
        <v>#VALUE!</v>
      </c>
      <c r="S47" s="101" t="e">
        <f t="shared" si="10"/>
        <v>#VALUE!</v>
      </c>
      <c r="T47" s="101" t="e">
        <f t="shared" si="11"/>
        <v>#VALUE!</v>
      </c>
      <c r="U47" s="101" t="e">
        <f t="shared" si="12"/>
        <v>#VALUE!</v>
      </c>
      <c r="V47" s="101" t="e">
        <f t="shared" si="13"/>
        <v>#VALUE!</v>
      </c>
      <c r="W47" s="101" t="e">
        <f t="shared" si="14"/>
        <v>#VALUE!</v>
      </c>
      <c r="Y47" s="78"/>
      <c r="Z47" s="78"/>
      <c r="AA47" s="152"/>
      <c r="AD47" s="102"/>
      <c r="AE47" s="103" t="e">
        <f t="shared" si="21"/>
        <v>#VALUE!</v>
      </c>
      <c r="AF47" s="103" t="e">
        <f t="shared" si="22"/>
        <v>#VALUE!</v>
      </c>
      <c r="AG47" s="103" t="e">
        <f t="shared" si="23"/>
        <v>#VALUE!</v>
      </c>
      <c r="AH47" s="103" t="e">
        <f t="shared" si="24"/>
        <v>#VALUE!</v>
      </c>
      <c r="AI47" s="103" t="e">
        <f t="shared" si="25"/>
        <v>#VALUE!</v>
      </c>
      <c r="AK47" s="102"/>
      <c r="AL47" s="103" t="e">
        <f t="shared" si="15"/>
        <v>#VALUE!</v>
      </c>
      <c r="AM47" s="103" t="e">
        <f t="shared" si="16"/>
        <v>#VALUE!</v>
      </c>
      <c r="AN47" s="103" t="e">
        <f t="shared" si="17"/>
        <v>#VALUE!</v>
      </c>
      <c r="AO47" s="103" t="e">
        <f t="shared" si="18"/>
        <v>#VALUE!</v>
      </c>
      <c r="AP47" s="103" t="e">
        <f t="shared" si="19"/>
        <v>#VALUE!</v>
      </c>
      <c r="AQ47" s="122"/>
      <c r="AR47" s="103"/>
      <c r="AS47" s="122"/>
      <c r="AT47" s="94"/>
      <c r="AU47" s="94"/>
      <c r="AV47" s="94"/>
    </row>
    <row r="48" spans="1:48" x14ac:dyDescent="0.25">
      <c r="A48" s="152">
        <f t="shared" si="26"/>
        <v>24</v>
      </c>
      <c r="B48" s="97">
        <f t="shared" si="27"/>
        <v>4.46</v>
      </c>
      <c r="C48" s="98">
        <f t="shared" si="0"/>
        <v>4.37</v>
      </c>
      <c r="D48" s="98">
        <f t="shared" si="0"/>
        <v>4.3899999999999997</v>
      </c>
      <c r="E48" s="77">
        <f t="shared" si="1"/>
        <v>0.51</v>
      </c>
      <c r="F48" s="77">
        <f t="shared" si="2"/>
        <v>0.48</v>
      </c>
      <c r="H48" s="77" t="e">
        <f t="shared" si="28"/>
        <v>#N/A</v>
      </c>
      <c r="I48" s="171">
        <f t="shared" si="29"/>
        <v>36701</v>
      </c>
      <c r="J48" s="171">
        <f t="shared" si="20"/>
        <v>36700</v>
      </c>
      <c r="K48" s="154">
        <f t="shared" si="30"/>
        <v>6</v>
      </c>
      <c r="L48" s="154">
        <f t="shared" si="3"/>
        <v>1</v>
      </c>
      <c r="M48" s="154">
        <f t="shared" si="4"/>
        <v>2</v>
      </c>
      <c r="N48" s="101" t="e">
        <f t="shared" si="5"/>
        <v>#VALUE!</v>
      </c>
      <c r="O48" s="101" t="e">
        <f t="shared" si="6"/>
        <v>#VALUE!</v>
      </c>
      <c r="P48" s="101" t="e">
        <f t="shared" si="7"/>
        <v>#VALUE!</v>
      </c>
      <c r="Q48" s="101" t="e">
        <f t="shared" si="8"/>
        <v>#VALUE!</v>
      </c>
      <c r="R48" s="101" t="e">
        <f t="shared" si="9"/>
        <v>#VALUE!</v>
      </c>
      <c r="S48" s="101" t="e">
        <f t="shared" si="10"/>
        <v>#VALUE!</v>
      </c>
      <c r="T48" s="101" t="e">
        <f t="shared" si="11"/>
        <v>#VALUE!</v>
      </c>
      <c r="U48" s="101" t="e">
        <f t="shared" si="12"/>
        <v>#VALUE!</v>
      </c>
      <c r="V48" s="101" t="e">
        <f t="shared" si="13"/>
        <v>#VALUE!</v>
      </c>
      <c r="W48" s="101" t="e">
        <f t="shared" si="14"/>
        <v>#VALUE!</v>
      </c>
      <c r="Y48" s="78"/>
      <c r="Z48" s="78"/>
      <c r="AA48" s="152"/>
      <c r="AD48" s="102"/>
      <c r="AE48" s="103" t="e">
        <f t="shared" si="21"/>
        <v>#VALUE!</v>
      </c>
      <c r="AF48" s="103" t="e">
        <f t="shared" si="22"/>
        <v>#VALUE!</v>
      </c>
      <c r="AG48" s="103" t="e">
        <f t="shared" si="23"/>
        <v>#VALUE!</v>
      </c>
      <c r="AH48" s="103" t="e">
        <f t="shared" si="24"/>
        <v>#VALUE!</v>
      </c>
      <c r="AI48" s="103" t="e">
        <f t="shared" si="25"/>
        <v>#VALUE!</v>
      </c>
      <c r="AK48" s="102"/>
      <c r="AL48" s="103" t="e">
        <f t="shared" si="15"/>
        <v>#VALUE!</v>
      </c>
      <c r="AM48" s="103" t="e">
        <f t="shared" si="16"/>
        <v>#VALUE!</v>
      </c>
      <c r="AN48" s="103" t="e">
        <f t="shared" si="17"/>
        <v>#VALUE!</v>
      </c>
      <c r="AO48" s="103" t="e">
        <f t="shared" si="18"/>
        <v>#VALUE!</v>
      </c>
      <c r="AP48" s="103" t="e">
        <f t="shared" si="19"/>
        <v>#VALUE!</v>
      </c>
      <c r="AQ48" s="122"/>
      <c r="AR48" s="103"/>
      <c r="AS48" s="122"/>
      <c r="AT48" s="94"/>
      <c r="AU48" s="94"/>
      <c r="AV48" s="94"/>
    </row>
    <row r="49" spans="1:48" x14ac:dyDescent="0.25">
      <c r="A49" s="152">
        <f t="shared" si="26"/>
        <v>25</v>
      </c>
      <c r="B49" s="97">
        <f t="shared" si="27"/>
        <v>4.46</v>
      </c>
      <c r="C49" s="98">
        <f t="shared" si="0"/>
        <v>4.37</v>
      </c>
      <c r="D49" s="98">
        <f t="shared" si="0"/>
        <v>4.3899999999999997</v>
      </c>
      <c r="E49" s="77">
        <f t="shared" si="1"/>
        <v>0.51</v>
      </c>
      <c r="F49" s="77">
        <f t="shared" si="2"/>
        <v>0.48</v>
      </c>
      <c r="H49" s="77" t="e">
        <f t="shared" si="28"/>
        <v>#N/A</v>
      </c>
      <c r="I49" s="171">
        <f t="shared" si="29"/>
        <v>36702</v>
      </c>
      <c r="J49" s="171">
        <f t="shared" si="20"/>
        <v>36700</v>
      </c>
      <c r="K49" s="154">
        <f t="shared" si="30"/>
        <v>7</v>
      </c>
      <c r="L49" s="154">
        <f t="shared" si="3"/>
        <v>1</v>
      </c>
      <c r="M49" s="154">
        <f t="shared" si="4"/>
        <v>2</v>
      </c>
      <c r="N49" s="101" t="e">
        <f t="shared" si="5"/>
        <v>#VALUE!</v>
      </c>
      <c r="O49" s="101" t="e">
        <f t="shared" si="6"/>
        <v>#VALUE!</v>
      </c>
      <c r="P49" s="101" t="e">
        <f t="shared" si="7"/>
        <v>#VALUE!</v>
      </c>
      <c r="Q49" s="101" t="e">
        <f t="shared" si="8"/>
        <v>#VALUE!</v>
      </c>
      <c r="R49" s="101" t="e">
        <f t="shared" si="9"/>
        <v>#VALUE!</v>
      </c>
      <c r="S49" s="101" t="e">
        <f t="shared" si="10"/>
        <v>#VALUE!</v>
      </c>
      <c r="T49" s="101" t="e">
        <f t="shared" si="11"/>
        <v>#VALUE!</v>
      </c>
      <c r="U49" s="101" t="e">
        <f t="shared" si="12"/>
        <v>#VALUE!</v>
      </c>
      <c r="V49" s="101" t="e">
        <f t="shared" si="13"/>
        <v>#VALUE!</v>
      </c>
      <c r="W49" s="101" t="e">
        <f t="shared" si="14"/>
        <v>#VALUE!</v>
      </c>
      <c r="Y49" s="78"/>
      <c r="Z49" s="78"/>
      <c r="AA49" s="152"/>
      <c r="AD49" s="102"/>
      <c r="AE49" s="103" t="e">
        <f t="shared" si="21"/>
        <v>#VALUE!</v>
      </c>
      <c r="AF49" s="103" t="e">
        <f t="shared" si="22"/>
        <v>#VALUE!</v>
      </c>
      <c r="AG49" s="103" t="e">
        <f t="shared" si="23"/>
        <v>#VALUE!</v>
      </c>
      <c r="AH49" s="103" t="e">
        <f t="shared" si="24"/>
        <v>#VALUE!</v>
      </c>
      <c r="AI49" s="103" t="e">
        <f t="shared" si="25"/>
        <v>#VALUE!</v>
      </c>
      <c r="AK49" s="102"/>
      <c r="AL49" s="103" t="e">
        <f t="shared" si="15"/>
        <v>#VALUE!</v>
      </c>
      <c r="AM49" s="103" t="e">
        <f t="shared" si="16"/>
        <v>#VALUE!</v>
      </c>
      <c r="AN49" s="103" t="e">
        <f t="shared" si="17"/>
        <v>#VALUE!</v>
      </c>
      <c r="AO49" s="103" t="e">
        <f t="shared" si="18"/>
        <v>#VALUE!</v>
      </c>
      <c r="AP49" s="103" t="e">
        <f t="shared" si="19"/>
        <v>#VALUE!</v>
      </c>
      <c r="AQ49" s="122"/>
      <c r="AR49" s="103"/>
      <c r="AS49" s="122"/>
      <c r="AT49" s="94"/>
      <c r="AU49" s="94"/>
      <c r="AV49" s="94"/>
    </row>
    <row r="50" spans="1:48" x14ac:dyDescent="0.25">
      <c r="A50" s="152">
        <f t="shared" si="26"/>
        <v>26</v>
      </c>
      <c r="B50" s="97">
        <f t="shared" si="27"/>
        <v>4.46</v>
      </c>
      <c r="C50" s="98">
        <f t="shared" si="0"/>
        <v>4.37</v>
      </c>
      <c r="D50" s="98">
        <f t="shared" si="0"/>
        <v>4.3899999999999997</v>
      </c>
      <c r="E50" s="77">
        <f t="shared" si="1"/>
        <v>0.51</v>
      </c>
      <c r="F50" s="77">
        <f t="shared" si="2"/>
        <v>0.48</v>
      </c>
      <c r="H50" s="77" t="e">
        <f t="shared" si="28"/>
        <v>#N/A</v>
      </c>
      <c r="I50" s="171">
        <f t="shared" si="29"/>
        <v>36703</v>
      </c>
      <c r="J50" s="171">
        <f t="shared" si="20"/>
        <v>36703</v>
      </c>
      <c r="K50" s="154">
        <f t="shared" si="30"/>
        <v>1</v>
      </c>
      <c r="L50" s="154">
        <f t="shared" si="3"/>
        <v>1</v>
      </c>
      <c r="M50" s="154">
        <f t="shared" si="4"/>
        <v>5</v>
      </c>
      <c r="N50" s="101" t="e">
        <f t="shared" si="5"/>
        <v>#VALUE!</v>
      </c>
      <c r="O50" s="101" t="e">
        <f t="shared" si="6"/>
        <v>#VALUE!</v>
      </c>
      <c r="P50" s="101" t="e">
        <f t="shared" si="7"/>
        <v>#VALUE!</v>
      </c>
      <c r="Q50" s="101" t="e">
        <f t="shared" si="8"/>
        <v>#VALUE!</v>
      </c>
      <c r="R50" s="101" t="e">
        <f t="shared" si="9"/>
        <v>#VALUE!</v>
      </c>
      <c r="S50" s="101" t="e">
        <f t="shared" si="10"/>
        <v>#VALUE!</v>
      </c>
      <c r="T50" s="101" t="e">
        <f t="shared" si="11"/>
        <v>#VALUE!</v>
      </c>
      <c r="U50" s="101" t="e">
        <f t="shared" si="12"/>
        <v>#VALUE!</v>
      </c>
      <c r="V50" s="101" t="e">
        <f t="shared" si="13"/>
        <v>#VALUE!</v>
      </c>
      <c r="W50" s="101" t="e">
        <f t="shared" si="14"/>
        <v>#VALUE!</v>
      </c>
      <c r="Y50" s="78"/>
      <c r="Z50" s="78"/>
      <c r="AA50" s="152"/>
      <c r="AD50" s="102"/>
      <c r="AE50" s="103" t="e">
        <f t="shared" si="21"/>
        <v>#VALUE!</v>
      </c>
      <c r="AF50" s="103" t="e">
        <f t="shared" si="22"/>
        <v>#VALUE!</v>
      </c>
      <c r="AG50" s="103" t="e">
        <f t="shared" si="23"/>
        <v>#VALUE!</v>
      </c>
      <c r="AH50" s="103" t="e">
        <f t="shared" si="24"/>
        <v>#VALUE!</v>
      </c>
      <c r="AI50" s="103" t="e">
        <f t="shared" si="25"/>
        <v>#VALUE!</v>
      </c>
      <c r="AK50" s="102"/>
      <c r="AL50" s="103" t="e">
        <f t="shared" si="15"/>
        <v>#VALUE!</v>
      </c>
      <c r="AM50" s="103" t="e">
        <f t="shared" si="16"/>
        <v>#VALUE!</v>
      </c>
      <c r="AN50" s="103" t="e">
        <f t="shared" si="17"/>
        <v>#VALUE!</v>
      </c>
      <c r="AO50" s="103" t="e">
        <f t="shared" si="18"/>
        <v>#VALUE!</v>
      </c>
      <c r="AP50" s="103" t="e">
        <f t="shared" si="19"/>
        <v>#VALUE!</v>
      </c>
      <c r="AQ50" s="122"/>
      <c r="AR50" s="103"/>
      <c r="AS50" s="122"/>
      <c r="AT50" s="94"/>
      <c r="AU50" s="94"/>
      <c r="AV50" s="94"/>
    </row>
    <row r="51" spans="1:48" x14ac:dyDescent="0.25">
      <c r="A51" s="152">
        <f t="shared" si="26"/>
        <v>27</v>
      </c>
      <c r="B51" s="97">
        <f t="shared" si="27"/>
        <v>4.46</v>
      </c>
      <c r="C51" s="98">
        <f t="shared" si="0"/>
        <v>4.37</v>
      </c>
      <c r="D51" s="98">
        <f t="shared" si="0"/>
        <v>4.3899999999999997</v>
      </c>
      <c r="E51" s="77">
        <f t="shared" si="1"/>
        <v>0.51</v>
      </c>
      <c r="F51" s="77">
        <f t="shared" si="2"/>
        <v>0.48</v>
      </c>
      <c r="H51" s="77" t="e">
        <f t="shared" si="28"/>
        <v>#N/A</v>
      </c>
      <c r="I51" s="171">
        <f t="shared" si="29"/>
        <v>36704</v>
      </c>
      <c r="J51" s="171">
        <f t="shared" si="20"/>
        <v>36704</v>
      </c>
      <c r="K51" s="154">
        <f t="shared" si="30"/>
        <v>2</v>
      </c>
      <c r="L51" s="154">
        <f t="shared" si="3"/>
        <v>1</v>
      </c>
      <c r="M51" s="154">
        <f t="shared" si="4"/>
        <v>6</v>
      </c>
      <c r="N51" s="101" t="e">
        <f t="shared" si="5"/>
        <v>#VALUE!</v>
      </c>
      <c r="O51" s="101" t="e">
        <f t="shared" si="6"/>
        <v>#VALUE!</v>
      </c>
      <c r="P51" s="101" t="e">
        <f t="shared" si="7"/>
        <v>#VALUE!</v>
      </c>
      <c r="Q51" s="101" t="e">
        <f t="shared" si="8"/>
        <v>#VALUE!</v>
      </c>
      <c r="R51" s="101" t="e">
        <f t="shared" si="9"/>
        <v>#VALUE!</v>
      </c>
      <c r="S51" s="101" t="e">
        <f t="shared" si="10"/>
        <v>#VALUE!</v>
      </c>
      <c r="T51" s="101" t="e">
        <f t="shared" si="11"/>
        <v>#VALUE!</v>
      </c>
      <c r="U51" s="101" t="e">
        <f t="shared" si="12"/>
        <v>#VALUE!</v>
      </c>
      <c r="V51" s="101" t="e">
        <f t="shared" si="13"/>
        <v>#VALUE!</v>
      </c>
      <c r="W51" s="101" t="e">
        <f t="shared" si="14"/>
        <v>#VALUE!</v>
      </c>
      <c r="Y51" s="78"/>
      <c r="Z51" s="78"/>
      <c r="AA51" s="152"/>
      <c r="AD51" s="102"/>
      <c r="AE51" s="103" t="e">
        <f t="shared" si="21"/>
        <v>#VALUE!</v>
      </c>
      <c r="AF51" s="103" t="e">
        <f t="shared" si="22"/>
        <v>#VALUE!</v>
      </c>
      <c r="AG51" s="103" t="e">
        <f t="shared" si="23"/>
        <v>#VALUE!</v>
      </c>
      <c r="AH51" s="103" t="e">
        <f t="shared" si="24"/>
        <v>#VALUE!</v>
      </c>
      <c r="AI51" s="103" t="e">
        <f t="shared" si="25"/>
        <v>#VALUE!</v>
      </c>
      <c r="AK51" s="102"/>
      <c r="AL51" s="103" t="e">
        <f t="shared" si="15"/>
        <v>#VALUE!</v>
      </c>
      <c r="AM51" s="103" t="e">
        <f t="shared" si="16"/>
        <v>#VALUE!</v>
      </c>
      <c r="AN51" s="103" t="e">
        <f t="shared" si="17"/>
        <v>#VALUE!</v>
      </c>
      <c r="AO51" s="103" t="e">
        <f t="shared" si="18"/>
        <v>#VALUE!</v>
      </c>
      <c r="AP51" s="103" t="e">
        <f t="shared" si="19"/>
        <v>#VALUE!</v>
      </c>
      <c r="AQ51" s="122"/>
      <c r="AR51" s="103"/>
      <c r="AS51" s="122"/>
      <c r="AT51" s="94"/>
      <c r="AU51" s="94"/>
      <c r="AV51" s="94"/>
    </row>
    <row r="52" spans="1:48" x14ac:dyDescent="0.25">
      <c r="A52" s="152">
        <f t="shared" si="26"/>
        <v>28</v>
      </c>
      <c r="B52" s="97">
        <f t="shared" si="27"/>
        <v>4.46</v>
      </c>
      <c r="C52" s="98">
        <f t="shared" si="0"/>
        <v>4.37</v>
      </c>
      <c r="D52" s="98">
        <f t="shared" si="0"/>
        <v>4.3899999999999997</v>
      </c>
      <c r="E52" s="77">
        <f t="shared" si="1"/>
        <v>0.51</v>
      </c>
      <c r="F52" s="77">
        <f t="shared" si="2"/>
        <v>0.48</v>
      </c>
      <c r="H52" s="77" t="e">
        <f t="shared" si="28"/>
        <v>#N/A</v>
      </c>
      <c r="I52" s="171">
        <f t="shared" si="29"/>
        <v>36705</v>
      </c>
      <c r="J52" s="171">
        <f t="shared" si="20"/>
        <v>36705</v>
      </c>
      <c r="K52" s="154">
        <f t="shared" si="30"/>
        <v>3</v>
      </c>
      <c r="L52" s="154">
        <f t="shared" si="3"/>
        <v>1</v>
      </c>
      <c r="M52" s="154">
        <f t="shared" si="4"/>
        <v>7</v>
      </c>
      <c r="N52" s="101" t="e">
        <f t="shared" si="5"/>
        <v>#VALUE!</v>
      </c>
      <c r="O52" s="101" t="e">
        <f t="shared" si="6"/>
        <v>#VALUE!</v>
      </c>
      <c r="P52" s="101" t="e">
        <f t="shared" si="7"/>
        <v>#VALUE!</v>
      </c>
      <c r="Q52" s="101" t="e">
        <f t="shared" si="8"/>
        <v>#VALUE!</v>
      </c>
      <c r="R52" s="101" t="e">
        <f t="shared" si="9"/>
        <v>#VALUE!</v>
      </c>
      <c r="S52" s="101" t="e">
        <f t="shared" si="10"/>
        <v>#VALUE!</v>
      </c>
      <c r="T52" s="101" t="e">
        <f t="shared" si="11"/>
        <v>#VALUE!</v>
      </c>
      <c r="U52" s="101" t="e">
        <f t="shared" si="12"/>
        <v>#VALUE!</v>
      </c>
      <c r="V52" s="101" t="e">
        <f t="shared" si="13"/>
        <v>#VALUE!</v>
      </c>
      <c r="W52" s="101" t="e">
        <f t="shared" si="14"/>
        <v>#VALUE!</v>
      </c>
      <c r="Y52" s="78"/>
      <c r="Z52" s="78"/>
      <c r="AA52" s="152"/>
      <c r="AD52" s="102"/>
      <c r="AE52" s="103" t="e">
        <f t="shared" si="21"/>
        <v>#VALUE!</v>
      </c>
      <c r="AF52" s="103" t="e">
        <f t="shared" si="22"/>
        <v>#VALUE!</v>
      </c>
      <c r="AG52" s="103" t="e">
        <f t="shared" si="23"/>
        <v>#VALUE!</v>
      </c>
      <c r="AH52" s="103" t="e">
        <f t="shared" si="24"/>
        <v>#VALUE!</v>
      </c>
      <c r="AI52" s="103" t="e">
        <f t="shared" si="25"/>
        <v>#VALUE!</v>
      </c>
      <c r="AK52" s="102"/>
      <c r="AL52" s="103" t="e">
        <f t="shared" si="15"/>
        <v>#VALUE!</v>
      </c>
      <c r="AM52" s="103" t="e">
        <f t="shared" si="16"/>
        <v>#VALUE!</v>
      </c>
      <c r="AN52" s="103" t="e">
        <f t="shared" si="17"/>
        <v>#VALUE!</v>
      </c>
      <c r="AO52" s="103" t="e">
        <f t="shared" si="18"/>
        <v>#VALUE!</v>
      </c>
      <c r="AP52" s="103" t="e">
        <f t="shared" si="19"/>
        <v>#VALUE!</v>
      </c>
      <c r="AQ52" s="122"/>
      <c r="AR52" s="103"/>
      <c r="AS52" s="122"/>
      <c r="AT52" s="94"/>
      <c r="AU52" s="94"/>
      <c r="AV52" s="94"/>
    </row>
    <row r="53" spans="1:48" x14ac:dyDescent="0.25">
      <c r="A53" s="152">
        <f t="shared" si="26"/>
        <v>29</v>
      </c>
      <c r="B53" s="97">
        <f t="shared" si="27"/>
        <v>4.46</v>
      </c>
      <c r="C53" s="98">
        <f t="shared" si="0"/>
        <v>4.37</v>
      </c>
      <c r="D53" s="98">
        <f t="shared" si="0"/>
        <v>4.3899999999999997</v>
      </c>
      <c r="E53" s="77">
        <f t="shared" si="1"/>
        <v>0.51</v>
      </c>
      <c r="F53" s="77">
        <f t="shared" si="2"/>
        <v>0.48</v>
      </c>
      <c r="H53" s="77" t="e">
        <f t="shared" si="28"/>
        <v>#N/A</v>
      </c>
      <c r="I53" s="171">
        <f t="shared" si="29"/>
        <v>36706</v>
      </c>
      <c r="J53" s="171">
        <f t="shared" si="20"/>
        <v>36706</v>
      </c>
      <c r="K53" s="154">
        <f t="shared" si="30"/>
        <v>4</v>
      </c>
      <c r="L53" s="154">
        <f t="shared" si="3"/>
        <v>1</v>
      </c>
      <c r="M53" s="154">
        <f t="shared" si="4"/>
        <v>8</v>
      </c>
      <c r="N53" s="101" t="e">
        <f t="shared" si="5"/>
        <v>#VALUE!</v>
      </c>
      <c r="O53" s="101" t="e">
        <f t="shared" si="6"/>
        <v>#VALUE!</v>
      </c>
      <c r="P53" s="101" t="e">
        <f t="shared" si="7"/>
        <v>#VALUE!</v>
      </c>
      <c r="Q53" s="101" t="e">
        <f t="shared" si="8"/>
        <v>#VALUE!</v>
      </c>
      <c r="R53" s="101" t="e">
        <f t="shared" si="9"/>
        <v>#VALUE!</v>
      </c>
      <c r="S53" s="101" t="e">
        <f t="shared" si="10"/>
        <v>#VALUE!</v>
      </c>
      <c r="T53" s="101" t="e">
        <f t="shared" si="11"/>
        <v>#VALUE!</v>
      </c>
      <c r="U53" s="101" t="e">
        <f t="shared" si="12"/>
        <v>#VALUE!</v>
      </c>
      <c r="V53" s="101" t="e">
        <f t="shared" si="13"/>
        <v>#VALUE!</v>
      </c>
      <c r="W53" s="101" t="e">
        <f t="shared" si="14"/>
        <v>#VALUE!</v>
      </c>
      <c r="Y53" s="78"/>
      <c r="Z53" s="78"/>
      <c r="AA53" s="152"/>
      <c r="AD53" s="102"/>
      <c r="AE53" s="103" t="e">
        <f t="shared" si="21"/>
        <v>#VALUE!</v>
      </c>
      <c r="AF53" s="103" t="e">
        <f t="shared" si="22"/>
        <v>#VALUE!</v>
      </c>
      <c r="AG53" s="103" t="e">
        <f t="shared" si="23"/>
        <v>#VALUE!</v>
      </c>
      <c r="AH53" s="103" t="e">
        <f t="shared" si="24"/>
        <v>#VALUE!</v>
      </c>
      <c r="AI53" s="103" t="e">
        <f t="shared" si="25"/>
        <v>#VALUE!</v>
      </c>
      <c r="AK53" s="102"/>
      <c r="AL53" s="103" t="e">
        <f t="shared" si="15"/>
        <v>#VALUE!</v>
      </c>
      <c r="AM53" s="103" t="e">
        <f t="shared" si="16"/>
        <v>#VALUE!</v>
      </c>
      <c r="AN53" s="103" t="e">
        <f t="shared" si="17"/>
        <v>#VALUE!</v>
      </c>
      <c r="AO53" s="103" t="e">
        <f t="shared" si="18"/>
        <v>#VALUE!</v>
      </c>
      <c r="AP53" s="103" t="e">
        <f t="shared" si="19"/>
        <v>#VALUE!</v>
      </c>
      <c r="AQ53" s="122"/>
      <c r="AR53" s="103"/>
      <c r="AS53" s="122"/>
      <c r="AT53" s="94"/>
      <c r="AU53" s="94"/>
      <c r="AV53" s="94"/>
    </row>
    <row r="54" spans="1:48" x14ac:dyDescent="0.25">
      <c r="A54" s="152">
        <f t="shared" si="26"/>
        <v>30</v>
      </c>
      <c r="B54" s="97">
        <f t="shared" si="27"/>
        <v>4.46</v>
      </c>
      <c r="C54" s="98">
        <f t="shared" si="0"/>
        <v>4.37</v>
      </c>
      <c r="D54" s="98">
        <f t="shared" si="0"/>
        <v>4.3899999999999997</v>
      </c>
      <c r="E54" s="77">
        <f t="shared" si="1"/>
        <v>0.51</v>
      </c>
      <c r="F54" s="77">
        <f t="shared" si="2"/>
        <v>0.48</v>
      </c>
      <c r="H54" s="77" t="e">
        <f t="shared" si="28"/>
        <v>#N/A</v>
      </c>
      <c r="I54" s="171">
        <f t="shared" si="29"/>
        <v>36707</v>
      </c>
      <c r="J54" s="171">
        <f t="shared" si="20"/>
        <v>36707</v>
      </c>
      <c r="K54" s="154">
        <f t="shared" si="30"/>
        <v>5</v>
      </c>
      <c r="L54" s="154">
        <f t="shared" si="3"/>
        <v>1</v>
      </c>
      <c r="M54" s="154">
        <f t="shared" si="4"/>
        <v>9</v>
      </c>
      <c r="N54" s="101" t="e">
        <f t="shared" si="5"/>
        <v>#VALUE!</v>
      </c>
      <c r="O54" s="101" t="e">
        <f t="shared" si="6"/>
        <v>#VALUE!</v>
      </c>
      <c r="P54" s="101" t="e">
        <f t="shared" si="7"/>
        <v>#VALUE!</v>
      </c>
      <c r="Q54" s="101" t="e">
        <f t="shared" si="8"/>
        <v>#VALUE!</v>
      </c>
      <c r="R54" s="101" t="e">
        <f t="shared" si="9"/>
        <v>#VALUE!</v>
      </c>
      <c r="S54" s="101" t="e">
        <f t="shared" si="10"/>
        <v>#VALUE!</v>
      </c>
      <c r="T54" s="101" t="e">
        <f t="shared" si="11"/>
        <v>#VALUE!</v>
      </c>
      <c r="U54" s="101" t="e">
        <f t="shared" si="12"/>
        <v>#VALUE!</v>
      </c>
      <c r="V54" s="101" t="e">
        <f t="shared" si="13"/>
        <v>#VALUE!</v>
      </c>
      <c r="W54" s="101" t="e">
        <f t="shared" si="14"/>
        <v>#VALUE!</v>
      </c>
      <c r="Y54" s="78"/>
      <c r="Z54" s="78"/>
      <c r="AA54" s="152"/>
      <c r="AD54" s="102"/>
      <c r="AE54" s="103" t="e">
        <f t="shared" si="21"/>
        <v>#VALUE!</v>
      </c>
      <c r="AF54" s="103" t="e">
        <f t="shared" si="22"/>
        <v>#VALUE!</v>
      </c>
      <c r="AG54" s="103" t="e">
        <f t="shared" si="23"/>
        <v>#VALUE!</v>
      </c>
      <c r="AH54" s="103" t="e">
        <f t="shared" si="24"/>
        <v>#VALUE!</v>
      </c>
      <c r="AI54" s="103" t="e">
        <f t="shared" si="25"/>
        <v>#VALUE!</v>
      </c>
      <c r="AK54" s="102"/>
      <c r="AL54" s="103" t="e">
        <f t="shared" si="15"/>
        <v>#VALUE!</v>
      </c>
      <c r="AM54" s="103" t="e">
        <f t="shared" si="16"/>
        <v>#VALUE!</v>
      </c>
      <c r="AN54" s="103" t="e">
        <f t="shared" si="17"/>
        <v>#VALUE!</v>
      </c>
      <c r="AO54" s="103" t="e">
        <f t="shared" si="18"/>
        <v>#VALUE!</v>
      </c>
      <c r="AP54" s="103" t="e">
        <f t="shared" si="19"/>
        <v>#VALUE!</v>
      </c>
      <c r="AQ54" s="122"/>
      <c r="AR54" s="103"/>
      <c r="AS54" s="122"/>
      <c r="AT54" s="94"/>
      <c r="AU54" s="94"/>
      <c r="AV54" s="94"/>
    </row>
    <row r="55" spans="1:48" x14ac:dyDescent="0.25">
      <c r="A55" s="152">
        <f t="shared" si="26"/>
        <v>31</v>
      </c>
      <c r="B55" s="97">
        <f t="shared" si="27"/>
        <v>4.46</v>
      </c>
      <c r="C55" s="98">
        <f t="shared" si="0"/>
        <v>4.37</v>
      </c>
      <c r="D55" s="98">
        <f t="shared" si="0"/>
        <v>4.3899999999999997</v>
      </c>
      <c r="E55" s="77">
        <f t="shared" si="1"/>
        <v>0.51</v>
      </c>
      <c r="F55" s="77">
        <f t="shared" si="2"/>
        <v>0.48</v>
      </c>
      <c r="H55" s="77" t="e">
        <f t="shared" si="28"/>
        <v>#N/A</v>
      </c>
      <c r="I55" s="171">
        <f t="shared" si="29"/>
        <v>36708</v>
      </c>
      <c r="J55" s="171">
        <f t="shared" si="20"/>
        <v>36707</v>
      </c>
      <c r="K55" s="154">
        <f t="shared" si="30"/>
        <v>6</v>
      </c>
      <c r="L55" s="154">
        <f t="shared" si="3"/>
        <v>0</v>
      </c>
      <c r="M55" s="154">
        <f t="shared" si="4"/>
        <v>9</v>
      </c>
      <c r="N55" s="101">
        <f t="shared" si="5"/>
        <v>0</v>
      </c>
      <c r="O55" s="101">
        <f t="shared" si="6"/>
        <v>0</v>
      </c>
      <c r="P55" s="101">
        <f t="shared" si="7"/>
        <v>0</v>
      </c>
      <c r="Q55" s="101">
        <f t="shared" si="8"/>
        <v>0</v>
      </c>
      <c r="R55" s="101">
        <f t="shared" si="9"/>
        <v>0</v>
      </c>
      <c r="S55" s="101">
        <f t="shared" si="10"/>
        <v>0</v>
      </c>
      <c r="T55" s="101">
        <f t="shared" si="11"/>
        <v>0</v>
      </c>
      <c r="U55" s="101">
        <f t="shared" si="12"/>
        <v>0</v>
      </c>
      <c r="V55" s="101">
        <f t="shared" si="13"/>
        <v>0</v>
      </c>
      <c r="W55" s="101">
        <f t="shared" si="14"/>
        <v>0</v>
      </c>
      <c r="Y55" s="78"/>
      <c r="Z55" s="78"/>
      <c r="AA55" s="152"/>
      <c r="AD55" s="102"/>
      <c r="AE55" s="103">
        <f t="shared" si="21"/>
        <v>0</v>
      </c>
      <c r="AF55" s="103">
        <f t="shared" si="22"/>
        <v>0</v>
      </c>
      <c r="AG55" s="103">
        <f t="shared" si="23"/>
        <v>0</v>
      </c>
      <c r="AH55" s="103">
        <f t="shared" si="24"/>
        <v>0</v>
      </c>
      <c r="AI55" s="103">
        <f t="shared" si="25"/>
        <v>0</v>
      </c>
      <c r="AK55" s="102"/>
      <c r="AL55" s="103">
        <f t="shared" si="15"/>
        <v>0</v>
      </c>
      <c r="AM55" s="103">
        <f t="shared" si="16"/>
        <v>0</v>
      </c>
      <c r="AN55" s="103">
        <f t="shared" si="17"/>
        <v>0</v>
      </c>
      <c r="AO55" s="103">
        <f t="shared" si="18"/>
        <v>0</v>
      </c>
      <c r="AP55" s="103">
        <f t="shared" si="19"/>
        <v>0</v>
      </c>
      <c r="AQ55" s="122"/>
      <c r="AR55" s="103"/>
      <c r="AS55" s="122"/>
      <c r="AT55" s="94"/>
      <c r="AU55" s="94"/>
      <c r="AV55" s="94"/>
    </row>
    <row r="56" spans="1:48" x14ac:dyDescent="0.25">
      <c r="A56" s="96">
        <f>DATE(YEAR(A55),MONTH(A55)+1,1)</f>
        <v>32</v>
      </c>
      <c r="B56" s="109"/>
      <c r="C56" s="128"/>
      <c r="E56" s="106"/>
      <c r="F56" s="106"/>
      <c r="G56" s="106"/>
      <c r="H56" s="108"/>
      <c r="I56" s="108"/>
      <c r="J56" s="108"/>
      <c r="K56" s="108"/>
      <c r="L56" s="108"/>
      <c r="M56" s="108"/>
      <c r="N56" s="108"/>
      <c r="O56" s="108"/>
      <c r="P56" s="79"/>
      <c r="Q56" s="79"/>
      <c r="R56" s="79"/>
      <c r="S56" s="79"/>
      <c r="T56" s="79"/>
      <c r="U56" s="79"/>
      <c r="V56" s="79"/>
      <c r="W56" s="79"/>
      <c r="X56" s="79"/>
      <c r="Y56" s="80"/>
      <c r="Z56" s="79"/>
      <c r="AA56" s="80"/>
      <c r="AB56" s="79"/>
    </row>
    <row r="57" spans="1:48" x14ac:dyDescent="0.25">
      <c r="A57" s="104"/>
      <c r="B57" s="109"/>
      <c r="C57" s="128"/>
      <c r="E57" s="106"/>
      <c r="F57" s="106"/>
      <c r="G57" s="106"/>
      <c r="H57" s="108"/>
      <c r="I57" s="108"/>
      <c r="J57" s="108"/>
      <c r="K57" s="108"/>
      <c r="L57" s="108"/>
      <c r="M57" s="108"/>
      <c r="N57" s="108"/>
      <c r="O57" s="108"/>
      <c r="P57" s="79"/>
      <c r="Q57" s="79"/>
      <c r="R57" s="79"/>
      <c r="S57" s="79"/>
      <c r="T57" s="79"/>
      <c r="U57" s="79"/>
      <c r="V57" s="79"/>
      <c r="W57" s="79"/>
      <c r="X57" s="79"/>
      <c r="Y57" s="80"/>
      <c r="Z57" s="79"/>
      <c r="AA57" s="80"/>
      <c r="AB57" s="79"/>
    </row>
    <row r="58" spans="1:48" x14ac:dyDescent="0.25">
      <c r="A58" s="104"/>
      <c r="B58" s="109"/>
      <c r="C58" s="128"/>
      <c r="E58" s="106"/>
      <c r="F58" s="106"/>
      <c r="G58" s="106"/>
      <c r="H58" s="108"/>
      <c r="I58" s="108"/>
      <c r="J58" s="108"/>
      <c r="K58" s="108"/>
      <c r="L58" s="108"/>
      <c r="M58" s="108"/>
      <c r="N58" s="108"/>
      <c r="O58" s="108"/>
      <c r="P58" s="79"/>
      <c r="Q58" s="79"/>
      <c r="R58" s="79"/>
      <c r="S58" s="79"/>
      <c r="T58" s="79"/>
      <c r="U58" s="79"/>
      <c r="V58" s="79"/>
      <c r="W58" s="79"/>
      <c r="X58" s="79"/>
      <c r="Y58" s="80"/>
      <c r="Z58" s="79"/>
      <c r="AA58" s="80"/>
      <c r="AB58" s="79"/>
    </row>
    <row r="59" spans="1:48" x14ac:dyDescent="0.25">
      <c r="A59" s="104"/>
      <c r="B59" s="109"/>
      <c r="C59" s="128"/>
      <c r="E59" s="106"/>
      <c r="F59" s="106"/>
      <c r="G59" s="106"/>
      <c r="H59" s="108"/>
      <c r="I59" s="108"/>
      <c r="J59" s="108"/>
      <c r="K59" s="108"/>
      <c r="L59" s="108"/>
      <c r="M59" s="108"/>
      <c r="N59" s="108"/>
      <c r="O59" s="108"/>
      <c r="P59" s="79"/>
      <c r="Q59" s="79"/>
      <c r="R59" s="79"/>
      <c r="S59" s="79"/>
      <c r="T59" s="79"/>
      <c r="U59" s="79"/>
      <c r="V59" s="79"/>
      <c r="W59" s="79"/>
      <c r="X59" s="79"/>
      <c r="Y59" s="80"/>
      <c r="Z59" s="79"/>
      <c r="AA59" s="80"/>
      <c r="AB59" s="79"/>
    </row>
    <row r="60" spans="1:48" x14ac:dyDescent="0.25">
      <c r="A60" s="104"/>
      <c r="B60" s="109"/>
      <c r="C60" s="128"/>
      <c r="E60" s="106"/>
      <c r="F60" s="106"/>
      <c r="G60" s="106"/>
      <c r="H60" s="108"/>
      <c r="I60" s="108"/>
      <c r="J60" s="108"/>
      <c r="K60" s="108"/>
      <c r="L60" s="108"/>
      <c r="M60" s="108"/>
      <c r="N60" s="108"/>
      <c r="O60" s="108"/>
      <c r="P60" s="79"/>
      <c r="Q60" s="79"/>
      <c r="R60" s="79"/>
      <c r="S60" s="79"/>
      <c r="T60" s="79"/>
      <c r="U60" s="79"/>
      <c r="V60" s="79"/>
      <c r="W60" s="79"/>
      <c r="X60" s="79"/>
      <c r="Y60" s="80"/>
      <c r="Z60" s="79"/>
      <c r="AA60" s="80"/>
      <c r="AB60" s="79"/>
    </row>
    <row r="61" spans="1:48" x14ac:dyDescent="0.25">
      <c r="A61" s="104"/>
      <c r="B61" s="109"/>
      <c r="C61" s="128"/>
      <c r="E61" s="106"/>
      <c r="F61" s="106"/>
      <c r="G61" s="106"/>
      <c r="H61" s="108"/>
      <c r="I61" s="108"/>
      <c r="J61" s="108"/>
      <c r="K61" s="108"/>
      <c r="L61" s="108"/>
      <c r="M61" s="108"/>
      <c r="N61" s="108"/>
      <c r="O61" s="108"/>
      <c r="P61" s="79"/>
      <c r="Q61" s="79"/>
      <c r="R61" s="79"/>
      <c r="S61" s="79"/>
      <c r="T61" s="79"/>
      <c r="U61" s="79"/>
      <c r="V61" s="79"/>
      <c r="W61" s="79"/>
      <c r="X61" s="79"/>
      <c r="Y61" s="80"/>
      <c r="Z61" s="79"/>
      <c r="AA61" s="80"/>
      <c r="AB61" s="79"/>
    </row>
    <row r="62" spans="1:48" x14ac:dyDescent="0.25">
      <c r="A62" s="104"/>
      <c r="B62" s="109"/>
      <c r="C62" s="128"/>
      <c r="E62" s="106"/>
      <c r="F62" s="106"/>
      <c r="G62" s="106"/>
      <c r="H62" s="108"/>
      <c r="I62" s="108"/>
      <c r="J62" s="108"/>
      <c r="K62" s="108"/>
      <c r="L62" s="108"/>
      <c r="M62" s="108"/>
      <c r="N62" s="108"/>
      <c r="O62" s="108"/>
      <c r="P62" s="79"/>
      <c r="Q62" s="79"/>
      <c r="R62" s="79"/>
      <c r="S62" s="79"/>
      <c r="T62" s="79"/>
      <c r="U62" s="79"/>
      <c r="V62" s="79"/>
      <c r="W62" s="79"/>
      <c r="X62" s="79"/>
      <c r="Y62" s="80"/>
      <c r="Z62" s="79"/>
      <c r="AA62" s="80"/>
      <c r="AB62" s="79"/>
    </row>
    <row r="63" spans="1:48" x14ac:dyDescent="0.25">
      <c r="A63" s="104"/>
      <c r="B63" s="109"/>
      <c r="C63" s="128"/>
      <c r="E63" s="106"/>
      <c r="F63" s="106"/>
      <c r="G63" s="106"/>
      <c r="H63" s="108"/>
      <c r="I63" s="108"/>
      <c r="J63" s="108"/>
      <c r="K63" s="108"/>
      <c r="L63" s="108"/>
      <c r="M63" s="108"/>
      <c r="N63" s="108"/>
      <c r="O63" s="108"/>
      <c r="P63" s="79"/>
      <c r="Q63" s="79"/>
      <c r="R63" s="79"/>
      <c r="S63" s="79"/>
      <c r="T63" s="79"/>
      <c r="U63" s="79"/>
      <c r="V63" s="79"/>
      <c r="W63" s="79"/>
      <c r="X63" s="79"/>
      <c r="Y63" s="80"/>
      <c r="Z63" s="79"/>
      <c r="AA63" s="80"/>
      <c r="AB63" s="79"/>
    </row>
    <row r="64" spans="1:48" x14ac:dyDescent="0.25">
      <c r="A64" s="104"/>
      <c r="B64" s="109"/>
      <c r="C64" s="128"/>
      <c r="E64" s="106"/>
      <c r="F64" s="106"/>
      <c r="G64" s="106"/>
      <c r="H64" s="108"/>
      <c r="I64" s="108"/>
      <c r="J64" s="108"/>
      <c r="K64" s="108"/>
      <c r="L64" s="108"/>
      <c r="M64" s="108"/>
      <c r="N64" s="108"/>
      <c r="O64" s="108"/>
      <c r="P64" s="79"/>
      <c r="Q64" s="79"/>
      <c r="R64" s="79"/>
      <c r="S64" s="79"/>
      <c r="T64" s="79"/>
      <c r="U64" s="79"/>
      <c r="V64" s="79"/>
      <c r="W64" s="79"/>
      <c r="X64" s="79"/>
      <c r="Y64" s="80"/>
      <c r="Z64" s="79"/>
      <c r="AA64" s="80"/>
      <c r="AB64" s="79"/>
    </row>
    <row r="65" spans="1:28" x14ac:dyDescent="0.25">
      <c r="A65" s="104"/>
      <c r="B65" s="109"/>
      <c r="C65" s="128"/>
      <c r="E65" s="106"/>
      <c r="F65" s="106"/>
      <c r="G65" s="106"/>
      <c r="H65" s="108"/>
      <c r="I65" s="108"/>
      <c r="J65" s="108"/>
      <c r="K65" s="108"/>
      <c r="L65" s="108"/>
      <c r="M65" s="108"/>
      <c r="N65" s="108"/>
      <c r="O65" s="108"/>
      <c r="P65" s="79"/>
      <c r="Q65" s="79"/>
      <c r="R65" s="79" t="s">
        <v>41</v>
      </c>
      <c r="S65" s="79"/>
      <c r="T65" s="79"/>
      <c r="U65" s="79"/>
      <c r="V65" s="79"/>
      <c r="W65" s="79"/>
      <c r="X65" s="79"/>
      <c r="Y65" s="80"/>
      <c r="Z65" s="79"/>
      <c r="AA65" s="80"/>
      <c r="AB65" s="79"/>
    </row>
    <row r="66" spans="1:28" x14ac:dyDescent="0.25">
      <c r="A66" s="104"/>
      <c r="B66" s="109"/>
      <c r="C66" s="128"/>
      <c r="E66" s="106"/>
      <c r="F66" s="106"/>
      <c r="G66" s="106"/>
      <c r="H66" s="108"/>
      <c r="I66" s="108"/>
      <c r="J66" s="108"/>
      <c r="K66" s="108"/>
      <c r="L66" s="108"/>
      <c r="M66" s="108"/>
      <c r="N66" s="108"/>
      <c r="O66" s="108"/>
      <c r="P66" s="79"/>
      <c r="Q66" s="79"/>
      <c r="R66" s="79" t="s">
        <v>42</v>
      </c>
      <c r="S66" s="79"/>
      <c r="T66" s="79"/>
      <c r="U66" s="79"/>
      <c r="V66" s="79"/>
      <c r="W66" s="79"/>
      <c r="X66" s="79"/>
      <c r="Y66" s="80"/>
      <c r="Z66" s="79"/>
      <c r="AA66" s="80"/>
      <c r="AB66" s="79"/>
    </row>
    <row r="67" spans="1:28" x14ac:dyDescent="0.25">
      <c r="A67" s="110"/>
      <c r="E67" s="76"/>
      <c r="F67" s="76"/>
      <c r="G67" s="76"/>
      <c r="H67" s="108"/>
      <c r="I67" s="108"/>
      <c r="J67" s="108"/>
      <c r="K67" s="108"/>
      <c r="L67" s="108"/>
      <c r="M67" s="108"/>
      <c r="N67" s="108"/>
      <c r="O67" s="108"/>
      <c r="P67" s="79"/>
      <c r="Q67" s="79"/>
      <c r="R67" s="79"/>
      <c r="S67" s="79"/>
      <c r="T67" s="79"/>
      <c r="U67" s="79"/>
      <c r="V67" s="79"/>
      <c r="W67" s="79"/>
      <c r="X67" s="79"/>
      <c r="Y67" s="80"/>
      <c r="Z67" s="79"/>
      <c r="AA67" s="80"/>
      <c r="AB67" s="79"/>
    </row>
    <row r="68" spans="1:28" x14ac:dyDescent="0.25">
      <c r="A68" s="104"/>
      <c r="B68" s="109"/>
      <c r="C68" s="128"/>
      <c r="E68" s="106"/>
      <c r="F68" s="106"/>
      <c r="G68" s="106"/>
      <c r="H68" s="108"/>
      <c r="I68" s="108"/>
      <c r="J68" s="108"/>
      <c r="K68" s="108"/>
      <c r="L68" s="108"/>
      <c r="M68" s="108"/>
      <c r="N68" s="108"/>
      <c r="O68" s="108"/>
      <c r="P68" s="79"/>
      <c r="Q68" s="79"/>
      <c r="R68" s="79"/>
      <c r="S68" s="79"/>
      <c r="T68" s="79"/>
      <c r="U68" s="79"/>
      <c r="V68" s="79"/>
      <c r="W68" s="79"/>
      <c r="X68" s="79"/>
      <c r="Y68" s="80"/>
      <c r="Z68" s="79"/>
      <c r="AA68" s="80"/>
      <c r="AB68" s="79"/>
    </row>
    <row r="69" spans="1:28" x14ac:dyDescent="0.25">
      <c r="B69" s="111"/>
      <c r="C69" s="114"/>
      <c r="D69" s="112"/>
      <c r="E69" s="105"/>
      <c r="F69" s="105"/>
      <c r="G69" s="105"/>
      <c r="H69" s="105"/>
      <c r="I69" s="105"/>
      <c r="J69" s="105"/>
      <c r="K69" s="105"/>
      <c r="L69" s="108"/>
      <c r="M69" s="108"/>
      <c r="N69" s="108"/>
      <c r="O69" s="108"/>
      <c r="P69" s="108"/>
      <c r="Q69" s="79"/>
      <c r="R69" s="79"/>
      <c r="S69" s="79"/>
      <c r="T69" s="79"/>
      <c r="U69" s="79"/>
      <c r="V69" s="79"/>
      <c r="W69" s="79"/>
      <c r="X69" s="79"/>
      <c r="Y69" s="80"/>
      <c r="Z69" s="79"/>
      <c r="AA69" s="80"/>
      <c r="AB69" s="79"/>
    </row>
    <row r="70" spans="1:28" x14ac:dyDescent="0.25">
      <c r="B70" s="111"/>
      <c r="C70" s="114"/>
      <c r="D70" s="112"/>
      <c r="E70" s="105"/>
      <c r="F70" s="105"/>
      <c r="G70" s="105"/>
      <c r="H70" s="105"/>
      <c r="I70" s="105"/>
      <c r="J70" s="105"/>
      <c r="K70" s="105"/>
      <c r="L70" s="108"/>
      <c r="M70" s="108"/>
      <c r="N70" s="108"/>
      <c r="O70" s="108"/>
      <c r="P70" s="108"/>
      <c r="Q70" s="79"/>
      <c r="R70" s="79"/>
      <c r="S70" s="79"/>
      <c r="T70" s="79"/>
      <c r="U70" s="79"/>
      <c r="V70" s="79"/>
      <c r="W70" s="79"/>
      <c r="X70" s="79"/>
      <c r="Y70" s="80"/>
      <c r="Z70" s="79"/>
      <c r="AA70" s="80"/>
      <c r="AB70" s="79"/>
    </row>
    <row r="71" spans="1:28" x14ac:dyDescent="0.25">
      <c r="B71" s="111"/>
      <c r="C71" s="114"/>
      <c r="D71" s="112"/>
      <c r="E71" s="105"/>
      <c r="F71" s="105"/>
      <c r="G71" s="105"/>
      <c r="H71" s="105"/>
      <c r="I71" s="105"/>
      <c r="J71" s="105"/>
      <c r="K71" s="105"/>
      <c r="L71" s="108"/>
      <c r="M71" s="108"/>
      <c r="N71" s="108"/>
      <c r="O71" s="108"/>
      <c r="P71" s="108"/>
      <c r="Q71" s="79"/>
      <c r="R71" s="79"/>
      <c r="S71" s="79"/>
      <c r="T71" s="79"/>
      <c r="U71" s="79"/>
      <c r="V71" s="79"/>
      <c r="W71" s="79"/>
      <c r="X71" s="79"/>
      <c r="Y71" s="80"/>
      <c r="Z71" s="79"/>
      <c r="AA71" s="80"/>
      <c r="AB71" s="79"/>
    </row>
    <row r="72" spans="1:28" x14ac:dyDescent="0.25">
      <c r="B72" s="111"/>
      <c r="C72" s="114"/>
      <c r="D72" s="112"/>
      <c r="E72" s="105"/>
      <c r="F72" s="105"/>
      <c r="G72" s="105"/>
      <c r="H72" s="105"/>
      <c r="I72" s="105"/>
      <c r="J72" s="105"/>
      <c r="K72" s="105"/>
      <c r="L72" s="108"/>
      <c r="M72" s="108"/>
      <c r="N72" s="108"/>
      <c r="O72" s="108"/>
      <c r="P72" s="108"/>
      <c r="Q72" s="79"/>
      <c r="R72" s="79"/>
      <c r="S72" s="79"/>
      <c r="T72" s="79"/>
      <c r="U72" s="79"/>
      <c r="V72" s="79"/>
      <c r="W72" s="79"/>
      <c r="X72" s="79"/>
      <c r="Y72" s="80"/>
      <c r="Z72" s="79"/>
      <c r="AA72" s="80"/>
      <c r="AB72" s="79"/>
    </row>
    <row r="73" spans="1:28" x14ac:dyDescent="0.25">
      <c r="B73" s="111"/>
      <c r="C73" s="114"/>
      <c r="D73" s="112"/>
      <c r="E73" s="105"/>
      <c r="F73" s="105"/>
      <c r="G73" s="105"/>
      <c r="H73" s="105"/>
      <c r="I73" s="105"/>
      <c r="J73" s="105"/>
      <c r="K73" s="105"/>
      <c r="L73" s="108"/>
      <c r="M73" s="108"/>
      <c r="N73" s="108"/>
      <c r="O73" s="108"/>
      <c r="P73" s="108"/>
      <c r="Q73" s="79"/>
      <c r="R73" s="79"/>
      <c r="S73" s="79"/>
      <c r="T73" s="79"/>
      <c r="U73" s="79"/>
      <c r="V73" s="79"/>
      <c r="W73" s="79"/>
      <c r="X73" s="79"/>
      <c r="Y73" s="80"/>
      <c r="Z73" s="79"/>
      <c r="AA73" s="80"/>
      <c r="AB73" s="79"/>
    </row>
    <row r="74" spans="1:28" x14ac:dyDescent="0.25">
      <c r="B74" s="111"/>
      <c r="C74" s="114"/>
      <c r="D74" s="112"/>
      <c r="E74" s="105"/>
      <c r="F74" s="105"/>
      <c r="G74" s="105"/>
      <c r="H74" s="105"/>
      <c r="I74" s="105"/>
      <c r="J74" s="105"/>
      <c r="K74" s="105"/>
      <c r="L74" s="108"/>
      <c r="M74" s="108"/>
      <c r="N74" s="108"/>
      <c r="O74" s="108"/>
      <c r="P74" s="108"/>
      <c r="Q74" s="79"/>
      <c r="R74" s="79"/>
      <c r="S74" s="79"/>
      <c r="T74" s="79"/>
      <c r="U74" s="79"/>
      <c r="V74" s="79"/>
      <c r="W74" s="79"/>
      <c r="X74" s="79"/>
      <c r="Y74" s="80"/>
      <c r="Z74" s="79"/>
      <c r="AA74" s="80"/>
      <c r="AB74" s="79"/>
    </row>
    <row r="75" spans="1:28" x14ac:dyDescent="0.25">
      <c r="B75" s="111"/>
      <c r="C75" s="114"/>
      <c r="D75" s="112"/>
      <c r="E75" s="105"/>
      <c r="F75" s="105"/>
      <c r="G75" s="105"/>
      <c r="H75" s="105"/>
      <c r="I75" s="105"/>
      <c r="J75" s="105"/>
      <c r="K75" s="105"/>
      <c r="L75" s="108"/>
      <c r="M75" s="108"/>
      <c r="N75" s="108"/>
      <c r="O75" s="108"/>
      <c r="P75" s="108"/>
      <c r="Q75" s="79"/>
      <c r="R75" s="79"/>
      <c r="S75" s="79"/>
      <c r="T75" s="79"/>
      <c r="U75" s="79"/>
      <c r="V75" s="79"/>
      <c r="W75" s="79"/>
      <c r="X75" s="79"/>
      <c r="Y75" s="80"/>
      <c r="Z75" s="79"/>
      <c r="AA75" s="80"/>
      <c r="AB75" s="79"/>
    </row>
    <row r="76" spans="1:28" x14ac:dyDescent="0.25">
      <c r="B76" s="111"/>
      <c r="C76" s="114"/>
      <c r="D76" s="112"/>
      <c r="E76" s="105"/>
      <c r="F76" s="105"/>
      <c r="G76" s="105"/>
      <c r="H76" s="105"/>
      <c r="I76" s="105"/>
      <c r="J76" s="105"/>
      <c r="K76" s="105"/>
      <c r="L76" s="108"/>
      <c r="M76" s="108"/>
      <c r="N76" s="108"/>
      <c r="O76" s="108"/>
      <c r="P76" s="108"/>
      <c r="Q76" s="79"/>
      <c r="R76" s="79"/>
      <c r="S76" s="79"/>
      <c r="T76" s="79"/>
      <c r="U76" s="79"/>
      <c r="V76" s="79"/>
      <c r="W76" s="79"/>
      <c r="X76" s="79"/>
      <c r="Y76" s="80"/>
      <c r="Z76" s="79"/>
      <c r="AA76" s="80"/>
      <c r="AB76" s="79"/>
    </row>
    <row r="77" spans="1:28" x14ac:dyDescent="0.25">
      <c r="B77" s="111"/>
      <c r="C77" s="114"/>
      <c r="D77" s="112"/>
      <c r="E77" s="105"/>
      <c r="F77" s="105"/>
      <c r="G77" s="105"/>
      <c r="H77" s="105"/>
      <c r="I77" s="105"/>
      <c r="J77" s="105"/>
      <c r="K77" s="105"/>
      <c r="L77" s="108"/>
      <c r="M77" s="108"/>
      <c r="N77" s="108"/>
      <c r="O77" s="108"/>
      <c r="P77" s="108"/>
      <c r="Q77" s="79"/>
      <c r="R77" s="79"/>
      <c r="S77" s="79"/>
      <c r="T77" s="79"/>
      <c r="U77" s="79"/>
      <c r="V77" s="79"/>
      <c r="W77" s="79"/>
      <c r="X77" s="79"/>
      <c r="Y77" s="80"/>
      <c r="Z77" s="79"/>
      <c r="AA77" s="80"/>
      <c r="AB77" s="79"/>
    </row>
    <row r="78" spans="1:28" x14ac:dyDescent="0.25">
      <c r="B78" s="111"/>
      <c r="C78" s="114"/>
      <c r="D78" s="112"/>
      <c r="E78" s="105"/>
      <c r="F78" s="105"/>
      <c r="G78" s="105"/>
      <c r="H78" s="105"/>
      <c r="I78" s="105"/>
      <c r="J78" s="105"/>
      <c r="K78" s="105"/>
      <c r="L78" s="108"/>
      <c r="M78" s="108"/>
      <c r="N78" s="108"/>
      <c r="O78" s="108"/>
      <c r="P78" s="108"/>
      <c r="Q78" s="79"/>
      <c r="R78" s="79"/>
      <c r="S78" s="79"/>
      <c r="T78" s="79"/>
      <c r="U78" s="79"/>
      <c r="V78" s="79"/>
      <c r="W78" s="79"/>
      <c r="X78" s="79"/>
      <c r="Y78" s="80"/>
      <c r="Z78" s="79"/>
      <c r="AA78" s="80"/>
      <c r="AB78" s="79"/>
    </row>
    <row r="79" spans="1:28" x14ac:dyDescent="0.25">
      <c r="B79" s="111"/>
      <c r="C79" s="114"/>
      <c r="D79" s="112"/>
      <c r="E79" s="105"/>
      <c r="F79" s="105"/>
      <c r="G79" s="105"/>
      <c r="H79" s="105"/>
      <c r="I79" s="105"/>
      <c r="J79" s="105"/>
      <c r="K79" s="105"/>
      <c r="L79" s="108"/>
      <c r="M79" s="108"/>
      <c r="N79" s="108"/>
      <c r="O79" s="108"/>
      <c r="P79" s="108"/>
      <c r="Q79" s="79"/>
      <c r="R79" s="79"/>
      <c r="S79" s="79"/>
      <c r="T79" s="79"/>
      <c r="U79" s="79"/>
      <c r="V79" s="79"/>
      <c r="W79" s="79"/>
      <c r="X79" s="79"/>
      <c r="Y79" s="80"/>
      <c r="Z79" s="79"/>
      <c r="AA79" s="80"/>
      <c r="AB79" s="79"/>
    </row>
    <row r="80" spans="1:28" x14ac:dyDescent="0.25">
      <c r="B80" s="111"/>
      <c r="C80" s="114"/>
      <c r="D80" s="112"/>
      <c r="E80" s="105"/>
      <c r="F80" s="105"/>
      <c r="G80" s="105"/>
      <c r="H80" s="105"/>
      <c r="I80" s="105"/>
      <c r="J80" s="105"/>
      <c r="K80" s="105"/>
      <c r="L80" s="108"/>
      <c r="M80" s="108"/>
      <c r="N80" s="108"/>
      <c r="O80" s="108"/>
      <c r="P80" s="108"/>
      <c r="Q80" s="79"/>
      <c r="R80" s="79"/>
      <c r="S80" s="79"/>
      <c r="T80" s="79"/>
      <c r="U80" s="79"/>
      <c r="V80" s="79"/>
      <c r="W80" s="79"/>
      <c r="X80" s="79"/>
      <c r="Y80" s="80"/>
      <c r="Z80" s="79"/>
      <c r="AA80" s="80"/>
      <c r="AB80" s="79"/>
    </row>
    <row r="81" spans="2:28" ht="13.8" thickBot="1" x14ac:dyDescent="0.3">
      <c r="B81" s="111"/>
      <c r="C81" s="114"/>
      <c r="D81" s="115"/>
      <c r="E81" s="105"/>
      <c r="F81" s="105"/>
      <c r="G81" s="105"/>
      <c r="H81" s="108"/>
      <c r="I81" s="108"/>
      <c r="J81" s="108"/>
      <c r="K81" s="108"/>
      <c r="L81" s="108"/>
      <c r="M81" s="108"/>
      <c r="N81" s="108"/>
      <c r="O81" s="108"/>
      <c r="P81" s="108"/>
      <c r="Q81" s="79"/>
      <c r="R81" s="79"/>
      <c r="S81" s="79"/>
      <c r="T81" s="79"/>
      <c r="U81" s="79"/>
      <c r="V81" s="79"/>
      <c r="W81" s="79"/>
      <c r="X81" s="79"/>
      <c r="Y81" s="80"/>
      <c r="Z81" s="79"/>
      <c r="AA81" s="80"/>
      <c r="AB81" s="79"/>
    </row>
    <row r="82" spans="2:28" x14ac:dyDescent="0.25">
      <c r="B82" s="111"/>
      <c r="C82" s="114"/>
      <c r="D82" s="116"/>
      <c r="E82" s="105"/>
      <c r="F82" s="105"/>
      <c r="G82" s="105"/>
      <c r="H82" s="108"/>
      <c r="I82" s="108"/>
      <c r="J82" s="108"/>
      <c r="K82" s="108"/>
      <c r="L82" s="108"/>
      <c r="M82" s="108"/>
      <c r="N82" s="108"/>
      <c r="O82" s="108"/>
      <c r="P82" s="108"/>
      <c r="Q82" s="79"/>
      <c r="R82" s="79"/>
      <c r="S82" s="79"/>
      <c r="T82" s="79"/>
      <c r="U82" s="79"/>
      <c r="V82" s="79"/>
      <c r="W82" s="79"/>
      <c r="X82" s="79"/>
      <c r="Y82" s="80"/>
      <c r="Z82" s="79"/>
      <c r="AA82" s="80"/>
      <c r="AB82" s="79"/>
    </row>
    <row r="83" spans="2:28" ht="13.8" thickBot="1" x14ac:dyDescent="0.3">
      <c r="B83" s="111"/>
      <c r="C83" s="114"/>
      <c r="D83" s="117"/>
      <c r="E83" s="105"/>
      <c r="F83" s="105"/>
      <c r="G83" s="105"/>
      <c r="H83" s="108"/>
      <c r="I83" s="108"/>
      <c r="J83" s="108"/>
      <c r="K83" s="108"/>
      <c r="L83" s="108"/>
      <c r="M83" s="108"/>
      <c r="N83" s="108"/>
      <c r="O83" s="108"/>
      <c r="P83" s="108"/>
      <c r="Q83" s="79"/>
      <c r="R83" s="79"/>
      <c r="S83" s="79"/>
      <c r="T83" s="79"/>
      <c r="U83" s="79"/>
      <c r="V83" s="79"/>
      <c r="W83" s="79"/>
      <c r="X83" s="79"/>
      <c r="Y83" s="80"/>
      <c r="Z83" s="79"/>
      <c r="AA83" s="80"/>
      <c r="AB83" s="79"/>
    </row>
    <row r="84" spans="2:28" ht="13.8" thickBot="1" x14ac:dyDescent="0.3">
      <c r="B84" s="118"/>
      <c r="C84" s="119"/>
      <c r="D84" s="117"/>
      <c r="E84" s="105"/>
      <c r="F84" s="105"/>
      <c r="G84" s="105"/>
      <c r="H84" s="108"/>
      <c r="I84" s="108"/>
      <c r="J84" s="108"/>
      <c r="K84" s="108"/>
      <c r="L84" s="108"/>
      <c r="M84" s="108"/>
      <c r="N84" s="108"/>
      <c r="O84" s="108"/>
      <c r="P84" s="108"/>
      <c r="Q84" s="79"/>
      <c r="R84" s="79"/>
      <c r="S84" s="79"/>
      <c r="T84" s="79"/>
      <c r="U84" s="79"/>
      <c r="V84" s="79"/>
      <c r="W84" s="79"/>
      <c r="X84" s="79"/>
      <c r="Y84" s="80"/>
      <c r="Z84" s="79"/>
      <c r="AA84" s="80"/>
      <c r="AB84" s="79"/>
    </row>
    <row r="85" spans="2:28" x14ac:dyDescent="0.25">
      <c r="B85" s="118"/>
      <c r="C85" s="119"/>
      <c r="D85" s="120"/>
      <c r="E85" s="105"/>
      <c r="F85" s="105"/>
      <c r="G85" s="105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80"/>
      <c r="Z85" s="79"/>
      <c r="AA85" s="80"/>
      <c r="AB85" s="79"/>
    </row>
    <row r="86" spans="2:28" x14ac:dyDescent="0.25">
      <c r="B86" s="118"/>
      <c r="C86" s="119"/>
      <c r="D86" s="120"/>
      <c r="E86" s="105"/>
      <c r="F86" s="105"/>
      <c r="G86" s="105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79"/>
      <c r="AA86" s="80"/>
      <c r="AB86" s="79"/>
    </row>
    <row r="87" spans="2:28" x14ac:dyDescent="0.25">
      <c r="B87" s="118"/>
      <c r="C87" s="119"/>
      <c r="D87" s="120"/>
      <c r="E87" s="105"/>
      <c r="F87" s="105"/>
      <c r="G87" s="105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80"/>
      <c r="Z87" s="79"/>
      <c r="AA87" s="80"/>
      <c r="AB87" s="79"/>
    </row>
    <row r="88" spans="2:28" x14ac:dyDescent="0.25">
      <c r="B88" s="118"/>
      <c r="C88" s="119"/>
      <c r="D88" s="120"/>
      <c r="E88" s="105"/>
      <c r="F88" s="105"/>
      <c r="G88" s="105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79"/>
      <c r="AA88" s="80"/>
      <c r="AB88" s="79"/>
    </row>
    <row r="89" spans="2:28" x14ac:dyDescent="0.25">
      <c r="B89" s="118"/>
      <c r="C89" s="119"/>
      <c r="D89" s="120"/>
      <c r="E89" s="105"/>
      <c r="F89" s="105"/>
      <c r="G89" s="105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80"/>
      <c r="Z89" s="79"/>
      <c r="AA89" s="80"/>
      <c r="AB89" s="79"/>
    </row>
    <row r="90" spans="2:28" x14ac:dyDescent="0.25">
      <c r="B90" s="118"/>
      <c r="C90" s="119"/>
      <c r="D90" s="120"/>
      <c r="E90" s="105"/>
      <c r="F90" s="105"/>
      <c r="G90" s="105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79"/>
      <c r="AA90" s="80"/>
      <c r="AB90" s="79"/>
    </row>
    <row r="91" spans="2:28" x14ac:dyDescent="0.25">
      <c r="B91" s="118"/>
      <c r="C91" s="119"/>
      <c r="D91" s="120"/>
      <c r="E91" s="105"/>
      <c r="F91" s="105"/>
      <c r="G91" s="105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80"/>
      <c r="Z91" s="79"/>
      <c r="AA91" s="80"/>
      <c r="AB91" s="79"/>
    </row>
    <row r="92" spans="2:28" x14ac:dyDescent="0.25">
      <c r="B92" s="118"/>
      <c r="C92" s="119"/>
      <c r="D92" s="120"/>
      <c r="E92" s="105"/>
      <c r="F92" s="105"/>
      <c r="G92" s="105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79"/>
      <c r="AA92" s="80"/>
      <c r="AB92" s="79"/>
    </row>
    <row r="93" spans="2:28" x14ac:dyDescent="0.25">
      <c r="B93" s="118"/>
      <c r="C93" s="119"/>
      <c r="D93" s="120"/>
      <c r="E93" s="105"/>
      <c r="F93" s="105"/>
      <c r="G93" s="105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80"/>
      <c r="Z93" s="79"/>
      <c r="AA93" s="80"/>
      <c r="AB93" s="79"/>
    </row>
    <row r="94" spans="2:28" x14ac:dyDescent="0.25">
      <c r="B94" s="118"/>
      <c r="C94" s="119"/>
      <c r="D94" s="120"/>
      <c r="E94" s="105"/>
      <c r="F94" s="105"/>
      <c r="G94" s="105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79"/>
      <c r="AA94" s="80"/>
      <c r="AB94" s="79"/>
    </row>
    <row r="95" spans="2:28" x14ac:dyDescent="0.25">
      <c r="B95" s="118"/>
      <c r="C95" s="119"/>
      <c r="D95" s="120"/>
      <c r="E95" s="105"/>
      <c r="F95" s="105"/>
      <c r="G95" s="105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80"/>
      <c r="Z95" s="79"/>
      <c r="AA95" s="80"/>
      <c r="AB95" s="79"/>
    </row>
    <row r="96" spans="2:28" x14ac:dyDescent="0.25">
      <c r="B96" s="118"/>
      <c r="C96" s="119"/>
      <c r="D96" s="120"/>
      <c r="E96" s="105"/>
      <c r="F96" s="105"/>
      <c r="G96" s="105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79"/>
      <c r="AA96" s="80"/>
      <c r="AB96" s="79"/>
    </row>
    <row r="97" spans="2:28" x14ac:dyDescent="0.25">
      <c r="B97" s="118"/>
      <c r="C97" s="119"/>
      <c r="D97" s="120"/>
      <c r="E97" s="105"/>
      <c r="F97" s="105"/>
      <c r="G97" s="105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80"/>
      <c r="Z97" s="79"/>
      <c r="AA97" s="80"/>
      <c r="AB97" s="79"/>
    </row>
    <row r="98" spans="2:28" x14ac:dyDescent="0.25">
      <c r="B98" s="118"/>
      <c r="C98" s="119"/>
      <c r="D98" s="120"/>
      <c r="E98" s="105"/>
      <c r="F98" s="105"/>
      <c r="G98" s="105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79"/>
      <c r="AA98" s="80"/>
      <c r="AB98" s="79"/>
    </row>
    <row r="99" spans="2:28" x14ac:dyDescent="0.25">
      <c r="B99" s="118"/>
      <c r="C99" s="119"/>
      <c r="D99" s="120"/>
      <c r="E99" s="105"/>
      <c r="F99" s="105"/>
      <c r="G99" s="105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80"/>
      <c r="Z99" s="79"/>
      <c r="AA99" s="80"/>
      <c r="AB99" s="79"/>
    </row>
    <row r="100" spans="2:28" x14ac:dyDescent="0.25">
      <c r="B100" s="118"/>
      <c r="C100" s="119"/>
      <c r="D100" s="120"/>
      <c r="E100" s="105"/>
      <c r="F100" s="105"/>
      <c r="G100" s="105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79"/>
      <c r="AA100" s="80"/>
      <c r="AB100" s="79"/>
    </row>
    <row r="101" spans="2:28" x14ac:dyDescent="0.25">
      <c r="B101" s="118"/>
      <c r="C101" s="119"/>
      <c r="D101" s="120"/>
      <c r="E101" s="105"/>
      <c r="F101" s="105"/>
      <c r="G101" s="105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80"/>
      <c r="Z101" s="79"/>
      <c r="AA101" s="80"/>
      <c r="AB101" s="79"/>
    </row>
    <row r="102" spans="2:28" x14ac:dyDescent="0.25">
      <c r="B102" s="118"/>
      <c r="C102" s="119"/>
      <c r="D102" s="120"/>
      <c r="E102" s="105"/>
      <c r="F102" s="105"/>
      <c r="G102" s="105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79"/>
      <c r="AA102" s="80"/>
      <c r="AB102" s="79"/>
    </row>
    <row r="103" spans="2:28" x14ac:dyDescent="0.25">
      <c r="B103" s="118"/>
      <c r="C103" s="119"/>
      <c r="D103" s="120"/>
      <c r="E103" s="105"/>
      <c r="F103" s="105"/>
      <c r="G103" s="105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80"/>
      <c r="Z103" s="79"/>
      <c r="AA103" s="80"/>
      <c r="AB103" s="79"/>
    </row>
    <row r="104" spans="2:28" x14ac:dyDescent="0.25">
      <c r="B104" s="118"/>
      <c r="C104" s="119"/>
      <c r="D104" s="120"/>
      <c r="E104" s="105"/>
      <c r="F104" s="105"/>
      <c r="G104" s="105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79"/>
      <c r="AA104" s="80"/>
      <c r="AB104" s="79"/>
    </row>
    <row r="105" spans="2:28" x14ac:dyDescent="0.25">
      <c r="B105" s="118"/>
      <c r="C105" s="119"/>
      <c r="D105" s="120"/>
      <c r="E105" s="105"/>
      <c r="F105" s="105"/>
      <c r="G105" s="105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80"/>
      <c r="Z105" s="79"/>
      <c r="AA105" s="80"/>
      <c r="AB105" s="79"/>
    </row>
    <row r="106" spans="2:28" x14ac:dyDescent="0.25">
      <c r="B106" s="118"/>
      <c r="C106" s="119"/>
      <c r="D106" s="120"/>
      <c r="E106" s="105"/>
      <c r="F106" s="105"/>
      <c r="G106" s="105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79"/>
      <c r="AA106" s="80"/>
      <c r="AB106" s="79"/>
    </row>
    <row r="107" spans="2:28" x14ac:dyDescent="0.25">
      <c r="B107" s="118"/>
      <c r="C107" s="119"/>
      <c r="D107" s="120"/>
      <c r="E107" s="105"/>
      <c r="F107" s="105"/>
      <c r="G107" s="105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80"/>
      <c r="Z107" s="79"/>
      <c r="AA107" s="80"/>
      <c r="AB107" s="79"/>
    </row>
    <row r="108" spans="2:28" x14ac:dyDescent="0.25">
      <c r="B108" s="118"/>
      <c r="C108" s="119"/>
      <c r="D108" s="120"/>
      <c r="E108" s="105"/>
      <c r="F108" s="105"/>
      <c r="G108" s="105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79"/>
      <c r="AA108" s="80"/>
      <c r="AB108" s="79"/>
    </row>
    <row r="109" spans="2:28" x14ac:dyDescent="0.25">
      <c r="B109" s="118"/>
      <c r="C109" s="119"/>
      <c r="D109" s="120"/>
      <c r="E109" s="105"/>
      <c r="F109" s="105"/>
      <c r="G109" s="105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80"/>
      <c r="Z109" s="79"/>
      <c r="AA109" s="80"/>
      <c r="AB109" s="79"/>
    </row>
    <row r="110" spans="2:28" x14ac:dyDescent="0.25">
      <c r="B110" s="118"/>
      <c r="C110" s="119"/>
      <c r="D110" s="120"/>
      <c r="E110" s="105"/>
      <c r="F110" s="105"/>
      <c r="G110" s="105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79"/>
      <c r="AA110" s="80"/>
      <c r="AB110" s="79"/>
    </row>
    <row r="111" spans="2:28" x14ac:dyDescent="0.25">
      <c r="B111" s="118"/>
      <c r="C111" s="119"/>
      <c r="D111" s="120"/>
      <c r="E111" s="105"/>
      <c r="F111" s="105"/>
      <c r="G111" s="105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80"/>
      <c r="Z111" s="79"/>
      <c r="AA111" s="80"/>
      <c r="AB111" s="79"/>
    </row>
    <row r="112" spans="2:28" x14ac:dyDescent="0.25">
      <c r="B112" s="118"/>
      <c r="C112" s="119"/>
      <c r="D112" s="120"/>
      <c r="E112" s="105"/>
      <c r="F112" s="105"/>
      <c r="G112" s="105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79"/>
      <c r="AA112" s="80"/>
      <c r="AB112" s="79"/>
    </row>
    <row r="113" spans="2:28" x14ac:dyDescent="0.25">
      <c r="B113" s="118"/>
      <c r="C113" s="119"/>
      <c r="D113" s="120"/>
      <c r="E113" s="105"/>
      <c r="F113" s="105"/>
      <c r="G113" s="105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80"/>
      <c r="Z113" s="79"/>
      <c r="AA113" s="80"/>
      <c r="AB113" s="79"/>
    </row>
    <row r="114" spans="2:28" x14ac:dyDescent="0.25">
      <c r="B114" s="118"/>
      <c r="C114" s="119"/>
      <c r="D114" s="120"/>
      <c r="E114" s="105"/>
      <c r="F114" s="105"/>
      <c r="G114" s="105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79"/>
      <c r="AA114" s="80"/>
      <c r="AB114" s="79"/>
    </row>
    <row r="115" spans="2:28" x14ac:dyDescent="0.25">
      <c r="B115" s="121"/>
      <c r="C115" s="129"/>
      <c r="D115" s="120"/>
      <c r="E115" s="105"/>
      <c r="F115" s="105"/>
      <c r="G115" s="105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80"/>
      <c r="Z115" s="79"/>
      <c r="AA115" s="80"/>
      <c r="AB115" s="79"/>
    </row>
    <row r="116" spans="2:28" x14ac:dyDescent="0.25">
      <c r="B116" s="121"/>
      <c r="C116" s="129"/>
      <c r="D116" s="120"/>
      <c r="E116" s="105"/>
      <c r="F116" s="105"/>
      <c r="G116" s="105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79"/>
      <c r="AA116" s="80"/>
      <c r="AB116" s="79"/>
    </row>
    <row r="117" spans="2:28" x14ac:dyDescent="0.25">
      <c r="B117" s="121"/>
      <c r="C117" s="129"/>
      <c r="D117" s="120"/>
      <c r="E117" s="105"/>
      <c r="F117" s="105"/>
      <c r="G117" s="105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80"/>
      <c r="Z117" s="79"/>
      <c r="AA117" s="80"/>
      <c r="AB117" s="79"/>
    </row>
    <row r="118" spans="2:28" x14ac:dyDescent="0.25">
      <c r="B118" s="121"/>
      <c r="C118" s="129"/>
      <c r="D118" s="120"/>
      <c r="E118" s="105"/>
      <c r="F118" s="105"/>
      <c r="G118" s="105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80"/>
      <c r="Z118" s="79"/>
      <c r="AA118" s="80"/>
      <c r="AB118" s="79"/>
    </row>
    <row r="119" spans="2:28" x14ac:dyDescent="0.25">
      <c r="B119" s="121"/>
      <c r="C119" s="129"/>
      <c r="D119" s="120"/>
      <c r="E119" s="105"/>
      <c r="F119" s="105"/>
      <c r="G119" s="105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80"/>
      <c r="Z119" s="79"/>
      <c r="AA119" s="80"/>
      <c r="AB119" s="79"/>
    </row>
    <row r="120" spans="2:28" x14ac:dyDescent="0.25">
      <c r="B120" s="121"/>
      <c r="C120" s="129"/>
      <c r="D120" s="120"/>
      <c r="E120" s="105"/>
      <c r="F120" s="105"/>
      <c r="G120" s="105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80"/>
      <c r="Z120" s="79"/>
      <c r="AA120" s="80"/>
      <c r="AB120" s="79"/>
    </row>
    <row r="121" spans="2:28" x14ac:dyDescent="0.25">
      <c r="B121" s="121"/>
      <c r="C121" s="129"/>
      <c r="D121" s="120"/>
      <c r="E121" s="105"/>
      <c r="F121" s="105"/>
      <c r="G121" s="105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80"/>
      <c r="Z121" s="79"/>
      <c r="AA121" s="80"/>
      <c r="AB121" s="79"/>
    </row>
    <row r="122" spans="2:28" x14ac:dyDescent="0.25">
      <c r="B122" s="121"/>
      <c r="C122" s="129"/>
      <c r="D122" s="120"/>
      <c r="E122" s="105"/>
      <c r="F122" s="105"/>
      <c r="G122" s="105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80"/>
      <c r="Z122" s="79"/>
      <c r="AA122" s="80"/>
      <c r="AB122" s="79"/>
    </row>
    <row r="123" spans="2:28" x14ac:dyDescent="0.25">
      <c r="B123" s="121"/>
      <c r="C123" s="129"/>
      <c r="D123" s="120"/>
      <c r="E123" s="105"/>
      <c r="F123" s="105"/>
      <c r="G123" s="105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80"/>
      <c r="Z123" s="79"/>
      <c r="AA123" s="80"/>
      <c r="AB123" s="79"/>
    </row>
    <row r="124" spans="2:28" x14ac:dyDescent="0.25">
      <c r="B124" s="121"/>
      <c r="C124" s="129"/>
      <c r="D124" s="120"/>
      <c r="E124" s="105"/>
      <c r="F124" s="105"/>
      <c r="G124" s="105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80"/>
      <c r="Z124" s="79"/>
      <c r="AA124" s="80"/>
      <c r="AB124" s="79"/>
    </row>
    <row r="125" spans="2:28" x14ac:dyDescent="0.25">
      <c r="B125" s="121"/>
      <c r="C125" s="129"/>
      <c r="D125" s="120"/>
      <c r="E125" s="105"/>
      <c r="F125" s="105"/>
      <c r="G125" s="105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80"/>
      <c r="Z125" s="79"/>
      <c r="AA125" s="80"/>
      <c r="AB125" s="79"/>
    </row>
    <row r="126" spans="2:28" x14ac:dyDescent="0.25">
      <c r="B126" s="121"/>
      <c r="C126" s="129"/>
      <c r="D126" s="120"/>
      <c r="E126" s="105"/>
      <c r="F126" s="105"/>
      <c r="G126" s="105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80"/>
      <c r="Z126" s="79"/>
      <c r="AA126" s="80"/>
      <c r="AB126" s="79"/>
    </row>
    <row r="127" spans="2:28" x14ac:dyDescent="0.25">
      <c r="B127" s="121"/>
      <c r="C127" s="129"/>
      <c r="D127" s="120"/>
      <c r="E127" s="105"/>
      <c r="F127" s="105"/>
      <c r="G127" s="105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80"/>
      <c r="Z127" s="79"/>
      <c r="AA127" s="80"/>
      <c r="AB127" s="79"/>
    </row>
  </sheetData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E17"/>
  <sheetViews>
    <sheetView topLeftCell="K1" workbookViewId="0">
      <selection activeCell="S6" sqref="S6"/>
    </sheetView>
  </sheetViews>
  <sheetFormatPr defaultRowHeight="13.2" x14ac:dyDescent="0.25"/>
  <cols>
    <col min="1" max="1" width="18.6640625" bestFit="1" customWidth="1"/>
    <col min="2" max="2" width="2.33203125" bestFit="1" customWidth="1"/>
    <col min="4" max="4" width="11" bestFit="1" customWidth="1"/>
    <col min="5" max="5" width="2.109375" bestFit="1" customWidth="1"/>
    <col min="6" max="6" width="2.33203125" bestFit="1" customWidth="1"/>
    <col min="7" max="7" width="8.6640625" bestFit="1" customWidth="1"/>
    <col min="8" max="8" width="10.33203125" bestFit="1" customWidth="1"/>
    <col min="9" max="12" width="7.5546875" bestFit="1" customWidth="1"/>
    <col min="13" max="13" width="8.33203125" bestFit="1" customWidth="1"/>
    <col min="14" max="17" width="7.33203125" bestFit="1" customWidth="1"/>
    <col min="18" max="18" width="9.6640625" bestFit="1" customWidth="1"/>
    <col min="19" max="19" width="7.5546875" bestFit="1" customWidth="1"/>
    <col min="20" max="20" width="7.109375" bestFit="1" customWidth="1"/>
    <col min="21" max="21" width="7.6640625" bestFit="1" customWidth="1"/>
    <col min="22" max="22" width="10.6640625" bestFit="1" customWidth="1"/>
    <col min="23" max="23" width="10.33203125" bestFit="1" customWidth="1"/>
    <col min="24" max="24" width="8.6640625" bestFit="1" customWidth="1"/>
    <col min="26" max="26" width="5.109375" bestFit="1" customWidth="1"/>
    <col min="27" max="27" width="6.33203125" bestFit="1" customWidth="1"/>
    <col min="28" max="28" width="7.109375" bestFit="1" customWidth="1"/>
    <col min="29" max="29" width="7.6640625" bestFit="1" customWidth="1"/>
    <col min="30" max="30" width="8.109375" bestFit="1" customWidth="1"/>
    <col min="31" max="31" width="7.109375" bestFit="1" customWidth="1"/>
    <col min="32" max="32" width="7.6640625" bestFit="1" customWidth="1"/>
    <col min="33" max="33" width="6.6640625" bestFit="1" customWidth="1"/>
    <col min="34" max="34" width="7.6640625" bestFit="1" customWidth="1"/>
    <col min="35" max="35" width="7.109375" bestFit="1" customWidth="1"/>
    <col min="36" max="36" width="10.6640625" bestFit="1" customWidth="1"/>
    <col min="37" max="37" width="8.5546875" bestFit="1" customWidth="1"/>
    <col min="38" max="38" width="7.109375" bestFit="1" customWidth="1"/>
    <col min="39" max="39" width="6.5546875" bestFit="1" customWidth="1"/>
    <col min="40" max="41" width="7.5546875" bestFit="1" customWidth="1"/>
    <col min="42" max="43" width="3" bestFit="1" customWidth="1"/>
    <col min="44" max="44" width="8.5546875" bestFit="1" customWidth="1"/>
    <col min="46" max="46" width="2.5546875" bestFit="1" customWidth="1"/>
    <col min="47" max="48" width="3" bestFit="1" customWidth="1"/>
    <col min="49" max="50" width="7.5546875" bestFit="1" customWidth="1"/>
    <col min="51" max="51" width="8.33203125" bestFit="1" customWidth="1"/>
    <col min="52" max="52" width="7" bestFit="1" customWidth="1"/>
    <col min="53" max="53" width="6" bestFit="1" customWidth="1"/>
    <col min="54" max="54" width="9.33203125" bestFit="1" customWidth="1"/>
    <col min="55" max="55" width="8.33203125" bestFit="1" customWidth="1"/>
    <col min="56" max="56" width="9.33203125" bestFit="1" customWidth="1"/>
    <col min="57" max="57" width="10.6640625" bestFit="1" customWidth="1"/>
    <col min="58" max="59" width="4" bestFit="1" customWidth="1"/>
    <col min="60" max="60" width="7.5546875" bestFit="1" customWidth="1"/>
    <col min="61" max="62" width="7.33203125" bestFit="1" customWidth="1"/>
    <col min="63" max="63" width="16.109375" bestFit="1" customWidth="1"/>
    <col min="64" max="64" width="15.109375" bestFit="1" customWidth="1"/>
  </cols>
  <sheetData>
    <row r="4" spans="1:83" ht="14.25" hidden="1" customHeight="1" x14ac:dyDescent="0.25"/>
    <row r="5" spans="1:83" ht="224.4" x14ac:dyDescent="0.25">
      <c r="A5" s="329" t="s">
        <v>246</v>
      </c>
      <c r="B5" s="330" t="s">
        <v>247</v>
      </c>
      <c r="C5" s="331" t="s">
        <v>248</v>
      </c>
      <c r="D5" s="331" t="s">
        <v>249</v>
      </c>
      <c r="E5" s="332" t="s">
        <v>250</v>
      </c>
      <c r="F5" s="332" t="s">
        <v>251</v>
      </c>
      <c r="G5" s="333" t="s">
        <v>252</v>
      </c>
      <c r="H5" s="334" t="s">
        <v>253</v>
      </c>
      <c r="I5" s="335" t="s">
        <v>254</v>
      </c>
      <c r="J5" s="336" t="s">
        <v>255</v>
      </c>
      <c r="K5" s="337" t="s">
        <v>256</v>
      </c>
      <c r="L5" s="337" t="s">
        <v>257</v>
      </c>
      <c r="M5" s="338" t="s">
        <v>258</v>
      </c>
      <c r="N5" s="339" t="s">
        <v>259</v>
      </c>
      <c r="O5" s="339" t="s">
        <v>260</v>
      </c>
      <c r="P5" s="339" t="s">
        <v>261</v>
      </c>
      <c r="Q5" s="339" t="s">
        <v>262</v>
      </c>
      <c r="R5" s="340" t="s">
        <v>263</v>
      </c>
      <c r="S5" s="341" t="s">
        <v>264</v>
      </c>
      <c r="T5" s="342" t="s">
        <v>265</v>
      </c>
      <c r="U5" s="343" t="s">
        <v>266</v>
      </c>
      <c r="V5" s="344" t="s">
        <v>267</v>
      </c>
      <c r="W5" s="345" t="s">
        <v>268</v>
      </c>
      <c r="X5" s="346" t="s">
        <v>269</v>
      </c>
      <c r="Y5" s="347" t="s">
        <v>270</v>
      </c>
      <c r="Z5" s="347" t="s">
        <v>271</v>
      </c>
      <c r="AA5" s="347" t="s">
        <v>272</v>
      </c>
      <c r="AB5" s="348" t="s">
        <v>273</v>
      </c>
      <c r="AC5" s="348" t="s">
        <v>274</v>
      </c>
      <c r="AD5" s="349" t="s">
        <v>275</v>
      </c>
      <c r="AE5" s="349" t="s">
        <v>276</v>
      </c>
      <c r="AF5" s="349" t="s">
        <v>277</v>
      </c>
      <c r="AG5" s="349" t="s">
        <v>278</v>
      </c>
      <c r="AH5" s="349" t="s">
        <v>259</v>
      </c>
      <c r="AI5" s="348" t="s">
        <v>279</v>
      </c>
      <c r="AJ5" s="350" t="s">
        <v>280</v>
      </c>
      <c r="AK5" s="350" t="s">
        <v>281</v>
      </c>
      <c r="AL5" s="350" t="s">
        <v>282</v>
      </c>
      <c r="AM5" s="350" t="s">
        <v>283</v>
      </c>
      <c r="AN5" s="350" t="s">
        <v>284</v>
      </c>
      <c r="AO5" s="350" t="s">
        <v>276</v>
      </c>
      <c r="AP5" s="350" t="s">
        <v>262</v>
      </c>
      <c r="AQ5" s="350" t="s">
        <v>285</v>
      </c>
      <c r="AR5" s="350" t="s">
        <v>286</v>
      </c>
      <c r="AS5" s="351"/>
      <c r="AT5" s="352"/>
      <c r="AU5" s="353" t="s">
        <v>287</v>
      </c>
      <c r="AV5" s="353" t="s">
        <v>288</v>
      </c>
      <c r="AW5" s="354" t="s">
        <v>289</v>
      </c>
      <c r="AX5" s="354" t="s">
        <v>290</v>
      </c>
      <c r="AY5" s="355" t="s">
        <v>291</v>
      </c>
      <c r="AZ5" s="353" t="s">
        <v>292</v>
      </c>
      <c r="BA5" s="353" t="s">
        <v>293</v>
      </c>
      <c r="BB5" s="355" t="s">
        <v>294</v>
      </c>
      <c r="BC5" s="355" t="s">
        <v>295</v>
      </c>
      <c r="BD5" s="355" t="s">
        <v>296</v>
      </c>
      <c r="BE5" s="356" t="s">
        <v>297</v>
      </c>
      <c r="BF5" s="353" t="s">
        <v>298</v>
      </c>
      <c r="BG5" s="353" t="s">
        <v>299</v>
      </c>
      <c r="BH5" s="354" t="s">
        <v>300</v>
      </c>
      <c r="BI5" s="357" t="s">
        <v>301</v>
      </c>
      <c r="BJ5" s="357" t="s">
        <v>302</v>
      </c>
      <c r="BK5" s="358" t="s">
        <v>303</v>
      </c>
      <c r="BL5" s="359" t="s">
        <v>304</v>
      </c>
      <c r="BM5" s="351"/>
      <c r="BN5" s="351"/>
      <c r="BO5" s="351"/>
      <c r="BP5" s="351"/>
      <c r="BQ5" s="351"/>
      <c r="BR5" s="351"/>
      <c r="BS5" s="351"/>
      <c r="BT5" s="351"/>
      <c r="BU5" s="351"/>
      <c r="BV5" s="351"/>
      <c r="BW5" s="351"/>
      <c r="BX5" s="351"/>
      <c r="BY5" s="351"/>
      <c r="BZ5" s="351"/>
      <c r="CA5" s="351"/>
      <c r="CB5" s="351"/>
      <c r="CC5" s="351"/>
      <c r="CD5" s="351"/>
      <c r="CE5" s="351"/>
    </row>
    <row r="6" spans="1:83" x14ac:dyDescent="0.25">
      <c r="A6" s="304" t="s">
        <v>217</v>
      </c>
      <c r="B6" s="305" t="s">
        <v>218</v>
      </c>
      <c r="C6" s="304" t="s">
        <v>219</v>
      </c>
      <c r="D6" s="304" t="s">
        <v>94</v>
      </c>
      <c r="E6" s="305" t="s">
        <v>220</v>
      </c>
      <c r="F6" s="305" t="s">
        <v>221</v>
      </c>
      <c r="G6" s="306">
        <v>37257</v>
      </c>
      <c r="H6" s="307">
        <v>-8250000</v>
      </c>
      <c r="I6" s="308">
        <v>0.25</v>
      </c>
      <c r="J6" s="309">
        <v>3.25</v>
      </c>
      <c r="K6" s="309">
        <v>0.06</v>
      </c>
      <c r="L6" s="309">
        <v>3.31</v>
      </c>
      <c r="M6" s="310">
        <v>2.3764979897465299E-2</v>
      </c>
      <c r="N6" s="311">
        <v>0.78500000000000003</v>
      </c>
      <c r="O6" s="311">
        <v>0.84799999999999998</v>
      </c>
      <c r="P6" s="311">
        <v>0.84799999999999998</v>
      </c>
      <c r="Q6" s="311">
        <v>0.93</v>
      </c>
      <c r="R6" s="312">
        <v>37253</v>
      </c>
      <c r="S6" s="309">
        <v>0.10059046419211953</v>
      </c>
      <c r="T6" s="313">
        <v>0.36066229705196728</v>
      </c>
      <c r="U6" s="313">
        <v>-0.313891430254159</v>
      </c>
      <c r="V6" s="314">
        <v>-829871.3295849862</v>
      </c>
      <c r="W6" s="307">
        <v>-2975463.9506787299</v>
      </c>
      <c r="X6" s="307">
        <v>-385859.65108191833</v>
      </c>
      <c r="Y6" s="307"/>
      <c r="Z6" s="315">
        <v>-825</v>
      </c>
      <c r="AA6" s="316">
        <v>0</v>
      </c>
      <c r="AB6" s="317">
        <v>0.84939193156722215</v>
      </c>
      <c r="AC6" s="317">
        <v>-7.0074834354295827</v>
      </c>
      <c r="AD6" s="318">
        <v>83360.333467921155</v>
      </c>
      <c r="AE6" s="318">
        <v>10543.899495128275</v>
      </c>
      <c r="AF6" s="318">
        <v>-22657.24740594393</v>
      </c>
      <c r="AG6" s="318">
        <v>7206.7233777890388</v>
      </c>
      <c r="AH6" s="318">
        <v>-17268.876367740198</v>
      </c>
      <c r="AI6" s="317">
        <v>0.70606980959627386</v>
      </c>
      <c r="AJ6" s="319">
        <v>-993311.00593213865</v>
      </c>
      <c r="AK6" s="319">
        <v>140111.32128691697</v>
      </c>
      <c r="AL6" s="319">
        <v>-23.743651856551878</v>
      </c>
      <c r="AM6" s="319">
        <v>89.553502980154008</v>
      </c>
      <c r="AN6" s="319">
        <v>13619.159436400398</v>
      </c>
      <c r="AO6" s="319">
        <v>11248.538674967247</v>
      </c>
      <c r="AP6" s="319">
        <v>0</v>
      </c>
      <c r="AQ6" s="319">
        <v>0</v>
      </c>
      <c r="AR6" s="319">
        <v>163439.67634715245</v>
      </c>
      <c r="AS6" s="320"/>
      <c r="AT6" s="321">
        <v>1</v>
      </c>
      <c r="AU6" s="322">
        <v>12</v>
      </c>
      <c r="AV6" s="322">
        <v>19</v>
      </c>
      <c r="AW6" s="323">
        <v>3.3260000000000001</v>
      </c>
      <c r="AX6" s="323">
        <v>3.4210000000000003</v>
      </c>
      <c r="AY6" s="324">
        <v>2.38992978137045E-2</v>
      </c>
      <c r="AZ6" s="325">
        <v>0.79249999999999998</v>
      </c>
      <c r="BA6" s="325">
        <v>0.85599999999999998</v>
      </c>
      <c r="BB6" s="324">
        <v>0.93</v>
      </c>
      <c r="BC6" s="324">
        <v>0</v>
      </c>
      <c r="BD6" s="324">
        <v>0.85599999999999998</v>
      </c>
      <c r="BE6" s="326">
        <v>-993311.00593213865</v>
      </c>
      <c r="BF6" s="322">
        <v>64</v>
      </c>
      <c r="BG6" s="322">
        <v>65</v>
      </c>
      <c r="BH6" s="323">
        <v>0.25</v>
      </c>
      <c r="BI6" s="327">
        <v>0.99561132079096881</v>
      </c>
      <c r="BJ6" s="327">
        <v>0.99552196185221098</v>
      </c>
      <c r="BK6" s="325" t="s">
        <v>222</v>
      </c>
      <c r="BL6" s="328" t="s">
        <v>223</v>
      </c>
      <c r="BM6" s="320"/>
      <c r="BN6" s="208"/>
      <c r="BO6" s="208"/>
      <c r="BP6" s="208"/>
      <c r="BQ6" s="208"/>
      <c r="BR6" s="208"/>
      <c r="BS6" s="208"/>
      <c r="BT6" s="208"/>
      <c r="BU6" s="208"/>
      <c r="BV6" s="208"/>
    </row>
    <row r="7" spans="1:83" x14ac:dyDescent="0.25">
      <c r="A7" s="304" t="s">
        <v>217</v>
      </c>
      <c r="B7" s="305" t="s">
        <v>218</v>
      </c>
      <c r="C7" s="304" t="s">
        <v>219</v>
      </c>
      <c r="D7" s="304" t="s">
        <v>94</v>
      </c>
      <c r="E7" s="305" t="s">
        <v>220</v>
      </c>
      <c r="F7" s="305" t="s">
        <v>221</v>
      </c>
      <c r="G7" s="306">
        <v>37288</v>
      </c>
      <c r="H7" s="307">
        <v>-8250000</v>
      </c>
      <c r="I7" s="308">
        <v>0.25</v>
      </c>
      <c r="J7" s="309">
        <v>3.2480000000000002</v>
      </c>
      <c r="K7" s="309">
        <v>0.05</v>
      </c>
      <c r="L7" s="309">
        <v>3.298</v>
      </c>
      <c r="M7" s="310">
        <v>2.3552572431166499E-2</v>
      </c>
      <c r="N7" s="311">
        <v>0.72499999999999998</v>
      </c>
      <c r="O7" s="311">
        <v>0.78300000000000003</v>
      </c>
      <c r="P7" s="311">
        <v>0.78300000000000003</v>
      </c>
      <c r="Q7" s="311">
        <v>0.93</v>
      </c>
      <c r="R7" s="312">
        <v>37286</v>
      </c>
      <c r="S7" s="309">
        <v>0.119128305331759</v>
      </c>
      <c r="T7" s="313">
        <v>0.37473577091897126</v>
      </c>
      <c r="U7" s="313">
        <v>-0.32103462860907495</v>
      </c>
      <c r="V7" s="314">
        <v>-982808.51898701175</v>
      </c>
      <c r="W7" s="307">
        <v>-3091570.1100815129</v>
      </c>
      <c r="X7" s="307">
        <v>-443034.42405664455</v>
      </c>
      <c r="Y7" s="307"/>
      <c r="Z7" s="315">
        <v>-825</v>
      </c>
      <c r="AA7" s="316">
        <v>0</v>
      </c>
      <c r="AB7" s="317">
        <v>0.75830522104870401</v>
      </c>
      <c r="AC7" s="317">
        <v>-6.2560180736518083</v>
      </c>
      <c r="AD7" s="318">
        <v>95515.855753920216</v>
      </c>
      <c r="AE7" s="318">
        <v>7947.5507975722185</v>
      </c>
      <c r="AF7" s="318">
        <v>-28047.36259551012</v>
      </c>
      <c r="AG7" s="318">
        <v>8869.5757476401668</v>
      </c>
      <c r="AH7" s="318">
        <v>-21421.575855510764</v>
      </c>
      <c r="AI7" s="317">
        <v>0.66057649888832248</v>
      </c>
      <c r="AJ7" s="319">
        <v>-1039551.3824677939</v>
      </c>
      <c r="AK7" s="319">
        <v>32967.601687919814</v>
      </c>
      <c r="AL7" s="319">
        <v>-40.253237774362788</v>
      </c>
      <c r="AM7" s="319">
        <v>107.92494040669408</v>
      </c>
      <c r="AN7" s="319">
        <v>16269.896423518076</v>
      </c>
      <c r="AO7" s="319">
        <v>8206.308622327866</v>
      </c>
      <c r="AP7" s="319">
        <v>0</v>
      </c>
      <c r="AQ7" s="319">
        <v>0</v>
      </c>
      <c r="AR7" s="319">
        <v>56742.863480782136</v>
      </c>
      <c r="AS7" s="320"/>
      <c r="AT7" s="321">
        <v>1</v>
      </c>
      <c r="AU7" s="322">
        <v>13</v>
      </c>
      <c r="AV7" s="322">
        <v>20</v>
      </c>
      <c r="AW7" s="323">
        <v>3.3210000000000002</v>
      </c>
      <c r="AX7" s="323">
        <v>3.371</v>
      </c>
      <c r="AY7" s="324">
        <v>2.36968871405265E-2</v>
      </c>
      <c r="AZ7" s="325">
        <v>0.73250000000000004</v>
      </c>
      <c r="BA7" s="325">
        <v>0.79100000000000004</v>
      </c>
      <c r="BB7" s="324">
        <v>0.93</v>
      </c>
      <c r="BC7" s="324">
        <v>0</v>
      </c>
      <c r="BD7" s="324">
        <v>0.79100000000000004</v>
      </c>
      <c r="BE7" s="326">
        <v>-1039551.3824677939</v>
      </c>
      <c r="BF7" s="322">
        <v>97</v>
      </c>
      <c r="BG7" s="322">
        <v>98</v>
      </c>
      <c r="BH7" s="323">
        <v>0.25</v>
      </c>
      <c r="BI7" s="327">
        <v>0.99367353397830227</v>
      </c>
      <c r="BJ7" s="327">
        <v>0.9935710352440521</v>
      </c>
      <c r="BK7" s="325" t="s">
        <v>224</v>
      </c>
      <c r="BL7" s="328" t="s">
        <v>225</v>
      </c>
      <c r="BM7" s="320"/>
      <c r="BN7" s="208"/>
      <c r="BO7" s="208"/>
      <c r="BP7" s="208"/>
      <c r="BQ7" s="208"/>
      <c r="BR7" s="208"/>
      <c r="BS7" s="208"/>
      <c r="BT7" s="208"/>
      <c r="BU7" s="208"/>
      <c r="BV7" s="208"/>
    </row>
    <row r="8" spans="1:83" x14ac:dyDescent="0.25">
      <c r="A8" s="304" t="s">
        <v>217</v>
      </c>
      <c r="B8" s="305" t="s">
        <v>218</v>
      </c>
      <c r="C8" s="304" t="s">
        <v>219</v>
      </c>
      <c r="D8" s="304" t="s">
        <v>94</v>
      </c>
      <c r="E8" s="305" t="s">
        <v>220</v>
      </c>
      <c r="F8" s="305" t="s">
        <v>221</v>
      </c>
      <c r="G8" s="306">
        <v>37316</v>
      </c>
      <c r="H8" s="307">
        <v>-8250000</v>
      </c>
      <c r="I8" s="308">
        <v>0.25</v>
      </c>
      <c r="J8" s="309">
        <v>3.1949999999999998</v>
      </c>
      <c r="K8" s="309">
        <v>0.03</v>
      </c>
      <c r="L8" s="309">
        <v>3.2250000000000001</v>
      </c>
      <c r="M8" s="310">
        <v>2.3027261633295399E-2</v>
      </c>
      <c r="N8" s="311">
        <v>0.65</v>
      </c>
      <c r="O8" s="311">
        <v>0.70199999999999996</v>
      </c>
      <c r="P8" s="311">
        <v>0.70199999999999996</v>
      </c>
      <c r="Q8" s="311">
        <v>0.93</v>
      </c>
      <c r="R8" s="312">
        <v>37314</v>
      </c>
      <c r="S8" s="309">
        <v>0.11203136587660585</v>
      </c>
      <c r="T8" s="313">
        <v>0.35995362582069368</v>
      </c>
      <c r="U8" s="313">
        <v>-0.30626599155304352</v>
      </c>
      <c r="V8" s="314">
        <v>-924258.76848199824</v>
      </c>
      <c r="W8" s="307">
        <v>-2969617.413020723</v>
      </c>
      <c r="X8" s="307">
        <v>-442922.98270811385</v>
      </c>
      <c r="Y8" s="307"/>
      <c r="Z8" s="315">
        <v>-825</v>
      </c>
      <c r="AA8" s="316">
        <v>0</v>
      </c>
      <c r="AB8" s="317">
        <v>0.75090706084760117</v>
      </c>
      <c r="AC8" s="317">
        <v>-6.1949832519927099</v>
      </c>
      <c r="AD8" s="318">
        <v>93605.156969931268</v>
      </c>
      <c r="AE8" s="318">
        <v>6044.3792133762254</v>
      </c>
      <c r="AF8" s="318">
        <v>-30787.874466149933</v>
      </c>
      <c r="AG8" s="318">
        <v>9795.0885928858861</v>
      </c>
      <c r="AH8" s="318">
        <v>-23455.815830556036</v>
      </c>
      <c r="AI8" s="317">
        <v>0.72849014819693902</v>
      </c>
      <c r="AJ8" s="319">
        <v>-977401.57562773</v>
      </c>
      <c r="AK8" s="319">
        <v>29816.984164387803</v>
      </c>
      <c r="AL8" s="319">
        <v>-89.120484721730463</v>
      </c>
      <c r="AM8" s="319">
        <v>151.97982856992166</v>
      </c>
      <c r="AN8" s="319">
        <v>17774.390260023298</v>
      </c>
      <c r="AO8" s="319">
        <v>6246.3752425329294</v>
      </c>
      <c r="AP8" s="319">
        <v>0</v>
      </c>
      <c r="AQ8" s="319">
        <v>0</v>
      </c>
      <c r="AR8" s="319">
        <v>53142.807145731756</v>
      </c>
      <c r="AS8" s="320"/>
      <c r="AT8" s="321">
        <v>1</v>
      </c>
      <c r="AU8" s="322">
        <v>14</v>
      </c>
      <c r="AV8" s="322">
        <v>21</v>
      </c>
      <c r="AW8" s="323">
        <v>3.2610000000000001</v>
      </c>
      <c r="AX8" s="323">
        <v>3.2909999999999999</v>
      </c>
      <c r="AY8" s="324">
        <v>2.3291566028777098E-2</v>
      </c>
      <c r="AZ8" s="325">
        <v>0.65749999999999997</v>
      </c>
      <c r="BA8" s="325">
        <v>0.71</v>
      </c>
      <c r="BB8" s="324">
        <v>0.93</v>
      </c>
      <c r="BC8" s="324">
        <v>0</v>
      </c>
      <c r="BD8" s="324">
        <v>0.71</v>
      </c>
      <c r="BE8" s="326">
        <v>-977401.57562773</v>
      </c>
      <c r="BF8" s="322">
        <v>125</v>
      </c>
      <c r="BG8" s="322">
        <v>126</v>
      </c>
      <c r="BH8" s="323">
        <v>0.25</v>
      </c>
      <c r="BI8" s="327">
        <v>0.99207060617160048</v>
      </c>
      <c r="BJ8" s="327">
        <v>0.99191759219903686</v>
      </c>
      <c r="BK8" s="325" t="s">
        <v>226</v>
      </c>
      <c r="BL8" s="328" t="s">
        <v>227</v>
      </c>
      <c r="BM8" s="320"/>
      <c r="BN8" s="208"/>
      <c r="BO8" s="208"/>
      <c r="BP8" s="208"/>
      <c r="BQ8" s="208"/>
      <c r="BR8" s="208"/>
      <c r="BS8" s="208"/>
      <c r="BT8" s="208"/>
      <c r="BU8" s="208"/>
      <c r="BV8" s="208"/>
    </row>
    <row r="9" spans="1:83" x14ac:dyDescent="0.25">
      <c r="A9" s="304" t="s">
        <v>217</v>
      </c>
      <c r="B9" s="305" t="s">
        <v>218</v>
      </c>
      <c r="C9" s="304" t="s">
        <v>219</v>
      </c>
      <c r="D9" s="304" t="s">
        <v>94</v>
      </c>
      <c r="E9" s="305" t="s">
        <v>220</v>
      </c>
      <c r="F9" s="305" t="s">
        <v>221</v>
      </c>
      <c r="G9" s="306">
        <v>37347</v>
      </c>
      <c r="H9" s="307">
        <v>-8250000</v>
      </c>
      <c r="I9" s="308">
        <v>0.25</v>
      </c>
      <c r="J9" s="309">
        <v>3.0950000000000002</v>
      </c>
      <c r="K9" s="309">
        <v>3.5000000000000003E-2</v>
      </c>
      <c r="L9" s="309">
        <v>3.13</v>
      </c>
      <c r="M9" s="310">
        <v>2.26849174085424E-2</v>
      </c>
      <c r="N9" s="311">
        <v>0.52249999999999996</v>
      </c>
      <c r="O9" s="311">
        <v>0.52300000000000002</v>
      </c>
      <c r="P9" s="311">
        <v>0.52300000000000002</v>
      </c>
      <c r="Q9" s="311">
        <v>0.93</v>
      </c>
      <c r="R9" s="312">
        <v>37343</v>
      </c>
      <c r="S9" s="309">
        <v>7.5301422409989549E-2</v>
      </c>
      <c r="T9" s="313">
        <v>0.31646138447290356</v>
      </c>
      <c r="U9" s="313">
        <v>-0.27380318675439969</v>
      </c>
      <c r="V9" s="314">
        <v>-621236.73488241376</v>
      </c>
      <c r="W9" s="307">
        <v>-2610806.4219014542</v>
      </c>
      <c r="X9" s="307">
        <v>-351930.13117765699</v>
      </c>
      <c r="Y9" s="307"/>
      <c r="Z9" s="315">
        <v>-825</v>
      </c>
      <c r="AA9" s="316">
        <v>0</v>
      </c>
      <c r="AB9" s="317">
        <v>0.90504694000672781</v>
      </c>
      <c r="AC9" s="317">
        <v>-7.4666372550555051</v>
      </c>
      <c r="AD9" s="318">
        <v>78013.833664063452</v>
      </c>
      <c r="AE9" s="318">
        <v>3679.8281952345847</v>
      </c>
      <c r="AF9" s="318">
        <v>-22580.330911348621</v>
      </c>
      <c r="AG9" s="318">
        <v>697.72645538846371</v>
      </c>
      <c r="AH9" s="318">
        <v>-21904.212428124134</v>
      </c>
      <c r="AI9" s="317">
        <v>0.91965692895064954</v>
      </c>
      <c r="AJ9" s="319">
        <v>-652073.49330170476</v>
      </c>
      <c r="AK9" s="319">
        <v>5232.5779419735773</v>
      </c>
      <c r="AL9" s="319">
        <v>-100.36212903598789</v>
      </c>
      <c r="AM9" s="319">
        <v>143.46002223389223</v>
      </c>
      <c r="AN9" s="319">
        <v>22304.061211714521</v>
      </c>
      <c r="AO9" s="319">
        <v>3808.7142812414095</v>
      </c>
      <c r="AP9" s="319">
        <v>0</v>
      </c>
      <c r="AQ9" s="319">
        <v>0</v>
      </c>
      <c r="AR9" s="319">
        <v>30836.758419291</v>
      </c>
      <c r="AS9" s="320"/>
      <c r="AT9" s="321">
        <v>1</v>
      </c>
      <c r="AU9" s="322">
        <v>15</v>
      </c>
      <c r="AV9" s="322">
        <v>22</v>
      </c>
      <c r="AW9" s="323">
        <v>3.1459999999999999</v>
      </c>
      <c r="AX9" s="323">
        <v>3.1759999999999997</v>
      </c>
      <c r="AY9" s="324">
        <v>2.3047576380458502E-2</v>
      </c>
      <c r="AZ9" s="325">
        <v>0.53249999999999997</v>
      </c>
      <c r="BA9" s="325">
        <v>0.53300000000000003</v>
      </c>
      <c r="BB9" s="324">
        <v>0.93</v>
      </c>
      <c r="BC9" s="324">
        <v>0</v>
      </c>
      <c r="BD9" s="324">
        <v>0.53300000000000003</v>
      </c>
      <c r="BE9" s="326">
        <v>-652073.49330170476</v>
      </c>
      <c r="BF9" s="322">
        <v>154</v>
      </c>
      <c r="BG9" s="322">
        <v>155</v>
      </c>
      <c r="BH9" s="323">
        <v>0.25</v>
      </c>
      <c r="BI9" s="327">
        <v>0.99028963661068947</v>
      </c>
      <c r="BJ9" s="327">
        <v>0.99007392962680418</v>
      </c>
      <c r="BK9" s="325" t="s">
        <v>228</v>
      </c>
      <c r="BL9" s="328" t="s">
        <v>229</v>
      </c>
      <c r="BM9" s="320"/>
      <c r="BN9" s="208"/>
      <c r="BO9" s="208"/>
      <c r="BP9" s="208"/>
      <c r="BQ9" s="208"/>
      <c r="BR9" s="208"/>
      <c r="BS9" s="208"/>
      <c r="BT9" s="208"/>
      <c r="BU9" s="208"/>
      <c r="BV9" s="208"/>
    </row>
    <row r="10" spans="1:83" x14ac:dyDescent="0.25">
      <c r="A10" s="304" t="s">
        <v>217</v>
      </c>
      <c r="B10" s="305" t="s">
        <v>218</v>
      </c>
      <c r="C10" s="304" t="s">
        <v>219</v>
      </c>
      <c r="D10" s="304" t="s">
        <v>94</v>
      </c>
      <c r="E10" s="305" t="s">
        <v>220</v>
      </c>
      <c r="F10" s="305" t="s">
        <v>221</v>
      </c>
      <c r="G10" s="306">
        <v>37377</v>
      </c>
      <c r="H10" s="307">
        <v>-8250000</v>
      </c>
      <c r="I10" s="308">
        <v>0.25</v>
      </c>
      <c r="J10" s="309">
        <v>3.125</v>
      </c>
      <c r="K10" s="309">
        <v>6.5000000000000002E-2</v>
      </c>
      <c r="L10" s="309">
        <v>3.19</v>
      </c>
      <c r="M10" s="310">
        <v>2.26737414033105E-2</v>
      </c>
      <c r="N10" s="311">
        <v>0.47</v>
      </c>
      <c r="O10" s="311">
        <v>0.47</v>
      </c>
      <c r="P10" s="311">
        <v>0.47</v>
      </c>
      <c r="Q10" s="311">
        <v>0.93</v>
      </c>
      <c r="R10" s="312">
        <v>37375</v>
      </c>
      <c r="S10" s="309">
        <v>8.4556360360052291E-2</v>
      </c>
      <c r="T10" s="313">
        <v>0.34241982957181172</v>
      </c>
      <c r="U10" s="313">
        <v>-0.29875916250443674</v>
      </c>
      <c r="V10" s="314">
        <v>-697589.97297043144</v>
      </c>
      <c r="W10" s="307">
        <v>-2824963.5939674466</v>
      </c>
      <c r="X10" s="307">
        <v>-360200.50330584357</v>
      </c>
      <c r="Y10" s="307"/>
      <c r="Z10" s="315">
        <v>-825</v>
      </c>
      <c r="AA10" s="316">
        <v>0</v>
      </c>
      <c r="AB10" s="317">
        <v>0.92660411268661402</v>
      </c>
      <c r="AC10" s="317">
        <v>-7.644483929664565</v>
      </c>
      <c r="AD10" s="318">
        <v>81049.288824528339</v>
      </c>
      <c r="AE10" s="318">
        <v>3149.4953724647971</v>
      </c>
      <c r="AF10" s="318">
        <v>-25813.145821657261</v>
      </c>
      <c r="AG10" s="318">
        <v>559.53687175473033</v>
      </c>
      <c r="AH10" s="318">
        <v>-25253.608949902529</v>
      </c>
      <c r="AI10" s="317">
        <v>0.80700927207301199</v>
      </c>
      <c r="AJ10" s="319">
        <v>-717725.63355454046</v>
      </c>
      <c r="AK10" s="319">
        <v>4460.2912600049749</v>
      </c>
      <c r="AL10" s="319">
        <v>-150.4181443802081</v>
      </c>
      <c r="AM10" s="319">
        <v>196.89367541973479</v>
      </c>
      <c r="AN10" s="319">
        <v>12832.103134068544</v>
      </c>
      <c r="AO10" s="319">
        <v>3221.4404170959024</v>
      </c>
      <c r="AP10" s="319">
        <v>0</v>
      </c>
      <c r="AQ10" s="319">
        <v>0</v>
      </c>
      <c r="AR10" s="319">
        <v>20135.66058410902</v>
      </c>
      <c r="AS10" s="320"/>
      <c r="AT10" s="321">
        <v>1</v>
      </c>
      <c r="AU10" s="322">
        <v>16</v>
      </c>
      <c r="AV10" s="322">
        <v>23</v>
      </c>
      <c r="AW10" s="323">
        <v>3.1760000000000002</v>
      </c>
      <c r="AX10" s="323">
        <v>3.2360000000000002</v>
      </c>
      <c r="AY10" s="324">
        <v>2.3083044360665099E-2</v>
      </c>
      <c r="AZ10" s="325">
        <v>0.47499999999999998</v>
      </c>
      <c r="BA10" s="325">
        <v>0.47499999999999998</v>
      </c>
      <c r="BB10" s="324">
        <v>0.93</v>
      </c>
      <c r="BC10" s="324">
        <v>0</v>
      </c>
      <c r="BD10" s="324">
        <v>0.47499999999999998</v>
      </c>
      <c r="BE10" s="326">
        <v>-717725.63355454046</v>
      </c>
      <c r="BF10" s="322">
        <v>186</v>
      </c>
      <c r="BG10" s="322">
        <v>187</v>
      </c>
      <c r="BH10" s="323">
        <v>0.25</v>
      </c>
      <c r="BI10" s="327">
        <v>0.9884621984865285</v>
      </c>
      <c r="BJ10" s="327">
        <v>0.98819423495672565</v>
      </c>
      <c r="BK10" s="325" t="s">
        <v>230</v>
      </c>
      <c r="BL10" s="328" t="s">
        <v>231</v>
      </c>
      <c r="BM10" s="320"/>
      <c r="BN10" s="208"/>
      <c r="BO10" s="208"/>
      <c r="BP10" s="208"/>
      <c r="BQ10" s="208"/>
      <c r="BR10" s="208"/>
      <c r="BS10" s="208"/>
      <c r="BT10" s="208"/>
      <c r="BU10" s="208"/>
      <c r="BV10" s="208"/>
    </row>
    <row r="11" spans="1:83" x14ac:dyDescent="0.25">
      <c r="A11" s="304" t="s">
        <v>217</v>
      </c>
      <c r="B11" s="305" t="s">
        <v>218</v>
      </c>
      <c r="C11" s="304" t="s">
        <v>219</v>
      </c>
      <c r="D11" s="304" t="s">
        <v>94</v>
      </c>
      <c r="E11" s="305" t="s">
        <v>220</v>
      </c>
      <c r="F11" s="305" t="s">
        <v>221</v>
      </c>
      <c r="G11" s="306">
        <v>37408</v>
      </c>
      <c r="H11" s="307">
        <v>-8250000</v>
      </c>
      <c r="I11" s="308">
        <v>0.25</v>
      </c>
      <c r="J11" s="309">
        <v>3.165</v>
      </c>
      <c r="K11" s="309">
        <v>0.12</v>
      </c>
      <c r="L11" s="309">
        <v>3.2850000000000001</v>
      </c>
      <c r="M11" s="310">
        <v>2.2662192864614499E-2</v>
      </c>
      <c r="N11" s="311">
        <v>0.45750000000000002</v>
      </c>
      <c r="O11" s="311">
        <v>0.45800000000000002</v>
      </c>
      <c r="P11" s="311">
        <v>0.45800000000000002</v>
      </c>
      <c r="Q11" s="311">
        <v>0.93</v>
      </c>
      <c r="R11" s="312">
        <v>37406</v>
      </c>
      <c r="S11" s="309">
        <v>0.11460610532892521</v>
      </c>
      <c r="T11" s="313">
        <v>0.40213508890184851</v>
      </c>
      <c r="U11" s="313">
        <v>-0.3534615163987409</v>
      </c>
      <c r="V11" s="314">
        <v>-945500.36896363297</v>
      </c>
      <c r="W11" s="307">
        <v>-3317614.4834402502</v>
      </c>
      <c r="X11" s="307">
        <v>-401556.97315063776</v>
      </c>
      <c r="Y11" s="307"/>
      <c r="Z11" s="315">
        <v>-825</v>
      </c>
      <c r="AA11" s="316">
        <v>0</v>
      </c>
      <c r="AB11" s="317">
        <v>0.89755523433983686</v>
      </c>
      <c r="AC11" s="317">
        <v>-7.4048306833036541</v>
      </c>
      <c r="AD11" s="318">
        <v>92214.360056501333</v>
      </c>
      <c r="AE11" s="318">
        <v>3056.7781398914772</v>
      </c>
      <c r="AF11" s="318">
        <v>-30182.139581464915</v>
      </c>
      <c r="AG11" s="318">
        <v>680.83184529235325</v>
      </c>
      <c r="AH11" s="318">
        <v>-29534.293681070336</v>
      </c>
      <c r="AI11" s="317">
        <v>0.54514775624424328</v>
      </c>
      <c r="AJ11" s="319">
        <v>-969264.93527401856</v>
      </c>
      <c r="AK11" s="319">
        <v>6182.2455785740167</v>
      </c>
      <c r="AL11" s="319">
        <v>-264.70419203210622</v>
      </c>
      <c r="AM11" s="319">
        <v>328.3349211566383</v>
      </c>
      <c r="AN11" s="319">
        <v>14994.828203975107</v>
      </c>
      <c r="AO11" s="319">
        <v>3128.5212103377562</v>
      </c>
      <c r="AP11" s="319">
        <v>0</v>
      </c>
      <c r="AQ11" s="319">
        <v>0</v>
      </c>
      <c r="AR11" s="319">
        <v>23764.566310385591</v>
      </c>
      <c r="AS11" s="320"/>
      <c r="AT11" s="321">
        <v>1</v>
      </c>
      <c r="AU11" s="322">
        <v>17</v>
      </c>
      <c r="AV11" s="322">
        <v>24</v>
      </c>
      <c r="AW11" s="323">
        <v>3.2210000000000001</v>
      </c>
      <c r="AX11" s="323">
        <v>3.3360000000000003</v>
      </c>
      <c r="AY11" s="324">
        <v>2.3119694607325301E-2</v>
      </c>
      <c r="AZ11" s="325">
        <v>0.46250000000000002</v>
      </c>
      <c r="BA11" s="325">
        <v>0.46300000000000002</v>
      </c>
      <c r="BB11" s="324">
        <v>0.93</v>
      </c>
      <c r="BC11" s="324">
        <v>0</v>
      </c>
      <c r="BD11" s="324">
        <v>0.46300000000000002</v>
      </c>
      <c r="BE11" s="326">
        <v>-969264.93527401856</v>
      </c>
      <c r="BF11" s="322">
        <v>217</v>
      </c>
      <c r="BG11" s="322">
        <v>218</v>
      </c>
      <c r="BH11" s="323">
        <v>0.25</v>
      </c>
      <c r="BI11" s="327">
        <v>0.98657926997369783</v>
      </c>
      <c r="BJ11" s="327">
        <v>0.98624966524862123</v>
      </c>
      <c r="BK11" s="325" t="s">
        <v>232</v>
      </c>
      <c r="BL11" s="328" t="s">
        <v>233</v>
      </c>
      <c r="BM11" s="320"/>
      <c r="BN11" s="208"/>
      <c r="BO11" s="208"/>
      <c r="BP11" s="208"/>
      <c r="BQ11" s="208"/>
      <c r="BR11" s="208"/>
      <c r="BS11" s="208"/>
      <c r="BT11" s="208"/>
      <c r="BU11" s="208"/>
      <c r="BV11" s="208"/>
    </row>
    <row r="12" spans="1:83" x14ac:dyDescent="0.25">
      <c r="A12" s="304" t="s">
        <v>217</v>
      </c>
      <c r="B12" s="305" t="s">
        <v>218</v>
      </c>
      <c r="C12" s="304" t="s">
        <v>219</v>
      </c>
      <c r="D12" s="304" t="s">
        <v>94</v>
      </c>
      <c r="E12" s="305" t="s">
        <v>220</v>
      </c>
      <c r="F12" s="305" t="s">
        <v>221</v>
      </c>
      <c r="G12" s="306">
        <v>37438</v>
      </c>
      <c r="H12" s="307">
        <v>-8250000</v>
      </c>
      <c r="I12" s="308">
        <v>0.25</v>
      </c>
      <c r="J12" s="309">
        <v>3.2</v>
      </c>
      <c r="K12" s="309">
        <v>0.22</v>
      </c>
      <c r="L12" s="309">
        <v>3.42</v>
      </c>
      <c r="M12" s="310">
        <v>2.2758714534247802E-2</v>
      </c>
      <c r="N12" s="311">
        <v>0.45750000000000002</v>
      </c>
      <c r="O12" s="311">
        <v>0.45800000000000002</v>
      </c>
      <c r="P12" s="311">
        <v>0.45800000000000002</v>
      </c>
      <c r="Q12" s="311">
        <v>0.93</v>
      </c>
      <c r="R12" s="312">
        <v>37434</v>
      </c>
      <c r="S12" s="309">
        <v>0.17175570551442565</v>
      </c>
      <c r="T12" s="313">
        <v>0.49471404786586909</v>
      </c>
      <c r="U12" s="313">
        <v>-0.44083986852595597</v>
      </c>
      <c r="V12" s="314">
        <v>-1416984.5704940115</v>
      </c>
      <c r="W12" s="307">
        <v>-4081390.8948934199</v>
      </c>
      <c r="X12" s="307">
        <v>-444461.97955428326</v>
      </c>
      <c r="Y12" s="307"/>
      <c r="Z12" s="315">
        <v>-825</v>
      </c>
      <c r="AA12" s="316">
        <v>0</v>
      </c>
      <c r="AB12" s="317">
        <v>0.8322233169739286</v>
      </c>
      <c r="AC12" s="317">
        <v>-6.8658423650349105</v>
      </c>
      <c r="AD12" s="318">
        <v>104704.9754426587</v>
      </c>
      <c r="AE12" s="318">
        <v>3044.3218596012002</v>
      </c>
      <c r="AF12" s="318">
        <v>-34100.38486594554</v>
      </c>
      <c r="AG12" s="318">
        <v>608.4755416989459</v>
      </c>
      <c r="AH12" s="318">
        <v>-33529.177504427957</v>
      </c>
      <c r="AI12" s="317">
        <v>0.11203722965061846</v>
      </c>
      <c r="AJ12" s="319">
        <v>-1505007.3626398414</v>
      </c>
      <c r="AK12" s="319">
        <v>68685.207655212376</v>
      </c>
      <c r="AL12" s="319">
        <v>-504.17835065093823</v>
      </c>
      <c r="AM12" s="319">
        <v>609.15696411929093</v>
      </c>
      <c r="AN12" s="319">
        <v>17113.837029865012</v>
      </c>
      <c r="AO12" s="319">
        <v>3128.7672603046522</v>
      </c>
      <c r="AP12" s="319">
        <v>0</v>
      </c>
      <c r="AQ12" s="319">
        <v>0</v>
      </c>
      <c r="AR12" s="319">
        <v>88022.792145829881</v>
      </c>
      <c r="AS12" s="320"/>
      <c r="AT12" s="321">
        <v>1</v>
      </c>
      <c r="AU12" s="322">
        <v>18</v>
      </c>
      <c r="AV12" s="322">
        <v>25</v>
      </c>
      <c r="AW12" s="323">
        <v>3.2610000000000001</v>
      </c>
      <c r="AX12" s="323">
        <v>3.4910000000000001</v>
      </c>
      <c r="AY12" s="324">
        <v>2.32560254041334E-2</v>
      </c>
      <c r="AZ12" s="325">
        <v>0.46250000000000002</v>
      </c>
      <c r="BA12" s="325">
        <v>0.46300000000000002</v>
      </c>
      <c r="BB12" s="324">
        <v>0.93</v>
      </c>
      <c r="BC12" s="324">
        <v>0</v>
      </c>
      <c r="BD12" s="324">
        <v>0.46300000000000002</v>
      </c>
      <c r="BE12" s="326">
        <v>-1505007.3626398414</v>
      </c>
      <c r="BF12" s="322">
        <v>245</v>
      </c>
      <c r="BG12" s="322">
        <v>246</v>
      </c>
      <c r="BH12" s="323">
        <v>0.25</v>
      </c>
      <c r="BI12" s="327">
        <v>0.98469082651879347</v>
      </c>
      <c r="BJ12" s="327">
        <v>0.98429852741460133</v>
      </c>
      <c r="BK12" s="325" t="s">
        <v>234</v>
      </c>
      <c r="BL12" s="328" t="s">
        <v>235</v>
      </c>
      <c r="BM12" s="320"/>
      <c r="BN12" s="208"/>
      <c r="BO12" s="208"/>
      <c r="BP12" s="208"/>
      <c r="BQ12" s="208"/>
      <c r="BR12" s="208"/>
      <c r="BS12" s="208"/>
      <c r="BT12" s="208"/>
      <c r="BU12" s="208"/>
      <c r="BV12" s="208"/>
    </row>
    <row r="13" spans="1:83" x14ac:dyDescent="0.25">
      <c r="A13" s="304" t="s">
        <v>217</v>
      </c>
      <c r="B13" s="305" t="s">
        <v>218</v>
      </c>
      <c r="C13" s="304" t="s">
        <v>219</v>
      </c>
      <c r="D13" s="304" t="s">
        <v>94</v>
      </c>
      <c r="E13" s="305" t="s">
        <v>220</v>
      </c>
      <c r="F13" s="305" t="s">
        <v>221</v>
      </c>
      <c r="G13" s="306">
        <v>37469</v>
      </c>
      <c r="H13" s="307">
        <v>-8250000</v>
      </c>
      <c r="I13" s="308">
        <v>0.25</v>
      </c>
      <c r="J13" s="309">
        <v>3.2349999999999999</v>
      </c>
      <c r="K13" s="309">
        <v>0.23499999999999999</v>
      </c>
      <c r="L13" s="309">
        <v>3.47</v>
      </c>
      <c r="M13" s="310">
        <v>2.3032629028655102E-2</v>
      </c>
      <c r="N13" s="311">
        <v>0.45750000000000002</v>
      </c>
      <c r="O13" s="311">
        <v>0.45800000000000002</v>
      </c>
      <c r="P13" s="311">
        <v>0.45800000000000002</v>
      </c>
      <c r="Q13" s="311">
        <v>0.93</v>
      </c>
      <c r="R13" s="312">
        <v>37467</v>
      </c>
      <c r="S13" s="309">
        <v>0.19301702963939388</v>
      </c>
      <c r="T13" s="313">
        <v>0.50866576509054473</v>
      </c>
      <c r="U13" s="313">
        <v>-0.4513089990959987</v>
      </c>
      <c r="V13" s="314">
        <v>-1592390.4945249995</v>
      </c>
      <c r="W13" s="307">
        <v>-4196492.5619969936</v>
      </c>
      <c r="X13" s="307">
        <v>-473193.31945500476</v>
      </c>
      <c r="Y13" s="307"/>
      <c r="Z13" s="315">
        <v>-825</v>
      </c>
      <c r="AA13" s="316">
        <v>0</v>
      </c>
      <c r="AB13" s="317">
        <v>0.76743530048960917</v>
      </c>
      <c r="AC13" s="317">
        <v>-6.3313412290392757</v>
      </c>
      <c r="AD13" s="318">
        <v>112873.51862439293</v>
      </c>
      <c r="AE13" s="318">
        <v>2874.9990179668857</v>
      </c>
      <c r="AF13" s="318">
        <v>-36553.69071655038</v>
      </c>
      <c r="AG13" s="318">
        <v>457.32084890815497</v>
      </c>
      <c r="AH13" s="318">
        <v>-36136.319256403483</v>
      </c>
      <c r="AI13" s="317">
        <v>4.7522286973884498E-2</v>
      </c>
      <c r="AJ13" s="319">
        <v>-1686626.3012022141</v>
      </c>
      <c r="AK13" s="319">
        <v>73935.479113765527</v>
      </c>
      <c r="AL13" s="319">
        <v>-679.6125087570399</v>
      </c>
      <c r="AM13" s="319">
        <v>796.25593830086291</v>
      </c>
      <c r="AN13" s="319">
        <v>18446.177910181461</v>
      </c>
      <c r="AO13" s="319">
        <v>2955.3382380895782</v>
      </c>
      <c r="AP13" s="319">
        <v>0</v>
      </c>
      <c r="AQ13" s="319">
        <v>0</v>
      </c>
      <c r="AR13" s="319">
        <v>94235.806677214568</v>
      </c>
      <c r="AS13" s="320"/>
      <c r="AT13" s="321">
        <v>1</v>
      </c>
      <c r="AU13" s="322">
        <v>19</v>
      </c>
      <c r="AV13" s="322">
        <v>26</v>
      </c>
      <c r="AW13" s="323">
        <v>3.3010000000000002</v>
      </c>
      <c r="AX13" s="323">
        <v>3.5460000000000003</v>
      </c>
      <c r="AY13" s="324">
        <v>2.3560030131535299E-2</v>
      </c>
      <c r="AZ13" s="325">
        <v>0.46250000000000002</v>
      </c>
      <c r="BA13" s="325">
        <v>0.46300000000000002</v>
      </c>
      <c r="BB13" s="324">
        <v>0.93</v>
      </c>
      <c r="BC13" s="324">
        <v>0</v>
      </c>
      <c r="BD13" s="324">
        <v>0.46300000000000002</v>
      </c>
      <c r="BE13" s="326">
        <v>-1686626.3012022141</v>
      </c>
      <c r="BF13" s="322">
        <v>278</v>
      </c>
      <c r="BG13" s="322">
        <v>279</v>
      </c>
      <c r="BH13" s="323">
        <v>0.25</v>
      </c>
      <c r="BI13" s="327">
        <v>0.98259733066905852</v>
      </c>
      <c r="BJ13" s="327">
        <v>0.98214173083183287</v>
      </c>
      <c r="BK13" s="325" t="s">
        <v>236</v>
      </c>
      <c r="BL13" s="328" t="s">
        <v>237</v>
      </c>
      <c r="BM13" s="320"/>
      <c r="BN13" s="208"/>
      <c r="BO13" s="208"/>
      <c r="BP13" s="208"/>
      <c r="BQ13" s="208"/>
      <c r="BR13" s="208"/>
      <c r="BS13" s="208"/>
      <c r="BT13" s="208"/>
      <c r="BU13" s="208"/>
      <c r="BV13" s="208"/>
    </row>
    <row r="14" spans="1:83" x14ac:dyDescent="0.25">
      <c r="A14" s="304" t="s">
        <v>217</v>
      </c>
      <c r="B14" s="305" t="s">
        <v>218</v>
      </c>
      <c r="C14" s="304" t="s">
        <v>219</v>
      </c>
      <c r="D14" s="304" t="s">
        <v>94</v>
      </c>
      <c r="E14" s="305" t="s">
        <v>220</v>
      </c>
      <c r="F14" s="305" t="s">
        <v>221</v>
      </c>
      <c r="G14" s="306">
        <v>37500</v>
      </c>
      <c r="H14" s="307">
        <v>-8250000</v>
      </c>
      <c r="I14" s="308">
        <v>0.25</v>
      </c>
      <c r="J14" s="309">
        <v>3.2349999999999999</v>
      </c>
      <c r="K14" s="309">
        <v>0.22</v>
      </c>
      <c r="L14" s="309">
        <v>3.4550000000000001</v>
      </c>
      <c r="M14" s="310">
        <v>2.3306543548447901E-2</v>
      </c>
      <c r="N14" s="311">
        <v>0.45750000000000002</v>
      </c>
      <c r="O14" s="311">
        <v>0.45800000000000002</v>
      </c>
      <c r="P14" s="311">
        <v>0.45800000000000002</v>
      </c>
      <c r="Q14" s="311">
        <v>0.93</v>
      </c>
      <c r="R14" s="312">
        <v>37497</v>
      </c>
      <c r="S14" s="309">
        <v>0.19555863024941925</v>
      </c>
      <c r="T14" s="313">
        <v>0.49874306372271188</v>
      </c>
      <c r="U14" s="313">
        <v>-0.43857714689557692</v>
      </c>
      <c r="V14" s="314">
        <v>-1613358.6995577088</v>
      </c>
      <c r="W14" s="307">
        <v>-4114630.2757123732</v>
      </c>
      <c r="X14" s="307">
        <v>-496368.8138238634</v>
      </c>
      <c r="Y14" s="307"/>
      <c r="Z14" s="315">
        <v>-825</v>
      </c>
      <c r="AA14" s="316">
        <v>0</v>
      </c>
      <c r="AB14" s="317">
        <v>0.73116195494289715</v>
      </c>
      <c r="AC14" s="317">
        <v>-6.0320861282789018</v>
      </c>
      <c r="AD14" s="318">
        <v>118120.18961691501</v>
      </c>
      <c r="AE14" s="318">
        <v>2708.9739215112327</v>
      </c>
      <c r="AF14" s="318">
        <v>-38241.994768880249</v>
      </c>
      <c r="AG14" s="318">
        <v>447.68450967982847</v>
      </c>
      <c r="AH14" s="318">
        <v>-37836.104789002471</v>
      </c>
      <c r="AI14" s="317">
        <v>9.5927199259357998E-2</v>
      </c>
      <c r="AJ14" s="319">
        <v>-1708889.6818525877</v>
      </c>
      <c r="AK14" s="319">
        <v>74669.804171269992</v>
      </c>
      <c r="AL14" s="319">
        <v>-806.16293663741089</v>
      </c>
      <c r="AM14" s="319">
        <v>931.1620363839902</v>
      </c>
      <c r="AN14" s="319">
        <v>19319.850457998691</v>
      </c>
      <c r="AO14" s="319">
        <v>2785.7964933319017</v>
      </c>
      <c r="AP14" s="319">
        <v>0</v>
      </c>
      <c r="AQ14" s="319">
        <v>0</v>
      </c>
      <c r="AR14" s="319">
        <v>95530.982294878922</v>
      </c>
      <c r="AS14" s="320"/>
      <c r="AT14" s="321">
        <v>1</v>
      </c>
      <c r="AU14" s="322">
        <v>20</v>
      </c>
      <c r="AV14" s="322">
        <v>27</v>
      </c>
      <c r="AW14" s="323">
        <v>3.3010000000000002</v>
      </c>
      <c r="AX14" s="323">
        <v>3.5310000000000001</v>
      </c>
      <c r="AY14" s="324">
        <v>2.3864034890197498E-2</v>
      </c>
      <c r="AZ14" s="325">
        <v>0.46250000000000002</v>
      </c>
      <c r="BA14" s="325">
        <v>0.46300000000000002</v>
      </c>
      <c r="BB14" s="324">
        <v>0.93</v>
      </c>
      <c r="BC14" s="324">
        <v>0</v>
      </c>
      <c r="BD14" s="324">
        <v>0.46300000000000002</v>
      </c>
      <c r="BE14" s="326">
        <v>-1708889.6818525877</v>
      </c>
      <c r="BF14" s="322">
        <v>308</v>
      </c>
      <c r="BG14" s="322">
        <v>309</v>
      </c>
      <c r="BH14" s="323">
        <v>0.25</v>
      </c>
      <c r="BI14" s="327">
        <v>0.98046324349898084</v>
      </c>
      <c r="BJ14" s="327">
        <v>0.97993971309396832</v>
      </c>
      <c r="BK14" s="325" t="s">
        <v>238</v>
      </c>
      <c r="BL14" s="328" t="s">
        <v>239</v>
      </c>
      <c r="BM14" s="320"/>
      <c r="BN14" s="208"/>
      <c r="BO14" s="208"/>
      <c r="BP14" s="208"/>
      <c r="BQ14" s="208"/>
      <c r="BR14" s="208"/>
      <c r="BS14" s="208"/>
      <c r="BT14" s="208"/>
      <c r="BU14" s="208"/>
      <c r="BV14" s="208"/>
    </row>
    <row r="15" spans="1:83" x14ac:dyDescent="0.25">
      <c r="A15" s="304" t="s">
        <v>217</v>
      </c>
      <c r="B15" s="305" t="s">
        <v>218</v>
      </c>
      <c r="C15" s="304" t="s">
        <v>219</v>
      </c>
      <c r="D15" s="304" t="s">
        <v>94</v>
      </c>
      <c r="E15" s="305" t="s">
        <v>220</v>
      </c>
      <c r="F15" s="305" t="s">
        <v>221</v>
      </c>
      <c r="G15" s="306">
        <v>37530</v>
      </c>
      <c r="H15" s="307">
        <v>-8250000</v>
      </c>
      <c r="I15" s="308">
        <v>0.25</v>
      </c>
      <c r="J15" s="309">
        <v>3.2650000000000001</v>
      </c>
      <c r="K15" s="309">
        <v>0.105</v>
      </c>
      <c r="L15" s="309">
        <v>3.37</v>
      </c>
      <c r="M15" s="310">
        <v>2.3643248381814499E-2</v>
      </c>
      <c r="N15" s="311">
        <v>0.45750000000000002</v>
      </c>
      <c r="O15" s="311">
        <v>0.45800000000000002</v>
      </c>
      <c r="P15" s="311">
        <v>0.45800000000000002</v>
      </c>
      <c r="Q15" s="311">
        <v>0.93</v>
      </c>
      <c r="R15" s="312">
        <v>37526</v>
      </c>
      <c r="S15" s="309">
        <v>0.1537479120226321</v>
      </c>
      <c r="T15" s="313">
        <v>0.41970168970163074</v>
      </c>
      <c r="U15" s="313">
        <v>-0.35887358206679931</v>
      </c>
      <c r="V15" s="314">
        <v>-1268420.2741867148</v>
      </c>
      <c r="W15" s="307">
        <v>-3462538.9400384538</v>
      </c>
      <c r="X15" s="307">
        <v>-501831.88798735931</v>
      </c>
      <c r="Y15" s="307"/>
      <c r="Z15" s="315">
        <v>-825</v>
      </c>
      <c r="AA15" s="316">
        <v>0</v>
      </c>
      <c r="AB15" s="317">
        <v>0.70383280992810104</v>
      </c>
      <c r="AC15" s="317">
        <v>-5.8066206819068329</v>
      </c>
      <c r="AD15" s="318">
        <v>118457.80844821806</v>
      </c>
      <c r="AE15" s="318">
        <v>2493.9713643305108</v>
      </c>
      <c r="AF15" s="318">
        <v>-38131.046022717223</v>
      </c>
      <c r="AG15" s="318">
        <v>246.46258779214676</v>
      </c>
      <c r="AH15" s="318">
        <v>-37926.25670926684</v>
      </c>
      <c r="AI15" s="317">
        <v>0.46078759497008814</v>
      </c>
      <c r="AJ15" s="319">
        <v>-1340265.5134225436</v>
      </c>
      <c r="AK15" s="319">
        <v>51084.774662459502</v>
      </c>
      <c r="AL15" s="319">
        <v>-736.33358316775411</v>
      </c>
      <c r="AM15" s="319">
        <v>840.78305643936619</v>
      </c>
      <c r="AN15" s="319">
        <v>19410.06507215905</v>
      </c>
      <c r="AO15" s="319">
        <v>2572.817525972845</v>
      </c>
      <c r="AP15" s="319">
        <v>0</v>
      </c>
      <c r="AQ15" s="319">
        <v>0</v>
      </c>
      <c r="AR15" s="319">
        <v>71845.239235828863</v>
      </c>
      <c r="AS15" s="320"/>
      <c r="AT15" s="321">
        <v>1</v>
      </c>
      <c r="AU15" s="322">
        <v>21</v>
      </c>
      <c r="AV15" s="322">
        <v>28</v>
      </c>
      <c r="AW15" s="323">
        <v>3.331</v>
      </c>
      <c r="AX15" s="323">
        <v>3.4409999999999998</v>
      </c>
      <c r="AY15" s="324">
        <v>2.4236772016890999E-2</v>
      </c>
      <c r="AZ15" s="325">
        <v>0.46250000000000002</v>
      </c>
      <c r="BA15" s="325">
        <v>0.46300000000000002</v>
      </c>
      <c r="BB15" s="324">
        <v>0.93</v>
      </c>
      <c r="BC15" s="324">
        <v>0</v>
      </c>
      <c r="BD15" s="324">
        <v>0.46300000000000002</v>
      </c>
      <c r="BE15" s="326">
        <v>-1340265.5134225436</v>
      </c>
      <c r="BF15" s="322">
        <v>337</v>
      </c>
      <c r="BG15" s="322">
        <v>338</v>
      </c>
      <c r="BH15" s="323">
        <v>0.25</v>
      </c>
      <c r="BI15" s="327">
        <v>0.97829496728116694</v>
      </c>
      <c r="BJ15" s="327">
        <v>0.97769494649164024</v>
      </c>
      <c r="BK15" s="325" t="s">
        <v>240</v>
      </c>
      <c r="BL15" s="328" t="s">
        <v>241</v>
      </c>
      <c r="BM15" s="320"/>
      <c r="BN15" s="208"/>
      <c r="BO15" s="208"/>
      <c r="BP15" s="208"/>
      <c r="BQ15" s="208"/>
      <c r="BR15" s="208"/>
      <c r="BS15" s="208"/>
      <c r="BT15" s="208"/>
      <c r="BU15" s="208"/>
      <c r="BV15" s="208"/>
    </row>
    <row r="16" spans="1:83" x14ac:dyDescent="0.25">
      <c r="A16" s="304" t="s">
        <v>217</v>
      </c>
      <c r="B16" s="305" t="s">
        <v>218</v>
      </c>
      <c r="C16" s="304" t="s">
        <v>219</v>
      </c>
      <c r="D16" s="304" t="s">
        <v>94</v>
      </c>
      <c r="E16" s="305" t="s">
        <v>220</v>
      </c>
      <c r="F16" s="305" t="s">
        <v>221</v>
      </c>
      <c r="G16" s="306">
        <v>37561</v>
      </c>
      <c r="H16" s="307">
        <v>-8250000</v>
      </c>
      <c r="I16" s="308">
        <v>0.25</v>
      </c>
      <c r="J16" s="309">
        <v>3.4329999999999998</v>
      </c>
      <c r="K16" s="309">
        <v>0.14000000000000001</v>
      </c>
      <c r="L16" s="309">
        <v>3.573</v>
      </c>
      <c r="M16" s="310">
        <v>2.40928657319892E-2</v>
      </c>
      <c r="N16" s="311">
        <v>0.45500000000000002</v>
      </c>
      <c r="O16" s="311">
        <v>0.45500000000000002</v>
      </c>
      <c r="P16" s="311">
        <v>0.45500000000000002</v>
      </c>
      <c r="Q16" s="311">
        <v>0.93</v>
      </c>
      <c r="R16" s="312">
        <v>37559</v>
      </c>
      <c r="S16" s="309">
        <v>0.18800285306561301</v>
      </c>
      <c r="T16" s="313">
        <v>0.4508353789902026</v>
      </c>
      <c r="U16" s="313">
        <v>-0.38643364180978812</v>
      </c>
      <c r="V16" s="314">
        <v>-1551023.5377913073</v>
      </c>
      <c r="W16" s="307">
        <v>-3719391.8766691713</v>
      </c>
      <c r="X16" s="307">
        <v>-531314.33173841948</v>
      </c>
      <c r="Y16" s="307"/>
      <c r="Z16" s="315">
        <v>-825</v>
      </c>
      <c r="AA16" s="316">
        <v>0</v>
      </c>
      <c r="AB16" s="317">
        <v>0.64339427008878203</v>
      </c>
      <c r="AC16" s="317">
        <v>-5.3080027282324513</v>
      </c>
      <c r="AD16" s="318">
        <v>132484.17514600241</v>
      </c>
      <c r="AE16" s="318">
        <v>2510.5175020569627</v>
      </c>
      <c r="AF16" s="318">
        <v>-41542.481804670155</v>
      </c>
      <c r="AG16" s="318">
        <v>-923.90250998298643</v>
      </c>
      <c r="AH16" s="318">
        <v>-42466.384314653144</v>
      </c>
      <c r="AI16" s="317">
        <v>0.30600145245391364</v>
      </c>
      <c r="AJ16" s="319">
        <v>-1631802.8514754479</v>
      </c>
      <c r="AK16" s="319">
        <v>58031.167935332051</v>
      </c>
      <c r="AL16" s="319">
        <v>-1062.098503646208</v>
      </c>
      <c r="AM16" s="319">
        <v>1190.7038016365841</v>
      </c>
      <c r="AN16" s="319">
        <v>21734.979034726042</v>
      </c>
      <c r="AO16" s="319">
        <v>2586.7930641309358</v>
      </c>
      <c r="AP16" s="319">
        <v>0</v>
      </c>
      <c r="AQ16" s="319">
        <v>0</v>
      </c>
      <c r="AR16" s="319">
        <v>80779.313684140565</v>
      </c>
      <c r="AS16" s="320"/>
      <c r="AT16" s="321">
        <v>1</v>
      </c>
      <c r="AU16" s="322">
        <v>22</v>
      </c>
      <c r="AV16" s="322">
        <v>29</v>
      </c>
      <c r="AW16" s="323">
        <v>3.5059999999999998</v>
      </c>
      <c r="AX16" s="323">
        <v>3.6509999999999998</v>
      </c>
      <c r="AY16" s="324">
        <v>2.47334438910678E-2</v>
      </c>
      <c r="AZ16" s="325">
        <v>0.46</v>
      </c>
      <c r="BA16" s="325">
        <v>0.46</v>
      </c>
      <c r="BB16" s="324">
        <v>0.93</v>
      </c>
      <c r="BC16" s="324">
        <v>0</v>
      </c>
      <c r="BD16" s="324">
        <v>0.46</v>
      </c>
      <c r="BE16" s="326">
        <v>-1631802.8514754479</v>
      </c>
      <c r="BF16" s="322">
        <v>370</v>
      </c>
      <c r="BG16" s="322">
        <v>371</v>
      </c>
      <c r="BH16" s="323">
        <v>0.25</v>
      </c>
      <c r="BI16" s="327">
        <v>0.97590357677799577</v>
      </c>
      <c r="BJ16" s="327">
        <v>0.97520912719804953</v>
      </c>
      <c r="BK16" s="325" t="s">
        <v>242</v>
      </c>
      <c r="BL16" s="328" t="s">
        <v>243</v>
      </c>
      <c r="BM16" s="320"/>
      <c r="BN16" s="208"/>
      <c r="BO16" s="208"/>
      <c r="BP16" s="208"/>
      <c r="BQ16" s="208"/>
      <c r="BR16" s="208"/>
      <c r="BS16" s="208"/>
      <c r="BT16" s="208"/>
      <c r="BU16" s="208"/>
      <c r="BV16" s="208"/>
    </row>
    <row r="17" spans="1:74" x14ac:dyDescent="0.25">
      <c r="A17" s="304" t="s">
        <v>217</v>
      </c>
      <c r="B17" s="305" t="s">
        <v>218</v>
      </c>
      <c r="C17" s="304" t="s">
        <v>219</v>
      </c>
      <c r="D17" s="304" t="s">
        <v>94</v>
      </c>
      <c r="E17" s="305" t="s">
        <v>220</v>
      </c>
      <c r="F17" s="305" t="s">
        <v>221</v>
      </c>
      <c r="G17" s="306">
        <v>37591</v>
      </c>
      <c r="H17" s="307">
        <v>-8250000</v>
      </c>
      <c r="I17" s="308">
        <v>0.25</v>
      </c>
      <c r="J17" s="309">
        <v>3.6219999999999999</v>
      </c>
      <c r="K17" s="309">
        <v>0.14000000000000001</v>
      </c>
      <c r="L17" s="309">
        <v>3.762</v>
      </c>
      <c r="M17" s="310">
        <v>2.4527979361762799E-2</v>
      </c>
      <c r="N17" s="311">
        <v>0.45250000000000001</v>
      </c>
      <c r="O17" s="311">
        <v>0.45300000000000001</v>
      </c>
      <c r="P17" s="311">
        <v>0.45300000000000001</v>
      </c>
      <c r="Q17" s="311">
        <v>0.93</v>
      </c>
      <c r="R17" s="312">
        <v>37588</v>
      </c>
      <c r="S17" s="309">
        <v>0.20805042008316701</v>
      </c>
      <c r="T17" s="313">
        <v>0.45647895497580332</v>
      </c>
      <c r="U17" s="313">
        <v>-0.38982248785661228</v>
      </c>
      <c r="V17" s="314">
        <v>-1716415.9656861278</v>
      </c>
      <c r="W17" s="307">
        <v>-3765951.3785503772</v>
      </c>
      <c r="X17" s="307">
        <v>-549915.85373332608</v>
      </c>
      <c r="Y17" s="307"/>
      <c r="Z17" s="315">
        <v>-825</v>
      </c>
      <c r="AA17" s="316">
        <v>0</v>
      </c>
      <c r="AB17" s="317">
        <v>0.59051051095662388</v>
      </c>
      <c r="AC17" s="317">
        <v>-4.8717117153921468</v>
      </c>
      <c r="AD17" s="318">
        <v>144432.94300930086</v>
      </c>
      <c r="AE17" s="318">
        <v>2519.8152327308349</v>
      </c>
      <c r="AF17" s="318">
        <v>-44675.07638869081</v>
      </c>
      <c r="AG17" s="318">
        <v>-1715.7126357426087</v>
      </c>
      <c r="AH17" s="318">
        <v>-46440.153749724792</v>
      </c>
      <c r="AI17" s="317">
        <v>0.26772772084006746</v>
      </c>
      <c r="AJ17" s="319">
        <v>-1806595.0403852926</v>
      </c>
      <c r="AK17" s="319">
        <v>65743.814988341648</v>
      </c>
      <c r="AL17" s="319">
        <v>-1357.971160287736</v>
      </c>
      <c r="AM17" s="319">
        <v>1512.0566091502551</v>
      </c>
      <c r="AN17" s="319">
        <v>23775.021537137916</v>
      </c>
      <c r="AO17" s="319">
        <v>2599.6120593063533</v>
      </c>
      <c r="AP17" s="319">
        <v>0</v>
      </c>
      <c r="AQ17" s="319">
        <v>0</v>
      </c>
      <c r="AR17" s="319">
        <v>90179.074699164834</v>
      </c>
      <c r="AS17" s="320"/>
      <c r="AT17" s="321">
        <v>1</v>
      </c>
      <c r="AU17" s="322">
        <v>23</v>
      </c>
      <c r="AV17" s="322">
        <v>30</v>
      </c>
      <c r="AW17" s="323">
        <v>3.706</v>
      </c>
      <c r="AX17" s="323">
        <v>3.851</v>
      </c>
      <c r="AY17" s="324">
        <v>2.5214094171284201E-2</v>
      </c>
      <c r="AZ17" s="325">
        <v>0.45750000000000002</v>
      </c>
      <c r="BA17" s="325">
        <v>0.45800000000000002</v>
      </c>
      <c r="BB17" s="324">
        <v>0.93</v>
      </c>
      <c r="BC17" s="324">
        <v>0</v>
      </c>
      <c r="BD17" s="324">
        <v>0.45800000000000002</v>
      </c>
      <c r="BE17" s="326">
        <v>-1806595.0403852926</v>
      </c>
      <c r="BF17" s="322">
        <v>399</v>
      </c>
      <c r="BG17" s="322">
        <v>400</v>
      </c>
      <c r="BH17" s="323">
        <v>0.25</v>
      </c>
      <c r="BI17" s="327">
        <v>0.97352508231543466</v>
      </c>
      <c r="BJ17" s="327">
        <v>0.97273249374354609</v>
      </c>
      <c r="BK17" s="325" t="s">
        <v>244</v>
      </c>
      <c r="BL17" s="328" t="s">
        <v>245</v>
      </c>
      <c r="BM17" s="320"/>
      <c r="BN17" s="208"/>
      <c r="BO17" s="208"/>
      <c r="BP17" s="208"/>
      <c r="BQ17" s="208"/>
      <c r="BR17" s="208"/>
      <c r="BS17" s="208"/>
      <c r="BT17" s="208"/>
      <c r="BU17" s="208"/>
      <c r="BV17" s="208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D536"/>
  <sheetViews>
    <sheetView workbookViewId="0">
      <selection activeCell="D31" sqref="D31"/>
    </sheetView>
  </sheetViews>
  <sheetFormatPr defaultRowHeight="13.2" x14ac:dyDescent="0.25"/>
  <cols>
    <col min="1" max="1" width="9.6640625" style="55" customWidth="1"/>
    <col min="2" max="3" width="10.6640625" style="55" customWidth="1"/>
    <col min="4" max="4" width="12.6640625" style="55" customWidth="1"/>
    <col min="5" max="5" width="15.6640625" style="55" bestFit="1" customWidth="1"/>
    <col min="6" max="6" width="15" style="55" bestFit="1" customWidth="1"/>
    <col min="7" max="7" width="15.6640625" style="55" bestFit="1" customWidth="1"/>
    <col min="8" max="8" width="13" style="55" bestFit="1" customWidth="1"/>
    <col min="9" max="13" width="9.6640625" style="55" customWidth="1"/>
    <col min="14" max="22" width="12.6640625" style="55" customWidth="1"/>
    <col min="23" max="23" width="8.6640625" style="55" customWidth="1"/>
    <col min="24" max="25" width="10.6640625" style="55" customWidth="1"/>
    <col min="26" max="26" width="8.6640625" style="55" customWidth="1"/>
    <col min="27" max="27" width="12" style="55" customWidth="1"/>
    <col min="28" max="54" width="9.109375" style="55" customWidth="1"/>
  </cols>
  <sheetData>
    <row r="1" spans="1:43" ht="22.2" thickTop="1" thickBot="1" x14ac:dyDescent="0.45">
      <c r="A1" s="54" t="s">
        <v>152</v>
      </c>
      <c r="C1" s="55" t="s">
        <v>23</v>
      </c>
      <c r="D1" s="194">
        <f ca="1">'opt calc'!AG31</f>
        <v>25</v>
      </c>
      <c r="E1" s="268">
        <v>0</v>
      </c>
      <c r="F1"/>
      <c r="G1" s="55" t="s">
        <v>114</v>
      </c>
      <c r="H1" s="59" t="s">
        <v>135</v>
      </c>
      <c r="J1" s="197"/>
      <c r="K1"/>
      <c r="L1" t="s">
        <v>164</v>
      </c>
      <c r="M1" s="201">
        <f>O16-N16</f>
        <v>0</v>
      </c>
      <c r="N1" s="55">
        <f>O16*2-N16</f>
        <v>0</v>
      </c>
      <c r="P1"/>
      <c r="Q1" s="146">
        <v>1</v>
      </c>
      <c r="R1" s="146"/>
      <c r="X1" s="57"/>
      <c r="Y1" s="54" t="s">
        <v>18</v>
      </c>
      <c r="Z1" s="58"/>
      <c r="AA1" s="58"/>
      <c r="AB1" s="58"/>
    </row>
    <row r="2" spans="1:43" ht="13.8" thickTop="1" x14ac:dyDescent="0.25">
      <c r="A2" s="54" t="s">
        <v>165</v>
      </c>
      <c r="B2" s="142">
        <f>B6+B7</f>
        <v>3.1077525035765383</v>
      </c>
      <c r="C2" s="142">
        <f>C6+C7</f>
        <v>3.1140329041487829</v>
      </c>
      <c r="D2" s="142">
        <f>D6+D7</f>
        <v>3.1140329041487829</v>
      </c>
      <c r="E2" s="142">
        <f>E6+E7</f>
        <v>3.1140329041487829</v>
      </c>
      <c r="F2"/>
      <c r="G2"/>
      <c r="H2"/>
      <c r="I2"/>
      <c r="J2"/>
      <c r="K2"/>
      <c r="L2"/>
      <c r="M2"/>
      <c r="N2"/>
      <c r="O2"/>
      <c r="P2"/>
      <c r="Q2" s="146"/>
      <c r="R2" s="55">
        <f>((P17*5)+(Q17*7))/12</f>
        <v>0.16333333333333336</v>
      </c>
      <c r="W2" s="123">
        <v>1.5</v>
      </c>
      <c r="Z2" s="60"/>
      <c r="AA2" s="60"/>
      <c r="AB2" s="60"/>
    </row>
    <row r="3" spans="1:43" x14ac:dyDescent="0.25">
      <c r="A3" s="60" t="s">
        <v>158</v>
      </c>
      <c r="B3" s="146" t="s">
        <v>212</v>
      </c>
      <c r="C3" s="146" t="s">
        <v>87</v>
      </c>
      <c r="D3" s="146" t="s">
        <v>87</v>
      </c>
      <c r="E3" s="146" t="s">
        <v>87</v>
      </c>
      <c r="F3"/>
      <c r="G3" s="55" t="s">
        <v>213</v>
      </c>
      <c r="H3" s="161">
        <v>2.8849999999999998</v>
      </c>
      <c r="I3" s="55" t="e">
        <f>#REF!*0.34</f>
        <v>#REF!</v>
      </c>
      <c r="K3" s="280" t="s">
        <v>213</v>
      </c>
      <c r="L3" s="160">
        <f>D31</f>
        <v>2.786</v>
      </c>
      <c r="M3" s="280" t="s">
        <v>213</v>
      </c>
      <c r="N3" s="188">
        <f t="shared" ref="N3:N9" si="0">IF(H3&gt;0,O3,0)</f>
        <v>9.8999999999999755E-2</v>
      </c>
      <c r="O3" s="282">
        <f>H3-L3</f>
        <v>9.8999999999999755E-2</v>
      </c>
      <c r="P3"/>
      <c r="Q3" s="146"/>
      <c r="R3" s="146"/>
      <c r="W3" s="123"/>
      <c r="Z3" s="60"/>
      <c r="AA3" s="60">
        <f>AVERAGE(AA6:AA9)</f>
        <v>0.52625</v>
      </c>
      <c r="AB3" s="60"/>
    </row>
    <row r="4" spans="1:43" ht="16.2" thickBot="1" x14ac:dyDescent="0.35">
      <c r="A4" s="69" t="s">
        <v>159</v>
      </c>
      <c r="B4" s="265">
        <v>37257</v>
      </c>
      <c r="C4" s="265">
        <v>37257</v>
      </c>
      <c r="D4" s="265">
        <v>37257</v>
      </c>
      <c r="E4" s="265">
        <v>37257</v>
      </c>
      <c r="F4"/>
      <c r="G4" s="54" t="s">
        <v>214</v>
      </c>
      <c r="H4" s="161">
        <v>2.94</v>
      </c>
      <c r="K4" s="280" t="s">
        <v>214</v>
      </c>
      <c r="L4" s="160">
        <f>D32</f>
        <v>2.7989999999999999</v>
      </c>
      <c r="M4" s="280" t="s">
        <v>214</v>
      </c>
      <c r="N4" s="188">
        <f t="shared" si="0"/>
        <v>0.14100000000000001</v>
      </c>
      <c r="O4" s="282">
        <f>H4-L4</f>
        <v>0.14100000000000001</v>
      </c>
      <c r="P4"/>
      <c r="Q4" s="146" t="s">
        <v>178</v>
      </c>
      <c r="R4" s="269" t="e">
        <f>AVERAGE(L31:L34)</f>
        <v>#REF!</v>
      </c>
      <c r="T4" s="167"/>
      <c r="U4" s="167"/>
      <c r="V4" s="167"/>
      <c r="W4" s="167">
        <v>180</v>
      </c>
      <c r="Z4" s="60"/>
      <c r="AA4" s="60"/>
      <c r="AB4" s="60"/>
    </row>
    <row r="5" spans="1:43" ht="16.8" thickTop="1" thickBot="1" x14ac:dyDescent="0.35">
      <c r="A5" s="69" t="s">
        <v>160</v>
      </c>
      <c r="B5" s="265">
        <v>37956</v>
      </c>
      <c r="C5" s="265">
        <v>37956</v>
      </c>
      <c r="D5" s="265">
        <v>37956</v>
      </c>
      <c r="E5" s="265">
        <v>37956</v>
      </c>
      <c r="F5"/>
      <c r="G5" s="55" t="s">
        <v>215</v>
      </c>
      <c r="H5" s="161">
        <v>2.91</v>
      </c>
      <c r="J5" s="160"/>
      <c r="K5" s="280" t="s">
        <v>215</v>
      </c>
      <c r="L5" s="160">
        <f>D33</f>
        <v>2.7589999999999999</v>
      </c>
      <c r="M5" s="280" t="s">
        <v>215</v>
      </c>
      <c r="N5" s="188">
        <f>IF(H5&gt;0,O5,0)</f>
        <v>0.15100000000000025</v>
      </c>
      <c r="O5" s="282">
        <f>H5-L5</f>
        <v>0.15100000000000025</v>
      </c>
      <c r="P5"/>
      <c r="Q5" s="146" t="s">
        <v>116</v>
      </c>
      <c r="R5" s="269" t="e">
        <f>AVERAGE(L35:L39)</f>
        <v>#REF!</v>
      </c>
      <c r="T5" s="168" t="s">
        <v>189</v>
      </c>
      <c r="U5" s="75"/>
      <c r="V5" s="75"/>
      <c r="W5" s="274">
        <v>120</v>
      </c>
      <c r="Z5" s="60"/>
      <c r="AA5" s="60"/>
      <c r="AB5" s="60"/>
      <c r="AD5" s="53">
        <v>3.19</v>
      </c>
      <c r="AE5" s="55">
        <v>0.25</v>
      </c>
      <c r="AF5" s="55">
        <f>AD5+AE5</f>
        <v>3.44</v>
      </c>
    </row>
    <row r="6" spans="1:43" ht="18" thickTop="1" x14ac:dyDescent="0.3">
      <c r="A6" s="69" t="s">
        <v>53</v>
      </c>
      <c r="B6" s="191">
        <f>'opt calc'!$B9</f>
        <v>3.1077525035765383</v>
      </c>
      <c r="C6" s="191">
        <f>'opt calc'!D9</f>
        <v>3.1077525035765383</v>
      </c>
      <c r="D6" s="191">
        <f>'opt calc'!$F9</f>
        <v>3.1077525035765383</v>
      </c>
      <c r="E6" s="191">
        <f>'opt calc'!$H9</f>
        <v>3.1077525035765383</v>
      </c>
      <c r="F6"/>
      <c r="G6" s="55" t="s">
        <v>177</v>
      </c>
      <c r="H6" s="161">
        <v>2.9449999999999998</v>
      </c>
      <c r="K6" s="280" t="s">
        <v>154</v>
      </c>
      <c r="L6" s="160">
        <f>AVERAGE(D34:D40)</f>
        <v>2.9229999999999996</v>
      </c>
      <c r="M6" s="280" t="s">
        <v>154</v>
      </c>
      <c r="N6" s="188">
        <f t="shared" si="0"/>
        <v>2.2000000000000242E-2</v>
      </c>
      <c r="O6" s="282">
        <f>H6-L6</f>
        <v>2.2000000000000242E-2</v>
      </c>
      <c r="P6"/>
      <c r="Q6" s="146" t="s">
        <v>179</v>
      </c>
      <c r="R6" s="269" t="e">
        <f>AVERAGE(L40:L46)</f>
        <v>#REF!</v>
      </c>
      <c r="T6" s="167" t="s">
        <v>188</v>
      </c>
      <c r="U6" s="75"/>
      <c r="V6" s="75"/>
      <c r="W6" s="275">
        <v>10</v>
      </c>
      <c r="Z6" s="60"/>
      <c r="AA6" s="60">
        <v>0.51</v>
      </c>
      <c r="AB6" s="60"/>
      <c r="AD6" s="53">
        <v>3.33</v>
      </c>
      <c r="AE6" s="55">
        <v>0.2</v>
      </c>
      <c r="AF6" s="55">
        <f>AD6+AE6</f>
        <v>3.5300000000000002</v>
      </c>
      <c r="AM6" s="52" t="s">
        <v>170</v>
      </c>
      <c r="AO6" s="52">
        <v>0</v>
      </c>
      <c r="AP6" s="52" t="s">
        <v>307</v>
      </c>
      <c r="AQ6" s="398" t="s">
        <v>212</v>
      </c>
    </row>
    <row r="7" spans="1:43" ht="13.8" thickBot="1" x14ac:dyDescent="0.3">
      <c r="A7" s="60" t="s">
        <v>35</v>
      </c>
      <c r="B7" s="188">
        <f>'opt calc'!$B11</f>
        <v>0</v>
      </c>
      <c r="C7" s="188">
        <f>'opt calc'!$D11</f>
        <v>6.2804005722445488E-3</v>
      </c>
      <c r="D7" s="188">
        <f>'opt calc'!$F11</f>
        <v>6.2804005722445488E-3</v>
      </c>
      <c r="E7" s="188">
        <f>'opt calc'!H11</f>
        <v>6.2804005722445488E-3</v>
      </c>
      <c r="F7"/>
      <c r="G7" s="54" t="s">
        <v>117</v>
      </c>
      <c r="H7" s="161">
        <v>2.9950000000000001</v>
      </c>
      <c r="I7" s="55" t="s">
        <v>216</v>
      </c>
      <c r="J7" s="55">
        <f>((H7*12)-(H6*7)-H5-H4-H3)/2</f>
        <v>3.2949999999999999</v>
      </c>
      <c r="K7" s="280" t="s">
        <v>203</v>
      </c>
      <c r="L7" s="160">
        <f>AVERAGE(D41:D42)</f>
        <v>3.3834999999999997</v>
      </c>
      <c r="M7" s="280" t="s">
        <v>203</v>
      </c>
      <c r="N7" s="188">
        <f t="shared" si="0"/>
        <v>-8.8499999999999801E-2</v>
      </c>
      <c r="O7" s="282">
        <f>J7-L7</f>
        <v>-8.8499999999999801E-2</v>
      </c>
      <c r="P7"/>
      <c r="Q7" s="146" t="s">
        <v>180</v>
      </c>
      <c r="R7" s="269" t="e">
        <f>AVERAGE(L47:L51)</f>
        <v>#REF!</v>
      </c>
      <c r="T7" s="168" t="s">
        <v>184</v>
      </c>
      <c r="U7" s="75"/>
      <c r="V7" s="75"/>
      <c r="W7" s="276">
        <v>0.25</v>
      </c>
      <c r="Z7" s="60"/>
      <c r="AA7" s="60">
        <v>0.56499999999999995</v>
      </c>
      <c r="AB7" s="60"/>
      <c r="AD7" s="53">
        <v>3.3149999999999999</v>
      </c>
      <c r="AE7" s="55">
        <v>0.21</v>
      </c>
      <c r="AF7" s="55">
        <f>AD7+AE7</f>
        <v>3.5249999999999999</v>
      </c>
    </row>
    <row r="8" spans="1:43" ht="13.8" thickTop="1" x14ac:dyDescent="0.25">
      <c r="A8" s="142" t="s">
        <v>206</v>
      </c>
      <c r="B8" s="190">
        <v>0</v>
      </c>
      <c r="C8" s="190">
        <v>0</v>
      </c>
      <c r="D8" s="190">
        <v>0</v>
      </c>
      <c r="E8" s="190">
        <v>0</v>
      </c>
      <c r="F8"/>
      <c r="G8" s="54" t="s">
        <v>118</v>
      </c>
      <c r="H8" s="161">
        <v>3.3250000000000002</v>
      </c>
      <c r="K8" s="280" t="s">
        <v>204</v>
      </c>
      <c r="L8" s="160">
        <f>AVERAGE(D43:D54)</f>
        <v>3.2884166666666665</v>
      </c>
      <c r="M8" s="280" t="s">
        <v>204</v>
      </c>
      <c r="N8" s="188">
        <f t="shared" si="0"/>
        <v>3.6583333333333634E-2</v>
      </c>
      <c r="O8" s="282">
        <f>H8-L8</f>
        <v>3.6583333333333634E-2</v>
      </c>
      <c r="P8"/>
      <c r="Q8" s="146" t="s">
        <v>181</v>
      </c>
      <c r="R8" s="269" t="e">
        <f>AVERAGE(L52:L58)</f>
        <v>#REF!</v>
      </c>
      <c r="T8" s="167" t="s">
        <v>185</v>
      </c>
      <c r="U8" s="75"/>
      <c r="V8" s="75"/>
      <c r="W8" s="198">
        <f>W7*W5</f>
        <v>30</v>
      </c>
      <c r="Z8" s="60"/>
      <c r="AA8" s="60">
        <v>0.56499999999999995</v>
      </c>
      <c r="AB8" s="60"/>
      <c r="AD8" s="53">
        <v>3.25</v>
      </c>
      <c r="AE8" s="55">
        <v>0.21</v>
      </c>
      <c r="AF8" s="55">
        <f>AD8+AE8</f>
        <v>3.46</v>
      </c>
    </row>
    <row r="9" spans="1:43" ht="13.8" thickBot="1" x14ac:dyDescent="0.3">
      <c r="A9" s="55" t="s">
        <v>52</v>
      </c>
      <c r="B9" s="187">
        <v>0</v>
      </c>
      <c r="C9" s="187">
        <v>0</v>
      </c>
      <c r="D9" s="187">
        <v>0</v>
      </c>
      <c r="E9" s="187">
        <v>0</v>
      </c>
      <c r="F9"/>
      <c r="G9" s="54" t="s">
        <v>119</v>
      </c>
      <c r="H9" s="161">
        <f>H8+0.14</f>
        <v>3.4650000000000003</v>
      </c>
      <c r="K9" s="281" t="s">
        <v>205</v>
      </c>
      <c r="L9" s="160">
        <f>AVERAGE(D55:D66)</f>
        <v>3.347666666666667</v>
      </c>
      <c r="M9" s="281" t="s">
        <v>205</v>
      </c>
      <c r="N9" s="283">
        <f t="shared" si="0"/>
        <v>0.11733333333333329</v>
      </c>
      <c r="O9" s="284">
        <f>H9-L9</f>
        <v>0.11733333333333329</v>
      </c>
      <c r="P9"/>
      <c r="Q9" s="146" t="s">
        <v>182</v>
      </c>
      <c r="R9" s="269" t="e">
        <f>AVERAGE(L59:L63)</f>
        <v>#REF!</v>
      </c>
      <c r="T9" s="167" t="s">
        <v>190</v>
      </c>
      <c r="U9" s="75"/>
      <c r="V9" s="75"/>
      <c r="W9" s="273">
        <f>W6/W5</f>
        <v>8.3333333333333329E-2</v>
      </c>
      <c r="Z9" s="60"/>
      <c r="AA9" s="60">
        <v>0.46500000000000002</v>
      </c>
      <c r="AB9" s="60"/>
    </row>
    <row r="10" spans="1:43" ht="14.4" thickTop="1" thickBot="1" x14ac:dyDescent="0.3">
      <c r="A10" s="55" t="s">
        <v>113</v>
      </c>
      <c r="B10" s="179">
        <v>1</v>
      </c>
      <c r="C10" s="179">
        <v>1</v>
      </c>
      <c r="D10" s="179">
        <v>1</v>
      </c>
      <c r="E10" s="179">
        <v>1</v>
      </c>
      <c r="F10"/>
      <c r="G10" s="54" t="s">
        <v>305</v>
      </c>
      <c r="H10" s="161">
        <f>H9+0.1</f>
        <v>3.5650000000000004</v>
      </c>
      <c r="K10" s="281" t="s">
        <v>306</v>
      </c>
      <c r="L10" s="160">
        <f>AVERAGE(D67:D78)</f>
        <v>3.4322499999999998</v>
      </c>
      <c r="M10" s="281" t="s">
        <v>205</v>
      </c>
      <c r="N10" s="283">
        <f>IF(H10&gt;0,O10,0)</f>
        <v>0.13275000000000059</v>
      </c>
      <c r="O10" s="284">
        <f>H10-L10</f>
        <v>0.13275000000000059</v>
      </c>
      <c r="P10"/>
      <c r="Q10" s="146" t="s">
        <v>183</v>
      </c>
      <c r="R10" s="269" t="e">
        <f>AVERAGE(L64:L70)</f>
        <v>#REF!</v>
      </c>
      <c r="T10" s="167" t="s">
        <v>187</v>
      </c>
      <c r="U10" s="75"/>
      <c r="V10" s="75">
        <v>3</v>
      </c>
      <c r="W10" s="277">
        <f>W9*V10</f>
        <v>0.25</v>
      </c>
      <c r="Z10" s="60"/>
      <c r="AA10" s="60"/>
      <c r="AB10" s="60"/>
    </row>
    <row r="11" spans="1:43" ht="13.8" thickTop="1" x14ac:dyDescent="0.25">
      <c r="A11" s="55" t="s">
        <v>112</v>
      </c>
      <c r="B11" s="179">
        <v>2</v>
      </c>
      <c r="C11" s="179">
        <v>2</v>
      </c>
      <c r="D11" s="179">
        <v>2</v>
      </c>
      <c r="E11" s="179">
        <v>2</v>
      </c>
      <c r="F11"/>
      <c r="G11"/>
      <c r="H11"/>
      <c r="I11"/>
      <c r="J11"/>
      <c r="K11"/>
      <c r="L11"/>
      <c r="M11"/>
      <c r="N11"/>
      <c r="O11"/>
      <c r="P11"/>
      <c r="Q11" s="146"/>
      <c r="R11" s="146"/>
      <c r="T11" s="167" t="s">
        <v>186</v>
      </c>
      <c r="U11" s="75"/>
      <c r="V11" s="75"/>
      <c r="W11" s="285">
        <f>(W8*W10)/W6</f>
        <v>0.75</v>
      </c>
      <c r="Z11" s="60"/>
      <c r="AA11" s="60"/>
      <c r="AB11" s="60"/>
    </row>
    <row r="12" spans="1:43" ht="13.8" thickBot="1" x14ac:dyDescent="0.3">
      <c r="A12" s="55" t="s">
        <v>107</v>
      </c>
      <c r="B12" s="199">
        <v>4</v>
      </c>
      <c r="C12" s="199">
        <v>2.5</v>
      </c>
      <c r="D12" s="199">
        <v>2.5</v>
      </c>
      <c r="E12" s="199">
        <v>2.4900000000000002</v>
      </c>
      <c r="F12"/>
      <c r="G12"/>
      <c r="H12"/>
      <c r="I12"/>
      <c r="J12"/>
      <c r="K12"/>
      <c r="L12"/>
      <c r="M12"/>
      <c r="N12"/>
      <c r="O12"/>
      <c r="P12"/>
      <c r="Q12" s="146"/>
      <c r="R12" s="160"/>
      <c r="T12" s="167"/>
      <c r="U12" s="167"/>
      <c r="V12" s="167"/>
      <c r="W12" s="167"/>
      <c r="Z12" s="60"/>
      <c r="AA12" s="60"/>
      <c r="AB12" s="60"/>
    </row>
    <row r="13" spans="1:43" ht="13.8" thickTop="1" x14ac:dyDescent="0.25">
      <c r="A13" s="55" t="s">
        <v>37</v>
      </c>
      <c r="B13" s="142">
        <f ca="1">'opt calc'!$B21</f>
        <v>1.1898563529585233</v>
      </c>
      <c r="C13" s="142">
        <f ca="1">'opt calc'!$D21</f>
        <v>0.24634509271668414</v>
      </c>
      <c r="D13" s="142">
        <f ca="1">'opt calc'!F21</f>
        <v>0.24634509271668414</v>
      </c>
      <c r="E13" s="205">
        <f ca="1">'opt calc'!$H21</f>
        <v>0.2423777604356856</v>
      </c>
      <c r="F13"/>
      <c r="G13"/>
      <c r="H13"/>
      <c r="I13"/>
      <c r="J13"/>
      <c r="K13"/>
      <c r="L13"/>
      <c r="M13"/>
      <c r="N13"/>
      <c r="O13"/>
      <c r="P13"/>
      <c r="Q13" s="146"/>
      <c r="R13" s="160"/>
      <c r="T13" s="167"/>
      <c r="U13" s="167"/>
      <c r="V13" s="167"/>
      <c r="W13" s="167">
        <f>(W11*W6)/W5</f>
        <v>6.25E-2</v>
      </c>
      <c r="Z13" s="60"/>
      <c r="AA13" s="60"/>
      <c r="AB13" s="60"/>
    </row>
    <row r="14" spans="1:43" x14ac:dyDescent="0.25">
      <c r="A14" s="55" t="s">
        <v>28</v>
      </c>
      <c r="B14" s="189">
        <f ca="1">'opt calc'!$B22</f>
        <v>-0.61587286560421717</v>
      </c>
      <c r="C14" s="189">
        <f ca="1">'opt calc'!$D22</f>
        <v>-0.2389869565123395</v>
      </c>
      <c r="D14" s="189">
        <f ca="1">'opt calc'!$F22</f>
        <v>-0.2389869565123395</v>
      </c>
      <c r="E14" s="189">
        <f ca="1">'opt calc'!$H22</f>
        <v>-0.23609888758021999</v>
      </c>
      <c r="F14"/>
      <c r="G14"/>
      <c r="H14"/>
      <c r="I14"/>
      <c r="J14"/>
      <c r="K14"/>
      <c r="L14"/>
      <c r="M14"/>
      <c r="N14"/>
      <c r="O14"/>
      <c r="P14"/>
      <c r="Q14" s="55">
        <v>7</v>
      </c>
      <c r="T14" s="75"/>
      <c r="U14" s="168"/>
      <c r="V14" s="75"/>
      <c r="W14" s="75">
        <f>(((0.19*(30.5*0.15))+(0.05*(30.5*0.85))))/31</f>
        <v>6.985483870967743E-2</v>
      </c>
      <c r="Z14" s="60"/>
      <c r="AA14" s="60"/>
      <c r="AB14" s="60"/>
      <c r="AG14" s="55">
        <f>AVERAGE(AI40:AI43)*1.12</f>
        <v>0</v>
      </c>
    </row>
    <row r="15" spans="1:43" x14ac:dyDescent="0.25">
      <c r="A15" s="55" t="s">
        <v>33</v>
      </c>
      <c r="B15" s="142">
        <f ca="1">'opt calc'!$B23</f>
        <v>1.087095674779083E-2</v>
      </c>
      <c r="C15" s="142">
        <f ca="1">'opt calc'!$D23</f>
        <v>8.7903055059085806E-3</v>
      </c>
      <c r="D15" s="142">
        <f ca="1">'opt calc'!$F23</f>
        <v>8.7903055059085806E-3</v>
      </c>
      <c r="E15" s="142">
        <f ca="1">'opt calc'!$H23</f>
        <v>8.7363448210908551E-3</v>
      </c>
      <c r="F15"/>
      <c r="G15"/>
      <c r="H15"/>
      <c r="I15"/>
      <c r="J15"/>
      <c r="K15"/>
      <c r="L15"/>
      <c r="M15"/>
      <c r="N15"/>
      <c r="O15"/>
      <c r="P15"/>
      <c r="Q15" s="146"/>
      <c r="R15" s="160"/>
      <c r="T15" s="75"/>
      <c r="U15" s="198"/>
      <c r="V15" s="75"/>
      <c r="W15" s="75">
        <f>W5*W7</f>
        <v>30</v>
      </c>
      <c r="Z15" s="60"/>
      <c r="AA15" s="60"/>
      <c r="AB15" s="60"/>
    </row>
    <row r="16" spans="1:43" x14ac:dyDescent="0.25">
      <c r="B16" s="142"/>
      <c r="C16" s="195"/>
      <c r="D16" s="142"/>
      <c r="E16" s="135"/>
      <c r="F16"/>
      <c r="G16"/>
      <c r="H16"/>
      <c r="I16"/>
      <c r="J16"/>
      <c r="K16"/>
      <c r="L16"/>
      <c r="M16"/>
      <c r="N16"/>
      <c r="O16"/>
      <c r="P16"/>
      <c r="Q16" s="146">
        <v>0.3</v>
      </c>
      <c r="R16" s="160"/>
      <c r="T16" s="75"/>
      <c r="U16" s="167">
        <f>(20*0.85)/30</f>
        <v>0.56666666666666665</v>
      </c>
      <c r="V16" s="75"/>
      <c r="W16" s="75"/>
      <c r="Z16" s="60"/>
      <c r="AA16" s="60"/>
      <c r="AB16" s="60"/>
    </row>
    <row r="17" spans="1:56" x14ac:dyDescent="0.25">
      <c r="A17" s="142"/>
      <c r="B17" s="142"/>
      <c r="D17" s="142"/>
      <c r="E17" s="142"/>
      <c r="F17"/>
      <c r="G17"/>
      <c r="H17"/>
      <c r="I17"/>
      <c r="J17"/>
      <c r="K17"/>
      <c r="L17"/>
      <c r="M17"/>
      <c r="N17"/>
      <c r="O17"/>
      <c r="P17"/>
      <c r="Q17" s="146">
        <v>0.28000000000000003</v>
      </c>
      <c r="R17" s="160"/>
      <c r="W17" s="123"/>
      <c r="Z17" s="60"/>
      <c r="AA17" s="60"/>
      <c r="AB17" s="60"/>
    </row>
    <row r="18" spans="1:56" x14ac:dyDescent="0.25">
      <c r="A18" s="399"/>
      <c r="B18" s="400"/>
      <c r="C18" s="142"/>
      <c r="D18" s="142"/>
      <c r="E18" s="142"/>
      <c r="F18"/>
      <c r="G18"/>
      <c r="H18"/>
      <c r="I18"/>
      <c r="J18"/>
      <c r="K18"/>
      <c r="L18"/>
      <c r="M18"/>
      <c r="N18"/>
      <c r="O18"/>
      <c r="P18"/>
      <c r="Q18" s="146"/>
      <c r="R18" s="160">
        <f>0.47*2</f>
        <v>0.94</v>
      </c>
      <c r="W18" s="123"/>
      <c r="Z18" s="60"/>
      <c r="AA18" s="60"/>
      <c r="AB18" s="60"/>
    </row>
    <row r="19" spans="1:56" x14ac:dyDescent="0.25">
      <c r="A19" s="54" t="s">
        <v>207</v>
      </c>
      <c r="B19" s="142"/>
      <c r="C19" s="142"/>
      <c r="F19"/>
      <c r="G19"/>
      <c r="H19"/>
      <c r="I19"/>
      <c r="J19"/>
      <c r="K19"/>
      <c r="L19"/>
      <c r="M19"/>
      <c r="N19"/>
      <c r="O19"/>
      <c r="P19"/>
      <c r="Q19" s="146"/>
      <c r="W19" s="123"/>
      <c r="Z19" s="60"/>
      <c r="AA19" s="60"/>
      <c r="AB19" s="60"/>
    </row>
    <row r="20" spans="1:56" x14ac:dyDescent="0.25">
      <c r="A20" s="54"/>
      <c r="B20" s="142"/>
      <c r="C20" s="142"/>
      <c r="D20" s="123"/>
      <c r="E20" s="146"/>
      <c r="F20" s="146"/>
      <c r="G20" s="146"/>
      <c r="H20" s="146"/>
      <c r="I20" s="203"/>
      <c r="W20" s="123"/>
      <c r="Z20" s="60"/>
      <c r="AA20" s="60"/>
      <c r="AB20" s="60"/>
    </row>
    <row r="21" spans="1:56" x14ac:dyDescent="0.25">
      <c r="D21" s="142"/>
      <c r="E21" s="146"/>
      <c r="F21" s="146"/>
      <c r="G21" s="146"/>
      <c r="H21" s="146"/>
      <c r="I21" s="203"/>
      <c r="W21" s="123"/>
      <c r="Z21" s="60"/>
      <c r="AA21" s="60"/>
      <c r="AB21" s="60"/>
    </row>
    <row r="22" spans="1:56" x14ac:dyDescent="0.25">
      <c r="D22" s="267"/>
      <c r="E22" s="146"/>
      <c r="F22" s="146"/>
      <c r="G22" s="146"/>
      <c r="H22" s="146"/>
      <c r="I22" s="206"/>
      <c r="W22" s="123"/>
      <c r="Z22" s="60"/>
      <c r="AA22" s="60"/>
      <c r="AB22" s="60"/>
    </row>
    <row r="23" spans="1:56" x14ac:dyDescent="0.25">
      <c r="B23" s="291"/>
      <c r="C23" s="142"/>
      <c r="D23" s="123"/>
      <c r="E23" s="146"/>
      <c r="F23" s="146"/>
      <c r="G23" s="146"/>
      <c r="H23" s="146"/>
      <c r="I23" s="146"/>
      <c r="W23" s="123"/>
      <c r="Z23" s="60"/>
      <c r="AA23" s="60"/>
      <c r="AB23" s="60"/>
    </row>
    <row r="24" spans="1:56" x14ac:dyDescent="0.25">
      <c r="B24" s="291"/>
      <c r="D24" s="123"/>
      <c r="E24" s="146"/>
      <c r="F24" s="146"/>
      <c r="G24" s="146"/>
      <c r="H24" s="146"/>
      <c r="I24" s="146"/>
      <c r="S24" s="142"/>
      <c r="W24" s="123"/>
      <c r="Z24" s="60"/>
      <c r="AA24" s="60"/>
      <c r="AB24" s="60"/>
    </row>
    <row r="25" spans="1:56" x14ac:dyDescent="0.25">
      <c r="B25" s="291"/>
      <c r="C25" s="142"/>
      <c r="D25" s="123"/>
      <c r="E25" s="146"/>
      <c r="F25" s="146"/>
      <c r="G25" s="146"/>
      <c r="H25" s="146"/>
      <c r="I25" s="146"/>
      <c r="W25" s="123"/>
      <c r="Z25" s="60"/>
      <c r="AA25" s="60"/>
      <c r="AB25" s="60"/>
    </row>
    <row r="26" spans="1:56" x14ac:dyDescent="0.25">
      <c r="A26" s="54"/>
      <c r="B26" s="291"/>
      <c r="C26" s="142"/>
      <c r="D26" s="123"/>
      <c r="E26" s="146"/>
      <c r="F26" s="146"/>
      <c r="G26" s="146"/>
      <c r="H26" s="146"/>
      <c r="I26" s="146"/>
      <c r="W26" s="123"/>
      <c r="Z26" s="60"/>
      <c r="AA26" s="60"/>
      <c r="AB26" s="60"/>
    </row>
    <row r="27" spans="1:56" x14ac:dyDescent="0.25">
      <c r="A27" s="54"/>
      <c r="B27" s="291"/>
      <c r="C27" s="142"/>
      <c r="D27" s="123"/>
      <c r="E27" s="146"/>
      <c r="F27" s="146"/>
      <c r="G27" s="146"/>
      <c r="H27" s="146"/>
      <c r="I27" s="146"/>
      <c r="W27" s="123"/>
      <c r="Z27" s="60"/>
      <c r="AA27" s="60"/>
      <c r="AB27" s="60"/>
    </row>
    <row r="28" spans="1:56" x14ac:dyDescent="0.25">
      <c r="A28" s="53"/>
      <c r="B28" s="53"/>
      <c r="E28" s="146"/>
      <c r="G28" s="61" t="s">
        <v>23</v>
      </c>
      <c r="H28" s="136"/>
      <c r="I28" s="146"/>
      <c r="Y28" s="124">
        <f>W2</f>
        <v>1.5</v>
      </c>
      <c r="AB28" s="60"/>
      <c r="AC28" s="60"/>
      <c r="AD28" s="60"/>
      <c r="BC28" s="55"/>
      <c r="BD28" s="55"/>
    </row>
    <row r="29" spans="1:56" x14ac:dyDescent="0.25">
      <c r="A29" s="53"/>
      <c r="B29" s="53"/>
      <c r="E29" s="299"/>
      <c r="G29" s="61"/>
      <c r="H29" s="136"/>
      <c r="I29" s="146"/>
      <c r="Y29" s="124"/>
      <c r="AB29" s="60"/>
      <c r="AC29" s="60"/>
      <c r="AD29" s="60"/>
      <c r="BC29" s="55"/>
      <c r="BD29" s="55"/>
    </row>
    <row r="30" spans="1:56" ht="13.8" thickBot="1" x14ac:dyDescent="0.3">
      <c r="A30" s="62"/>
      <c r="B30" s="63" t="s">
        <v>24</v>
      </c>
      <c r="C30" s="63" t="s">
        <v>19</v>
      </c>
      <c r="D30" s="63" t="s">
        <v>23</v>
      </c>
      <c r="E30" s="63" t="s">
        <v>31</v>
      </c>
      <c r="F30" s="63" t="s">
        <v>30</v>
      </c>
      <c r="G30" s="63" t="s">
        <v>22</v>
      </c>
      <c r="H30" s="137" t="s">
        <v>161</v>
      </c>
      <c r="I30" s="63" t="s">
        <v>22</v>
      </c>
      <c r="J30" s="54" t="s">
        <v>115</v>
      </c>
      <c r="K30" s="55" t="s">
        <v>168</v>
      </c>
      <c r="L30" s="55" t="s">
        <v>167</v>
      </c>
      <c r="N30" s="63" t="s">
        <v>20</v>
      </c>
      <c r="O30" s="54" t="s">
        <v>21</v>
      </c>
      <c r="Q30" s="55" t="s">
        <v>174</v>
      </c>
      <c r="AB30" s="60"/>
      <c r="AC30" s="60"/>
      <c r="BC30" s="55"/>
      <c r="BD30" s="55"/>
    </row>
    <row r="31" spans="1:56" x14ac:dyDescent="0.25">
      <c r="A31" s="53">
        <v>1</v>
      </c>
      <c r="B31" s="64">
        <v>37288</v>
      </c>
      <c r="C31" s="53">
        <f>[4]!'NGF2,PRIM ACT 1,1'</f>
        <v>2.56</v>
      </c>
      <c r="D31" s="53">
        <f t="shared" ref="D31:D94" si="1">VLOOKUP($B31,curvesettle,2,FALSE)</f>
        <v>2.786</v>
      </c>
      <c r="E31" s="159">
        <f>N3</f>
        <v>9.8999999999999755E-2</v>
      </c>
      <c r="F31" s="65">
        <f>IF(C$1="settle",D31,IF(C$1="EOL",D31+E31,IF(ISNUMBER(C31),C31,D31)))</f>
        <v>2.786</v>
      </c>
      <c r="G31" s="66">
        <f t="shared" ref="G31:G94" si="2">VLOOKUP($B31,curvesettle,3,FALSE)</f>
        <v>0.92</v>
      </c>
      <c r="H31" s="66">
        <v>0</v>
      </c>
      <c r="I31" s="66">
        <f>G31+H31</f>
        <v>0.92</v>
      </c>
      <c r="J31" s="65">
        <f ca="1">bsd(1,3,$F31,$F31,$N31-TODAY(),$I31,$O31,Y31/2)</f>
        <v>0.53315808315428193</v>
      </c>
      <c r="K31" s="66">
        <v>0</v>
      </c>
      <c r="L31" s="66" t="e">
        <f>#REF!+K31</f>
        <v>#REF!</v>
      </c>
      <c r="M31" s="55">
        <f t="shared" ref="M31:M62" si="3">A31</f>
        <v>1</v>
      </c>
      <c r="N31" s="67">
        <f t="shared" ref="N31:N62" si="4">VLOOKUP(B31,expiration,3,FALSE)</f>
        <v>37284</v>
      </c>
      <c r="O31" s="57">
        <f t="shared" ref="O31:O94" si="5">VLOOKUP($B31,curvesettle,4,FALSE)</f>
        <v>2.1145658071011701E-2</v>
      </c>
      <c r="P31" s="196">
        <f>IF(P$30="nymex",expiry!H63+1,B31)</f>
        <v>37288</v>
      </c>
      <c r="Q31" s="278" t="e">
        <f ca="1">_xll.OSTRIP(F31,F31,P31-TODAY(),B31-P31,B32-P31-1,1,O31,I31,L31,1,0,1,0)</f>
        <v>#REF!</v>
      </c>
      <c r="R31" s="142" t="e">
        <f ca="1">Q31-#REF!</f>
        <v>#REF!</v>
      </c>
      <c r="S31" s="142"/>
      <c r="T31" s="66">
        <v>0.05</v>
      </c>
      <c r="U31" s="66">
        <v>0</v>
      </c>
      <c r="V31" s="65"/>
      <c r="W31" s="65" t="e">
        <f t="shared" ref="W31:W41" ca="1" si="6">bsd(1,3,$S31,$T31,$N31-TODAY()+1,$I31,$O31,AG31/2)</f>
        <v>#VALUE!</v>
      </c>
      <c r="X31" s="65" t="e">
        <f ca="1">bsd(2,3,$S31,$S31,$N31-TODAY()+1,$I31,$O31,AH31/2)</f>
        <v>#VALUE!</v>
      </c>
      <c r="AA31" s="66">
        <v>0.05</v>
      </c>
      <c r="AB31" s="53">
        <f>[2]!'NGc1 cls'</f>
        <v>2.44</v>
      </c>
      <c r="AC31" s="53" t="e">
        <f>[2]!'NGc1 LAST'</f>
        <v>#REF!</v>
      </c>
      <c r="AG31" s="55">
        <f>(G31/SQRT(252))*F31</f>
        <v>0.16146138334323509</v>
      </c>
      <c r="AI31" s="53">
        <f>[2]!'CLc1 LAST'</f>
        <v>27.58</v>
      </c>
      <c r="BA31" s="55">
        <v>-25</v>
      </c>
      <c r="BB31" s="55">
        <f>BA31/1000</f>
        <v>-2.5000000000000001E-2</v>
      </c>
      <c r="BC31" s="55"/>
      <c r="BD31" s="55"/>
    </row>
    <row r="32" spans="1:56" x14ac:dyDescent="0.25">
      <c r="A32" s="53">
        <f t="shared" ref="A32:A95" si="7">A31+1</f>
        <v>2</v>
      </c>
      <c r="B32" s="64">
        <v>37316</v>
      </c>
      <c r="C32" s="53">
        <f>[4]!'NGG2,PRIM ACT 1,1'</f>
        <v>2.69</v>
      </c>
      <c r="D32" s="53">
        <f t="shared" si="1"/>
        <v>2.7989999999999999</v>
      </c>
      <c r="E32" s="159">
        <f>N4</f>
        <v>0.14100000000000001</v>
      </c>
      <c r="F32" s="65">
        <f t="shared" ref="F32:F95" si="8">IF(C$1="settle",D32,IF(C$1="EOL",D32+E32,IF(ISNUMBER(C32),C32,D32)))</f>
        <v>2.7989999999999999</v>
      </c>
      <c r="G32" s="66">
        <f t="shared" si="2"/>
        <v>0.80300000000000005</v>
      </c>
      <c r="H32" s="66">
        <v>0</v>
      </c>
      <c r="I32" s="66">
        <f t="shared" ref="I32:I95" si="9">G32+H32</f>
        <v>0.80300000000000005</v>
      </c>
      <c r="J32" s="65">
        <f ca="1">bsd(1,3,$F32,$F32,$N32-TODAY(),$I32,$O32,Y32/2)</f>
        <v>0.67865404416855668</v>
      </c>
      <c r="K32" s="66">
        <v>0</v>
      </c>
      <c r="L32" s="66" t="e">
        <f>#REF!+K32</f>
        <v>#REF!</v>
      </c>
      <c r="M32" s="55">
        <f t="shared" si="3"/>
        <v>2</v>
      </c>
      <c r="N32" s="67">
        <f t="shared" si="4"/>
        <v>37312</v>
      </c>
      <c r="O32" s="57">
        <f t="shared" si="5"/>
        <v>2.07759939054513E-2</v>
      </c>
      <c r="P32" s="196">
        <f>IF(P$30="nymex",expiry!H64+1,B32)</f>
        <v>37316</v>
      </c>
      <c r="Q32" s="278" t="e">
        <f ca="1">_xll.OSTRIP(F32,F32,P32-TODAY(),B32-P32,B33-P32-1,1,O32,I32,L32,1,0,1,0)</f>
        <v>#REF!</v>
      </c>
      <c r="R32" s="142" t="e">
        <f ca="1">Q32-#REF!</f>
        <v>#REF!</v>
      </c>
      <c r="S32" s="142"/>
      <c r="T32" s="66">
        <v>0.08</v>
      </c>
      <c r="U32" s="66">
        <v>0</v>
      </c>
      <c r="V32" s="65"/>
      <c r="W32" s="65" t="e">
        <f t="shared" ca="1" si="6"/>
        <v>#VALUE!</v>
      </c>
      <c r="AA32" s="66">
        <v>0.15</v>
      </c>
      <c r="AB32" s="53">
        <f>[2]!'NGc2 cls'</f>
        <v>2.74</v>
      </c>
      <c r="AC32" s="53" t="e">
        <f>[2]!'NGc2 LAST'</f>
        <v>#REF!</v>
      </c>
      <c r="AI32" s="53">
        <f>[2]!'CLc2 LAST'</f>
        <v>27.66</v>
      </c>
      <c r="BA32" s="55">
        <v>-36</v>
      </c>
      <c r="BB32" s="55">
        <f t="shared" ref="BB32:BB66" si="10">BA32/1000</f>
        <v>-3.5999999999999997E-2</v>
      </c>
      <c r="BC32" s="55"/>
      <c r="BD32" s="55"/>
    </row>
    <row r="33" spans="1:56" x14ac:dyDescent="0.25">
      <c r="A33" s="53">
        <f t="shared" si="7"/>
        <v>3</v>
      </c>
      <c r="B33" s="64">
        <v>37347</v>
      </c>
      <c r="C33" s="53">
        <f>[4]!'NGH2,PRIM ACT 1,1'</f>
        <v>2.7149999999999999</v>
      </c>
      <c r="D33" s="53">
        <f t="shared" si="1"/>
        <v>2.7589999999999999</v>
      </c>
      <c r="E33" s="159">
        <f>N5</f>
        <v>0.15100000000000025</v>
      </c>
      <c r="F33" s="65">
        <f t="shared" si="8"/>
        <v>2.7589999999999999</v>
      </c>
      <c r="G33" s="66">
        <f t="shared" si="2"/>
        <v>0.66</v>
      </c>
      <c r="H33" s="66">
        <v>0</v>
      </c>
      <c r="I33" s="66">
        <f t="shared" si="9"/>
        <v>0.66</v>
      </c>
      <c r="J33" s="65">
        <f t="shared" ref="J33:J39" ca="1" si="11">bsd(1,3,$F33,$F33,$N33-TODAY(),$I33,$O33,Y33/2)</f>
        <v>0.67866407239969373</v>
      </c>
      <c r="K33" s="66">
        <v>0</v>
      </c>
      <c r="L33" s="66" t="e">
        <f>#REF!+K33</f>
        <v>#REF!</v>
      </c>
      <c r="M33" s="55">
        <f t="shared" si="3"/>
        <v>3</v>
      </c>
      <c r="N33" s="67">
        <f t="shared" si="4"/>
        <v>37340</v>
      </c>
      <c r="O33" s="57">
        <f t="shared" si="5"/>
        <v>2.0033459902157401E-2</v>
      </c>
      <c r="P33" s="196">
        <f>IF(P$30="nymex",expiry!H65+1,B33)</f>
        <v>37347</v>
      </c>
      <c r="Q33" s="278" t="e">
        <f ca="1">_xll.OSTRIP(F33,F33,P33-TODAY(),B33-P33,B34-P33-1,1,O33,I33,L33,1,0,1,0)</f>
        <v>#REF!</v>
      </c>
      <c r="R33" s="142" t="e">
        <f ca="1">Q33-#REF!</f>
        <v>#REF!</v>
      </c>
      <c r="S33" s="142"/>
      <c r="T33" s="66">
        <v>0.05</v>
      </c>
      <c r="U33" s="66">
        <v>0</v>
      </c>
      <c r="V33" s="65"/>
      <c r="W33" s="65" t="e">
        <f t="shared" ca="1" si="6"/>
        <v>#VALUE!</v>
      </c>
      <c r="AA33" s="66">
        <v>0.15</v>
      </c>
      <c r="AB33" s="53">
        <f>[2]!'NGc3 cls'</f>
        <v>3.06</v>
      </c>
      <c r="AC33" s="53" t="e">
        <f>[2]!'NGc3 LAST'</f>
        <v>#REF!</v>
      </c>
      <c r="AI33" s="53">
        <f>[2]!'CLc3 LAST'</f>
        <v>27.61</v>
      </c>
      <c r="BA33" s="55">
        <v>-68</v>
      </c>
      <c r="BB33" s="55">
        <f t="shared" si="10"/>
        <v>-6.8000000000000005E-2</v>
      </c>
      <c r="BC33" s="55"/>
      <c r="BD33" s="55"/>
    </row>
    <row r="34" spans="1:56" x14ac:dyDescent="0.25">
      <c r="A34" s="53">
        <f t="shared" si="7"/>
        <v>4</v>
      </c>
      <c r="B34" s="64">
        <v>37377</v>
      </c>
      <c r="C34" s="53">
        <f>[4]!'NGJ2,PRIM ACT 1,1'</f>
        <v>2.7</v>
      </c>
      <c r="D34" s="53">
        <f t="shared" si="1"/>
        <v>2.7989999999999999</v>
      </c>
      <c r="E34" s="159">
        <f t="shared" ref="E34:E40" si="12">N$6</f>
        <v>2.2000000000000242E-2</v>
      </c>
      <c r="F34" s="65">
        <f t="shared" si="8"/>
        <v>2.7989999999999999</v>
      </c>
      <c r="G34" s="66">
        <f t="shared" si="2"/>
        <v>0.59299999999999997</v>
      </c>
      <c r="H34" s="66">
        <v>0</v>
      </c>
      <c r="I34" s="66">
        <f t="shared" si="9"/>
        <v>0.59299999999999997</v>
      </c>
      <c r="J34" s="65">
        <f t="shared" ca="1" si="11"/>
        <v>0.72581411404497054</v>
      </c>
      <c r="K34" s="66">
        <v>0</v>
      </c>
      <c r="L34" s="66" t="e">
        <f>#REF!+K34</f>
        <v>#REF!</v>
      </c>
      <c r="M34" s="55">
        <f t="shared" si="3"/>
        <v>4</v>
      </c>
      <c r="N34" s="67">
        <f t="shared" si="4"/>
        <v>37371</v>
      </c>
      <c r="O34" s="57">
        <f t="shared" si="5"/>
        <v>2.0156242730434901E-2</v>
      </c>
      <c r="P34" s="196">
        <f>IF(P$30="nymex",expiry!H66+1,B34)</f>
        <v>37377</v>
      </c>
      <c r="Q34" s="278" t="e">
        <f ca="1">_xll.OSTRIP(F34,F34,P34-TODAY(),B34-P34,B35-P34-1,1,O34,I34,L34,1,0,1,0)</f>
        <v>#REF!</v>
      </c>
      <c r="R34" s="142" t="e">
        <f ca="1">Q34-#REF!</f>
        <v>#REF!</v>
      </c>
      <c r="S34" s="142"/>
      <c r="T34" s="66">
        <v>-0.12</v>
      </c>
      <c r="U34" s="66">
        <v>0</v>
      </c>
      <c r="V34" s="65"/>
      <c r="W34" s="65" t="e">
        <f t="shared" ca="1" si="6"/>
        <v>#VALUE!</v>
      </c>
      <c r="AA34" s="66">
        <v>0.25</v>
      </c>
      <c r="AB34" s="53">
        <f>[2]!'NGc4 cls'</f>
        <v>3.2050000000000001</v>
      </c>
      <c r="AC34" s="53" t="e">
        <f>[2]!'NGc4 LAST'</f>
        <v>#REF!</v>
      </c>
      <c r="AI34" s="53">
        <f>[2]!'CLc4 LAST'</f>
        <v>27.26</v>
      </c>
      <c r="BA34" s="55">
        <v>-101</v>
      </c>
      <c r="BB34" s="55">
        <f t="shared" si="10"/>
        <v>-0.10100000000000001</v>
      </c>
      <c r="BC34" s="55"/>
      <c r="BD34" s="55"/>
    </row>
    <row r="35" spans="1:56" x14ac:dyDescent="0.25">
      <c r="A35" s="53">
        <f t="shared" si="7"/>
        <v>5</v>
      </c>
      <c r="B35" s="64">
        <v>37408</v>
      </c>
      <c r="C35" s="53">
        <f>[4]!'NGK2,PRIM ACT 1,1'</f>
        <v>2.7349999999999999</v>
      </c>
      <c r="D35" s="53">
        <f t="shared" si="1"/>
        <v>2.8490000000000002</v>
      </c>
      <c r="E35" s="159">
        <f t="shared" si="12"/>
        <v>2.2000000000000242E-2</v>
      </c>
      <c r="F35" s="65">
        <f t="shared" si="8"/>
        <v>2.8490000000000002</v>
      </c>
      <c r="G35" s="66">
        <f t="shared" si="2"/>
        <v>0.57299999999999995</v>
      </c>
      <c r="H35" s="66">
        <v>0</v>
      </c>
      <c r="I35" s="66">
        <f t="shared" si="9"/>
        <v>0.57299999999999995</v>
      </c>
      <c r="J35" s="65">
        <f t="shared" ca="1" si="11"/>
        <v>0.80997291295802309</v>
      </c>
      <c r="K35" s="66">
        <v>-0.05</v>
      </c>
      <c r="L35" s="66" t="e">
        <f>#REF!+K35</f>
        <v>#REF!</v>
      </c>
      <c r="M35" s="55">
        <f t="shared" si="3"/>
        <v>5</v>
      </c>
      <c r="N35" s="67">
        <f t="shared" si="4"/>
        <v>37404</v>
      </c>
      <c r="O35" s="57">
        <f t="shared" si="5"/>
        <v>2.0283118325021401E-2</v>
      </c>
      <c r="P35" s="196">
        <f>IF(P$30="nymex",expiry!H67+1,B35)</f>
        <v>37408</v>
      </c>
      <c r="Q35" s="278" t="e">
        <f ca="1">_xll.OSTRIP(F35,F35,P35-TODAY(),B35-P35,B36-P35-1,1,O35,I35,L35,1,0,1,0)</f>
        <v>#REF!</v>
      </c>
      <c r="R35" s="142" t="e">
        <f ca="1">Q35-#REF!</f>
        <v>#REF!</v>
      </c>
      <c r="S35" s="142"/>
      <c r="T35" s="66">
        <v>-0.11</v>
      </c>
      <c r="U35" s="66">
        <v>0</v>
      </c>
      <c r="V35" s="65"/>
      <c r="W35" s="65" t="e">
        <f t="shared" ca="1" si="6"/>
        <v>#VALUE!</v>
      </c>
      <c r="AA35" s="66">
        <v>0.05</v>
      </c>
      <c r="AB35" s="53">
        <f>[2]!'NGc5 cls'</f>
        <v>3.177</v>
      </c>
      <c r="AC35" s="53" t="e">
        <f>[2]!'NGc5 LAST'</f>
        <v>#REF!</v>
      </c>
      <c r="AI35" s="53">
        <f>[2]!'CLc5 LAST'</f>
        <v>26.94</v>
      </c>
      <c r="BA35" s="55">
        <v>-134</v>
      </c>
      <c r="BB35" s="55">
        <f t="shared" si="10"/>
        <v>-0.13400000000000001</v>
      </c>
      <c r="BC35" s="55"/>
      <c r="BD35" s="55"/>
    </row>
    <row r="36" spans="1:56" x14ac:dyDescent="0.25">
      <c r="A36" s="53">
        <f t="shared" si="7"/>
        <v>6</v>
      </c>
      <c r="B36" s="64">
        <v>37438</v>
      </c>
      <c r="C36" s="53">
        <f>[4]!'NGM2,PRIM ACT 1,1'</f>
        <v>2.79</v>
      </c>
      <c r="D36" s="53">
        <f t="shared" si="1"/>
        <v>2.8839999999999999</v>
      </c>
      <c r="E36" s="159">
        <f t="shared" si="12"/>
        <v>2.2000000000000242E-2</v>
      </c>
      <c r="F36" s="65">
        <f t="shared" si="8"/>
        <v>2.8839999999999999</v>
      </c>
      <c r="G36" s="66">
        <f t="shared" si="2"/>
        <v>0.56799999999999995</v>
      </c>
      <c r="H36" s="66">
        <v>0</v>
      </c>
      <c r="I36" s="66">
        <f t="shared" si="9"/>
        <v>0.56799999999999995</v>
      </c>
      <c r="J36" s="65">
        <f ca="1">bsd(1,3,$F36,$F36,$N36-TODAY(),$I36,$O36,Y36/2)</f>
        <v>0.88545888795907324</v>
      </c>
      <c r="K36" s="66">
        <v>-0.05</v>
      </c>
      <c r="L36" s="66" t="e">
        <f>#REF!+K36</f>
        <v>#REF!</v>
      </c>
      <c r="M36" s="55">
        <f t="shared" si="3"/>
        <v>6</v>
      </c>
      <c r="N36" s="67">
        <f t="shared" si="4"/>
        <v>37432</v>
      </c>
      <c r="O36" s="57">
        <f t="shared" si="5"/>
        <v>2.0560063885965998E-2</v>
      </c>
      <c r="P36" s="196">
        <f>IF(P$30="nymex",expiry!H68+1,B36)</f>
        <v>37438</v>
      </c>
      <c r="Q36" s="278" t="e">
        <f ca="1">_xll.OSTRIP(F36,F36,P36-TODAY(),B36-P36,B37-P36-1,1,O36,I36,L36,1,0,1,0)</f>
        <v>#REF!</v>
      </c>
      <c r="R36" s="142" t="e">
        <f ca="1">Q36-#REF!</f>
        <v>#REF!</v>
      </c>
      <c r="S36" s="142"/>
      <c r="T36" s="66">
        <v>-0.05</v>
      </c>
      <c r="U36" s="66">
        <v>0</v>
      </c>
      <c r="V36" s="65"/>
      <c r="W36" s="65" t="e">
        <f t="shared" ca="1" si="6"/>
        <v>#VALUE!</v>
      </c>
      <c r="AA36" s="66">
        <v>0.05</v>
      </c>
      <c r="AB36" s="53">
        <f>[2]!'NGc6 cls'</f>
        <v>3.105</v>
      </c>
      <c r="AC36" s="53" t="e">
        <f>[2]!'NGc6 LAST'</f>
        <v>#REF!</v>
      </c>
      <c r="AI36" s="53">
        <f>[2]!'CLc6 LAST'</f>
        <v>0</v>
      </c>
      <c r="BA36" s="55">
        <v>-141</v>
      </c>
      <c r="BB36" s="55">
        <f t="shared" si="10"/>
        <v>-0.14099999999999999</v>
      </c>
      <c r="BC36" s="55"/>
      <c r="BD36" s="55"/>
    </row>
    <row r="37" spans="1:56" x14ac:dyDescent="0.25">
      <c r="A37" s="53">
        <f t="shared" si="7"/>
        <v>7</v>
      </c>
      <c r="B37" s="64">
        <v>37469</v>
      </c>
      <c r="C37" s="53">
        <f>[4]!'NGN2,PRIM ACT 1,1'</f>
        <v>2.835</v>
      </c>
      <c r="D37" s="53">
        <f t="shared" si="1"/>
        <v>2.9209999999999998</v>
      </c>
      <c r="E37" s="159">
        <f t="shared" si="12"/>
        <v>2.2000000000000242E-2</v>
      </c>
      <c r="F37" s="65">
        <f t="shared" si="8"/>
        <v>2.9209999999999998</v>
      </c>
      <c r="G37" s="66">
        <f t="shared" si="2"/>
        <v>0.56299999999999994</v>
      </c>
      <c r="H37" s="66">
        <v>0</v>
      </c>
      <c r="I37" s="66">
        <f t="shared" si="9"/>
        <v>0.56299999999999994</v>
      </c>
      <c r="J37" s="65">
        <f t="shared" ca="1" si="11"/>
        <v>0.96234887494154453</v>
      </c>
      <c r="K37" s="66">
        <v>-0.05</v>
      </c>
      <c r="L37" s="66" t="e">
        <f>#REF!+K37</f>
        <v>#REF!</v>
      </c>
      <c r="M37" s="55">
        <f t="shared" si="3"/>
        <v>7</v>
      </c>
      <c r="N37" s="67">
        <f t="shared" si="4"/>
        <v>37463</v>
      </c>
      <c r="O37" s="57">
        <f t="shared" si="5"/>
        <v>2.1094384134566099E-2</v>
      </c>
      <c r="P37" s="196">
        <f>IF(P$30="nymex",expiry!H69+1,B37)</f>
        <v>37469</v>
      </c>
      <c r="Q37" s="278" t="e">
        <f ca="1">_xll.OSTRIP(F37,F37,P37-TODAY(),B37-P37,B38-P37-1,1,O37,I37,L37,1,0,1,0)</f>
        <v>#REF!</v>
      </c>
      <c r="R37" s="142" t="e">
        <f ca="1">Q37-#REF!</f>
        <v>#REF!</v>
      </c>
      <c r="S37" s="142"/>
      <c r="T37" s="66">
        <v>0</v>
      </c>
      <c r="U37" s="66">
        <v>-0.15</v>
      </c>
      <c r="V37" s="65"/>
      <c r="W37" s="65" t="e">
        <f t="shared" ca="1" si="6"/>
        <v>#VALUE!</v>
      </c>
      <c r="AA37" s="66">
        <v>0.05</v>
      </c>
      <c r="AB37" s="53">
        <f>[2]!'NGc7 cls'</f>
        <v>3.012</v>
      </c>
      <c r="AC37" s="53" t="e">
        <f>[2]!'NGc7 LAST'</f>
        <v>#REF!</v>
      </c>
      <c r="AI37" s="53">
        <f>[2]!'CLc7 LAST'</f>
        <v>26.33</v>
      </c>
      <c r="BA37" s="55">
        <v>-141</v>
      </c>
      <c r="BB37" s="55">
        <f t="shared" si="10"/>
        <v>-0.14099999999999999</v>
      </c>
      <c r="BC37" s="55"/>
      <c r="BD37" s="55"/>
    </row>
    <row r="38" spans="1:56" x14ac:dyDescent="0.25">
      <c r="A38" s="53">
        <f t="shared" si="7"/>
        <v>8</v>
      </c>
      <c r="B38" s="64">
        <v>37500</v>
      </c>
      <c r="C38" s="53">
        <f>[4]!'NGQ2,PRIM ACT 1,1'</f>
        <v>2.89</v>
      </c>
      <c r="D38" s="53">
        <f t="shared" si="1"/>
        <v>2.9209999999999998</v>
      </c>
      <c r="E38" s="159">
        <f t="shared" si="12"/>
        <v>2.2000000000000242E-2</v>
      </c>
      <c r="F38" s="65">
        <f t="shared" si="8"/>
        <v>2.9209999999999998</v>
      </c>
      <c r="G38" s="66">
        <f t="shared" si="2"/>
        <v>0.56000000000000005</v>
      </c>
      <c r="H38" s="66">
        <v>0</v>
      </c>
      <c r="I38" s="66">
        <f t="shared" si="9"/>
        <v>0.56000000000000005</v>
      </c>
      <c r="J38" s="65">
        <f t="shared" ca="1" si="11"/>
        <v>1.0262175340678352</v>
      </c>
      <c r="K38" s="66">
        <v>-0.05</v>
      </c>
      <c r="L38" s="66" t="e">
        <f>#REF!+K38</f>
        <v>#REF!</v>
      </c>
      <c r="M38" s="55">
        <f t="shared" si="3"/>
        <v>8</v>
      </c>
      <c r="N38" s="67">
        <f t="shared" si="4"/>
        <v>37495</v>
      </c>
      <c r="O38" s="57">
        <f t="shared" si="5"/>
        <v>2.1628704479852899E-2</v>
      </c>
      <c r="P38" s="196">
        <f>IF(P$30="nymex",expiry!H70+1,B38)</f>
        <v>37500</v>
      </c>
      <c r="Q38" s="278" t="e">
        <f ca="1">_xll.OSTRIP(F38,F38,P38-TODAY(),B38-P38,B39-P38-1,1,O38,I38,L38,1,0,1,0)</f>
        <v>#REF!</v>
      </c>
      <c r="R38" s="142" t="e">
        <f ca="1">Q38-#REF!</f>
        <v>#REF!</v>
      </c>
      <c r="S38" s="142"/>
      <c r="T38" s="66">
        <v>-0.05</v>
      </c>
      <c r="U38" s="66">
        <v>-0.25</v>
      </c>
      <c r="V38" s="65"/>
      <c r="W38" s="65" t="e">
        <f t="shared" ca="1" si="6"/>
        <v>#VALUE!</v>
      </c>
      <c r="AA38" s="66">
        <v>0.05</v>
      </c>
      <c r="AB38" s="53">
        <f>[2]!'NGc8 cls'</f>
        <v>3.0350000000000001</v>
      </c>
      <c r="AC38" s="53" t="e">
        <f>[2]!'NGc8 LAST'</f>
        <v>#REF!</v>
      </c>
      <c r="AI38" s="53">
        <f>[2]!'CLc8 LAST'</f>
        <v>0</v>
      </c>
      <c r="BA38" s="55">
        <v>-141</v>
      </c>
      <c r="BB38" s="55">
        <f t="shared" si="10"/>
        <v>-0.14099999999999999</v>
      </c>
      <c r="BC38" s="55"/>
      <c r="BD38" s="55"/>
    </row>
    <row r="39" spans="1:56" x14ac:dyDescent="0.25">
      <c r="A39" s="53">
        <f t="shared" si="7"/>
        <v>9</v>
      </c>
      <c r="B39" s="64">
        <v>37530</v>
      </c>
      <c r="C39" s="53">
        <f>[4]!'NGU2,PRIM ACT 1,1'</f>
        <v>2.87</v>
      </c>
      <c r="D39" s="53">
        <f t="shared" si="1"/>
        <v>2.9460000000000002</v>
      </c>
      <c r="E39" s="159">
        <f t="shared" si="12"/>
        <v>2.2000000000000242E-2</v>
      </c>
      <c r="F39" s="65">
        <f t="shared" si="8"/>
        <v>2.9460000000000002</v>
      </c>
      <c r="G39" s="66">
        <f t="shared" si="2"/>
        <v>0.56000000000000005</v>
      </c>
      <c r="H39" s="66">
        <v>0</v>
      </c>
      <c r="I39" s="66">
        <f t="shared" si="9"/>
        <v>0.56000000000000005</v>
      </c>
      <c r="J39" s="65">
        <f t="shared" ca="1" si="11"/>
        <v>1.0932618932721949</v>
      </c>
      <c r="K39" s="66">
        <v>-0.05</v>
      </c>
      <c r="L39" s="66" t="e">
        <f>#REF!+K39</f>
        <v>#REF!</v>
      </c>
      <c r="M39" s="55">
        <f t="shared" si="3"/>
        <v>9</v>
      </c>
      <c r="N39" s="67">
        <f t="shared" si="4"/>
        <v>37524</v>
      </c>
      <c r="O39" s="57">
        <f t="shared" si="5"/>
        <v>2.2229563577716799E-2</v>
      </c>
      <c r="P39" s="196">
        <f>IF(P$30="nymex",expiry!H71+1,B39)</f>
        <v>37530</v>
      </c>
      <c r="Q39" s="278" t="e">
        <f ca="1">_xll.OSTRIP(F39,F39,P39-TODAY(),B39-P39,B40-P39-1,1,O39,I39,L39,1,0,1,0)</f>
        <v>#REF!</v>
      </c>
      <c r="R39" s="142" t="e">
        <f ca="1">Q39-#REF!</f>
        <v>#REF!</v>
      </c>
      <c r="S39" s="142"/>
      <c r="T39" s="66">
        <v>0.05</v>
      </c>
      <c r="U39" s="66">
        <v>0.2</v>
      </c>
      <c r="V39" s="65"/>
      <c r="W39" s="65" t="e">
        <f t="shared" ca="1" si="6"/>
        <v>#VALUE!</v>
      </c>
      <c r="AA39" s="66">
        <v>0.05</v>
      </c>
      <c r="AB39" s="53">
        <f>[2]!'NGc9 cls'</f>
        <v>3.07</v>
      </c>
      <c r="AC39" s="53" t="e">
        <f>[2]!'NGc9 LAST'</f>
        <v>#REF!</v>
      </c>
      <c r="AI39" s="53">
        <f>[2]!'CLc9 LAST'</f>
        <v>0</v>
      </c>
      <c r="BA39" s="55">
        <v>-136</v>
      </c>
      <c r="BB39" s="55">
        <f t="shared" si="10"/>
        <v>-0.13600000000000001</v>
      </c>
      <c r="BC39" s="55"/>
      <c r="BD39" s="55"/>
    </row>
    <row r="40" spans="1:56" x14ac:dyDescent="0.25">
      <c r="A40" s="53">
        <f t="shared" si="7"/>
        <v>10</v>
      </c>
      <c r="B40" s="64">
        <v>37561</v>
      </c>
      <c r="C40" s="53">
        <f>[4]!'NGV2,PRIM ACT 1,1'</f>
        <v>2.88</v>
      </c>
      <c r="D40" s="53">
        <f t="shared" si="1"/>
        <v>3.141</v>
      </c>
      <c r="E40" s="159">
        <f t="shared" si="12"/>
        <v>2.2000000000000242E-2</v>
      </c>
      <c r="F40" s="65">
        <f t="shared" si="8"/>
        <v>3.141</v>
      </c>
      <c r="G40" s="66">
        <f t="shared" si="2"/>
        <v>0.55300000000000005</v>
      </c>
      <c r="H40" s="66">
        <v>0</v>
      </c>
      <c r="I40" s="66">
        <f t="shared" si="9"/>
        <v>0.55300000000000005</v>
      </c>
      <c r="J40" s="65">
        <f t="shared" ref="J40:J61" ca="1" si="13">bsd(1,3,$F40,$F40,$N40-TODAY(),$I40,$O40,Y40/2)</f>
        <v>1.2163314456453076</v>
      </c>
      <c r="K40" s="66">
        <v>-0.05</v>
      </c>
      <c r="L40" s="66" t="e">
        <f>#REF!+K40</f>
        <v>#REF!</v>
      </c>
      <c r="M40" s="55">
        <f t="shared" si="3"/>
        <v>10</v>
      </c>
      <c r="N40" s="67">
        <f t="shared" si="4"/>
        <v>37557</v>
      </c>
      <c r="O40" s="57">
        <f t="shared" si="5"/>
        <v>2.2969120664737601E-2</v>
      </c>
      <c r="P40" s="196">
        <f>IF(P$30="nymex",expiry!H72+1,B40)</f>
        <v>37561</v>
      </c>
      <c r="Q40" s="278" t="e">
        <f ca="1">_xll.OSTRIP(F40,F40,P40-TODAY(),B40-P40,B41-P40-1,1,O40,I40,L40,1,0,1,0)</f>
        <v>#REF!</v>
      </c>
      <c r="R40" s="142" t="e">
        <f ca="1">Q40-#REF!</f>
        <v>#REF!</v>
      </c>
      <c r="S40" s="142"/>
      <c r="T40" s="66">
        <v>0</v>
      </c>
      <c r="U40" s="66">
        <v>0.2</v>
      </c>
      <c r="V40" s="65"/>
      <c r="W40" s="65" t="e">
        <f t="shared" ca="1" si="6"/>
        <v>#VALUE!</v>
      </c>
      <c r="AA40" s="66">
        <v>0.05</v>
      </c>
      <c r="AB40" s="53">
        <f>[2]!'NGc10 cls'</f>
        <v>3.1120000000000001</v>
      </c>
      <c r="AC40" s="53" t="e">
        <f>[2]!'NGc10 LAST'</f>
        <v>#REF!</v>
      </c>
      <c r="AI40" s="53">
        <f>[2]!'CLc10 LAST'</f>
        <v>0</v>
      </c>
      <c r="BA40" s="55">
        <v>-148</v>
      </c>
      <c r="BB40" s="55">
        <f t="shared" si="10"/>
        <v>-0.14799999999999999</v>
      </c>
      <c r="BC40" s="55"/>
      <c r="BD40" s="55"/>
    </row>
    <row r="41" spans="1:56" x14ac:dyDescent="0.25">
      <c r="A41" s="53">
        <f t="shared" si="7"/>
        <v>11</v>
      </c>
      <c r="B41" s="64">
        <v>37591</v>
      </c>
      <c r="C41" s="53">
        <f>[4]!'NGX2,PRIM ACT 1,1'</f>
        <v>3.0750000000000002</v>
      </c>
      <c r="D41" s="53">
        <f t="shared" si="1"/>
        <v>3.331</v>
      </c>
      <c r="E41" s="159">
        <f>N$7</f>
        <v>-8.8499999999999801E-2</v>
      </c>
      <c r="F41" s="65">
        <f t="shared" si="8"/>
        <v>3.331</v>
      </c>
      <c r="G41" s="66">
        <f t="shared" si="2"/>
        <v>0.54800000000000004</v>
      </c>
      <c r="H41" s="66">
        <v>0</v>
      </c>
      <c r="I41" s="66">
        <f t="shared" si="9"/>
        <v>0.54800000000000004</v>
      </c>
      <c r="J41" s="65">
        <f t="shared" ca="1" si="13"/>
        <v>1.3327212698341127</v>
      </c>
      <c r="K41" s="66">
        <v>-0.05</v>
      </c>
      <c r="L41" s="66" t="e">
        <f>#REF!+K41</f>
        <v>#REF!</v>
      </c>
      <c r="M41" s="55">
        <f t="shared" si="3"/>
        <v>11</v>
      </c>
      <c r="N41" s="67">
        <f t="shared" si="4"/>
        <v>37585</v>
      </c>
      <c r="O41" s="57">
        <f t="shared" si="5"/>
        <v>2.3684821247730501E-2</v>
      </c>
      <c r="P41" s="196">
        <f>IF(P$30="nymex",expiry!H73+1,B41)</f>
        <v>37591</v>
      </c>
      <c r="Q41" s="278" t="e">
        <f ca="1">_xll.OSTRIP(F41,F41,P41-TODAY(),B41-P41,B42-P41-1,1,O41,I41,L41,1,0,1,0)</f>
        <v>#REF!</v>
      </c>
      <c r="R41" s="142" t="e">
        <f ca="1">Q41-#REF!</f>
        <v>#REF!</v>
      </c>
      <c r="S41" s="142"/>
      <c r="T41" s="66">
        <v>0</v>
      </c>
      <c r="U41" s="66">
        <v>0</v>
      </c>
      <c r="V41" s="65"/>
      <c r="W41" s="65" t="e">
        <f t="shared" ca="1" si="6"/>
        <v>#VALUE!</v>
      </c>
      <c r="AA41" s="66">
        <v>0.05</v>
      </c>
      <c r="AB41" s="53">
        <f>[2]!'NGc11 cls'</f>
        <v>3.1469999999999998</v>
      </c>
      <c r="AC41" s="53" t="e">
        <f>[2]!'NGc11 LAST'</f>
        <v>#REF!</v>
      </c>
      <c r="AI41" s="53">
        <f>[2]!'CLc11 LAST'</f>
        <v>0</v>
      </c>
      <c r="BA41" s="55">
        <v>-139</v>
      </c>
      <c r="BB41" s="55">
        <f t="shared" si="10"/>
        <v>-0.13900000000000001</v>
      </c>
      <c r="BC41" s="55"/>
      <c r="BD41" s="55"/>
    </row>
    <row r="42" spans="1:56" x14ac:dyDescent="0.25">
      <c r="A42" s="53">
        <f t="shared" si="7"/>
        <v>12</v>
      </c>
      <c r="B42" s="64">
        <v>37622</v>
      </c>
      <c r="C42" s="53">
        <f>[4]!'NGZ2,PRIM ACT 1,1'</f>
        <v>3.26</v>
      </c>
      <c r="D42" s="53">
        <f t="shared" si="1"/>
        <v>3.4359999999999999</v>
      </c>
      <c r="E42" s="159">
        <f>N$7</f>
        <v>-8.8499999999999801E-2</v>
      </c>
      <c r="F42" s="65">
        <f t="shared" si="8"/>
        <v>3.4359999999999999</v>
      </c>
      <c r="G42" s="66">
        <f t="shared" si="2"/>
        <v>0.54300000000000004</v>
      </c>
      <c r="H42" s="66">
        <v>0</v>
      </c>
      <c r="I42" s="66">
        <f t="shared" si="9"/>
        <v>0.54300000000000004</v>
      </c>
      <c r="J42" s="65">
        <f t="shared" ca="1" si="13"/>
        <v>1.4203229944741755</v>
      </c>
      <c r="K42" s="66">
        <v>0</v>
      </c>
      <c r="L42" s="66" t="e">
        <f>#REF!+K42</f>
        <v>#REF!</v>
      </c>
      <c r="M42" s="55">
        <f t="shared" si="3"/>
        <v>12</v>
      </c>
      <c r="N42" s="67">
        <f t="shared" si="4"/>
        <v>37616</v>
      </c>
      <c r="O42" s="57">
        <f t="shared" si="5"/>
        <v>2.4485717541272E-2</v>
      </c>
      <c r="P42" s="196">
        <f>IF(P$30="nymex",expiry!H74+1,B42)</f>
        <v>37622</v>
      </c>
      <c r="Q42" s="278" t="e">
        <f ca="1">_xll.OSTRIP(F42,F42,P42-TODAY(),B42-P42,B43-P42-1,1,O42,I42,L42,1,0,1,0)</f>
        <v>#REF!</v>
      </c>
      <c r="U42" s="66">
        <v>0.05</v>
      </c>
      <c r="AA42" s="66">
        <v>-0.05</v>
      </c>
      <c r="AB42" s="53">
        <f>[2]!'NGc12 cls'</f>
        <v>3.1459999999999999</v>
      </c>
      <c r="AC42" s="53" t="e">
        <f>[2]!'NGc12 LAST'</f>
        <v>#REF!</v>
      </c>
      <c r="AI42" s="53">
        <f>[2]!'CLc12 LAST'</f>
        <v>0</v>
      </c>
      <c r="BA42" s="55">
        <v>-162</v>
      </c>
      <c r="BB42" s="55">
        <f t="shared" si="10"/>
        <v>-0.16200000000000001</v>
      </c>
      <c r="BC42" s="55"/>
      <c r="BD42" s="55"/>
    </row>
    <row r="43" spans="1:56" x14ac:dyDescent="0.25">
      <c r="A43" s="53">
        <f t="shared" si="7"/>
        <v>13</v>
      </c>
      <c r="B43" s="64">
        <v>37653</v>
      </c>
      <c r="C43" s="53">
        <f>[4]!'NGF3,PRIM ACT 1,1'</f>
        <v>3.36</v>
      </c>
      <c r="D43" s="53">
        <f t="shared" si="1"/>
        <v>3.3660000000000001</v>
      </c>
      <c r="E43" s="159">
        <f t="shared" ref="E43:E54" si="14">N$8</f>
        <v>3.6583333333333634E-2</v>
      </c>
      <c r="F43" s="65">
        <f t="shared" si="8"/>
        <v>3.3660000000000001</v>
      </c>
      <c r="G43" s="66">
        <f t="shared" si="2"/>
        <v>0.53300000000000003</v>
      </c>
      <c r="H43" s="66">
        <v>0</v>
      </c>
      <c r="I43" s="66">
        <f t="shared" si="9"/>
        <v>0.53300000000000003</v>
      </c>
      <c r="J43" s="65">
        <f ca="1">bsd(1,3,$F43,$F43,$N43-TODAY(),$I43,$O43,Y43/2)</f>
        <v>1.4221143001571077</v>
      </c>
      <c r="K43" s="66">
        <v>0</v>
      </c>
      <c r="L43" s="66" t="e">
        <f>#REF!+K43</f>
        <v>#REF!</v>
      </c>
      <c r="M43" s="55">
        <f t="shared" si="3"/>
        <v>13</v>
      </c>
      <c r="N43" s="67">
        <f t="shared" si="4"/>
        <v>37649</v>
      </c>
      <c r="O43" s="57">
        <f t="shared" si="5"/>
        <v>2.53610969536586E-2</v>
      </c>
      <c r="P43" s="196">
        <f>IF(P$30="nymex",expiry!H75+1,B43)</f>
        <v>37653</v>
      </c>
      <c r="Q43" s="278" t="e">
        <f ca="1">_xll.OSTRIP(F43,F43,P43-TODAY(),B43-P43,B44-P43-1,1,O43,I43,L43,1,0,1,0)</f>
        <v>#REF!</v>
      </c>
      <c r="U43" s="66">
        <v>0.05</v>
      </c>
      <c r="AA43" s="66">
        <v>-0.05</v>
      </c>
      <c r="AB43" s="53">
        <f>[2]!'NGc13 cls'</f>
        <v>3.157</v>
      </c>
      <c r="AC43" s="53" t="e">
        <f>[2]!'NGc13 LAST'</f>
        <v>#REF!</v>
      </c>
      <c r="AI43" s="53">
        <f>[2]!'CLc13 LAST'</f>
        <v>0</v>
      </c>
      <c r="BA43" s="55">
        <v>-162</v>
      </c>
      <c r="BB43" s="55">
        <f t="shared" si="10"/>
        <v>-0.16200000000000001</v>
      </c>
      <c r="BC43" s="55"/>
      <c r="BD43" s="55"/>
    </row>
    <row r="44" spans="1:56" x14ac:dyDescent="0.25">
      <c r="A44" s="53">
        <f t="shared" si="7"/>
        <v>14</v>
      </c>
      <c r="B44" s="64">
        <v>37681</v>
      </c>
      <c r="C44" s="53">
        <f>[4]!'NGG3,PRIM ACT 1,1'</f>
        <v>3.28</v>
      </c>
      <c r="D44" s="53">
        <f t="shared" si="1"/>
        <v>3.2610000000000001</v>
      </c>
      <c r="E44" s="159">
        <f t="shared" si="14"/>
        <v>3.6583333333333634E-2</v>
      </c>
      <c r="F44" s="65">
        <f t="shared" si="8"/>
        <v>3.2610000000000001</v>
      </c>
      <c r="G44" s="66">
        <f t="shared" si="2"/>
        <v>0.503</v>
      </c>
      <c r="H44" s="66">
        <v>0</v>
      </c>
      <c r="I44" s="66">
        <f t="shared" si="9"/>
        <v>0.503</v>
      </c>
      <c r="J44" s="65">
        <f ca="1">bsd(1,3,$F44,$F44,$N44-TODAY(),$I44,$O44,Y44/2)</f>
        <v>1.343003127319387</v>
      </c>
      <c r="K44" s="66">
        <v>0</v>
      </c>
      <c r="L44" s="66" t="e">
        <f>#REF!+K44</f>
        <v>#REF!</v>
      </c>
      <c r="M44" s="55">
        <f t="shared" si="3"/>
        <v>14</v>
      </c>
      <c r="N44" s="67">
        <f t="shared" si="4"/>
        <v>37677</v>
      </c>
      <c r="O44" s="57">
        <f t="shared" si="5"/>
        <v>2.6151762451951801E-2</v>
      </c>
      <c r="P44" s="196">
        <f>IF(P$30="nymex",expiry!H76+1,B44)</f>
        <v>37681</v>
      </c>
      <c r="Q44" s="278" t="e">
        <f ca="1">_xll.OSTRIP(F44,F44,P44-TODAY(),B44-P44,B45-P44-1,1,O44,I44,L44,1,0,1,0)</f>
        <v>#REF!</v>
      </c>
      <c r="U44" s="66">
        <v>0.05</v>
      </c>
      <c r="AA44" s="66">
        <v>-0.05</v>
      </c>
      <c r="AB44" s="53">
        <f>[2]!'NGc14 cls'</f>
        <v>3.3170000000000002</v>
      </c>
      <c r="AC44" s="53" t="e">
        <f>[2]!'NGc14 LAST'</f>
        <v>#REF!</v>
      </c>
      <c r="BA44" s="55">
        <v>-157</v>
      </c>
      <c r="BB44" s="55">
        <f t="shared" si="10"/>
        <v>-0.157</v>
      </c>
      <c r="BC44" s="55"/>
      <c r="BD44" s="55"/>
    </row>
    <row r="45" spans="1:56" x14ac:dyDescent="0.25">
      <c r="A45" s="53">
        <f t="shared" si="7"/>
        <v>15</v>
      </c>
      <c r="B45" s="64">
        <v>37712</v>
      </c>
      <c r="C45" s="53">
        <f>[4]!'NGH3,PRIM ACT 1,1'</f>
        <v>3.19</v>
      </c>
      <c r="D45" s="53">
        <f t="shared" si="1"/>
        <v>3.1160000000000001</v>
      </c>
      <c r="E45" s="159">
        <f t="shared" si="14"/>
        <v>3.6583333333333634E-2</v>
      </c>
      <c r="F45" s="65">
        <f t="shared" si="8"/>
        <v>3.1160000000000001</v>
      </c>
      <c r="G45" s="66">
        <f t="shared" si="2"/>
        <v>0.42499999999999999</v>
      </c>
      <c r="H45" s="66">
        <v>0</v>
      </c>
      <c r="I45" s="66">
        <f t="shared" si="9"/>
        <v>0.42499999999999999</v>
      </c>
      <c r="J45" s="65">
        <f ca="1">bsd(1,3,$F45,$F45,$N45-TODAY(),$I45,$O45,Y45/2)</f>
        <v>1.1209188397432381</v>
      </c>
      <c r="K45" s="66">
        <v>0</v>
      </c>
      <c r="L45" s="66" t="e">
        <f>#REF!+K45</f>
        <v>#REF!</v>
      </c>
      <c r="M45" s="55">
        <f t="shared" si="3"/>
        <v>15</v>
      </c>
      <c r="N45" s="67">
        <f t="shared" si="4"/>
        <v>37706</v>
      </c>
      <c r="O45" s="57">
        <f t="shared" si="5"/>
        <v>2.70235470347737E-2</v>
      </c>
      <c r="P45" s="196">
        <f>IF(P$30="nymex",expiry!H77+1,B45)</f>
        <v>37712</v>
      </c>
      <c r="Q45" s="278" t="e">
        <f ca="1">_xll.OSTRIP(F45,F45,P45-TODAY(),B45-P45,B46-P45-1,1,O45,I45,L45,1,0,1,0)</f>
        <v>#REF!</v>
      </c>
      <c r="U45" s="66">
        <v>0.05</v>
      </c>
      <c r="AA45" s="66">
        <v>-0.05</v>
      </c>
      <c r="AB45" s="53">
        <f>[2]!'NGc15 cls'</f>
        <v>3.4780000000000002</v>
      </c>
      <c r="AC45" s="53" t="e">
        <f>[2]!'NGc15 LAST'</f>
        <v>#REF!</v>
      </c>
      <c r="BA45" s="55">
        <v>-147</v>
      </c>
      <c r="BB45" s="55">
        <f t="shared" si="10"/>
        <v>-0.14699999999999999</v>
      </c>
      <c r="BC45" s="55"/>
      <c r="BD45" s="55"/>
    </row>
    <row r="46" spans="1:56" x14ac:dyDescent="0.25">
      <c r="A46" s="53">
        <f t="shared" si="7"/>
        <v>16</v>
      </c>
      <c r="B46" s="64">
        <v>37742</v>
      </c>
      <c r="C46" s="53">
        <f>[4]!'NGJ3,PRIM ACT 1,1'</f>
        <v>3.05</v>
      </c>
      <c r="D46" s="53">
        <f t="shared" si="1"/>
        <v>3.121</v>
      </c>
      <c r="E46" s="159">
        <f t="shared" si="14"/>
        <v>3.6583333333333634E-2</v>
      </c>
      <c r="F46" s="65">
        <f t="shared" si="8"/>
        <v>3.121</v>
      </c>
      <c r="G46" s="66">
        <f t="shared" si="2"/>
        <v>0.41</v>
      </c>
      <c r="H46" s="66">
        <v>0</v>
      </c>
      <c r="I46" s="66">
        <f t="shared" si="9"/>
        <v>0.41</v>
      </c>
      <c r="J46" s="65">
        <f t="shared" ca="1" si="13"/>
        <v>1.1152297679949883</v>
      </c>
      <c r="K46" s="66">
        <v>0</v>
      </c>
      <c r="L46" s="66" t="e">
        <f>#REF!+K46</f>
        <v>#REF!</v>
      </c>
      <c r="M46" s="55">
        <f t="shared" si="3"/>
        <v>16</v>
      </c>
      <c r="N46" s="67">
        <f t="shared" si="4"/>
        <v>37736</v>
      </c>
      <c r="O46" s="57">
        <f t="shared" si="5"/>
        <v>2.78505455310585E-2</v>
      </c>
      <c r="P46" s="196">
        <f>IF(P$30="nymex",expiry!H78+1,B46)</f>
        <v>37742</v>
      </c>
      <c r="Q46" s="278" t="e">
        <f ca="1">_xll.OSTRIP(F46,F46,P46-TODAY(),B46-P46,B47-P46-1,1,O46,I46,L46,1,0,1,0)</f>
        <v>#REF!</v>
      </c>
      <c r="U46" s="66">
        <v>0.05</v>
      </c>
      <c r="AA46" s="66">
        <v>-0.05</v>
      </c>
      <c r="AB46" s="53">
        <f>[2]!'NGc16 cls'</f>
        <v>3.5550000000000002</v>
      </c>
      <c r="AC46" s="53" t="e">
        <f>[2]!'NGc16 LAST'</f>
        <v>#REF!</v>
      </c>
      <c r="BA46" s="55">
        <v>-170</v>
      </c>
      <c r="BB46" s="55">
        <f t="shared" si="10"/>
        <v>-0.17</v>
      </c>
      <c r="BC46" s="55"/>
      <c r="BD46" s="55"/>
    </row>
    <row r="47" spans="1:56" x14ac:dyDescent="0.25">
      <c r="A47" s="53">
        <f t="shared" si="7"/>
        <v>17</v>
      </c>
      <c r="B47" s="64">
        <v>37773</v>
      </c>
      <c r="C47" s="53">
        <f>[4]!'NGK3,PRIM ACT 1,1'</f>
        <v>3.05</v>
      </c>
      <c r="D47" s="53">
        <f t="shared" si="1"/>
        <v>3.1509999999999998</v>
      </c>
      <c r="E47" s="159">
        <f t="shared" si="14"/>
        <v>3.6583333333333634E-2</v>
      </c>
      <c r="F47" s="65">
        <f t="shared" si="8"/>
        <v>3.1509999999999998</v>
      </c>
      <c r="G47" s="66">
        <f t="shared" si="2"/>
        <v>0.40500000000000003</v>
      </c>
      <c r="H47" s="66">
        <v>0</v>
      </c>
      <c r="I47" s="66">
        <f t="shared" si="9"/>
        <v>0.40500000000000003</v>
      </c>
      <c r="J47" s="65">
        <f t="shared" ca="1" si="13"/>
        <v>1.1443250746214844</v>
      </c>
      <c r="K47" s="66">
        <v>0</v>
      </c>
      <c r="L47" s="66" t="e">
        <f>#REF!+K47</f>
        <v>#REF!</v>
      </c>
      <c r="M47" s="55">
        <f t="shared" si="3"/>
        <v>17</v>
      </c>
      <c r="N47" s="67">
        <f t="shared" si="4"/>
        <v>37768</v>
      </c>
      <c r="O47" s="57">
        <f t="shared" si="5"/>
        <v>2.8705110886401802E-2</v>
      </c>
      <c r="P47" s="196">
        <f>IF(P$30="nymex",expiry!H79+1,B47)</f>
        <v>37773</v>
      </c>
      <c r="Q47" s="278" t="e">
        <f ca="1">_xll.OSTRIP(F47,F47,P47-TODAY(),B47-P47,B48-P47-1,1,O47,I47,L47,1,0,1,0)</f>
        <v>#REF!</v>
      </c>
      <c r="U47" s="66">
        <v>0.05</v>
      </c>
      <c r="AB47" s="53">
        <f>[2]!'NGc17 cls'</f>
        <v>3.4449999999999998</v>
      </c>
      <c r="AC47" s="53" t="e">
        <f>[2]!'NGc17 LAST'</f>
        <v>#REF!</v>
      </c>
      <c r="BA47" s="55">
        <v>-165</v>
      </c>
      <c r="BB47" s="55">
        <f t="shared" si="10"/>
        <v>-0.16500000000000001</v>
      </c>
      <c r="BC47" s="55"/>
      <c r="BD47" s="55"/>
    </row>
    <row r="48" spans="1:56" x14ac:dyDescent="0.25">
      <c r="A48" s="53">
        <f t="shared" si="7"/>
        <v>18</v>
      </c>
      <c r="B48" s="64">
        <v>37803</v>
      </c>
      <c r="C48" s="53">
        <f>[4]!'NGM3,PRIM ACT 1,1'</f>
        <v>3.06</v>
      </c>
      <c r="D48" s="53">
        <f t="shared" si="1"/>
        <v>3.1909999999999998</v>
      </c>
      <c r="E48" s="159">
        <f t="shared" si="14"/>
        <v>3.6583333333333634E-2</v>
      </c>
      <c r="F48" s="65">
        <f t="shared" si="8"/>
        <v>3.1909999999999998</v>
      </c>
      <c r="G48" s="66">
        <f t="shared" si="2"/>
        <v>0.40500000000000003</v>
      </c>
      <c r="H48" s="66">
        <v>0</v>
      </c>
      <c r="I48" s="66">
        <f t="shared" si="9"/>
        <v>0.40500000000000003</v>
      </c>
      <c r="J48" s="65">
        <f ca="1">bsd(1,3,$F48,$F48,$N48-TODAY(),$I48,$O48,Y48/2)</f>
        <v>1.1866258681807338</v>
      </c>
      <c r="K48" s="66">
        <v>0</v>
      </c>
      <c r="L48" s="66" t="e">
        <f>#REF!+K48</f>
        <v>#REF!</v>
      </c>
      <c r="M48" s="55">
        <f t="shared" si="3"/>
        <v>18</v>
      </c>
      <c r="N48" s="67">
        <f t="shared" si="4"/>
        <v>37797</v>
      </c>
      <c r="O48" s="57">
        <f t="shared" si="5"/>
        <v>2.9520453177735599E-2</v>
      </c>
      <c r="P48" s="196">
        <f>IF(P$30="nymex",expiry!H80+1,B48)</f>
        <v>37803</v>
      </c>
      <c r="Q48" s="278" t="e">
        <f ca="1">_xll.OSTRIP(F48,F48,P48-TODAY(),B48-P48,B49-P48-1,1,O48,I48,L48,1,0,1,0)</f>
        <v>#REF!</v>
      </c>
      <c r="U48" s="66">
        <v>0.05</v>
      </c>
      <c r="AB48" s="53">
        <f>[2]!'NGc18 cls'</f>
        <v>3.3180000000000001</v>
      </c>
      <c r="AC48" s="53" t="e">
        <f>[2]!'NGc18 LAST'</f>
        <v>#REF!</v>
      </c>
      <c r="BA48" s="55">
        <v>-185</v>
      </c>
      <c r="BB48" s="55">
        <f t="shared" si="10"/>
        <v>-0.185</v>
      </c>
      <c r="BC48" s="55"/>
      <c r="BD48" s="55"/>
    </row>
    <row r="49" spans="1:56" x14ac:dyDescent="0.25">
      <c r="A49" s="53">
        <f t="shared" si="7"/>
        <v>19</v>
      </c>
      <c r="B49" s="64">
        <v>37834</v>
      </c>
      <c r="C49" s="53">
        <f>[4]!'NGN3,PRIM ACT 1,1'</f>
        <v>3.1150000000000002</v>
      </c>
      <c r="D49" s="53">
        <f t="shared" si="1"/>
        <v>3.226</v>
      </c>
      <c r="E49" s="159">
        <f t="shared" si="14"/>
        <v>3.6583333333333634E-2</v>
      </c>
      <c r="F49" s="65">
        <f t="shared" si="8"/>
        <v>3.226</v>
      </c>
      <c r="G49" s="66">
        <f t="shared" si="2"/>
        <v>0.40500000000000003</v>
      </c>
      <c r="H49" s="66">
        <v>0</v>
      </c>
      <c r="I49" s="66">
        <f t="shared" si="9"/>
        <v>0.40500000000000003</v>
      </c>
      <c r="J49" s="65">
        <f ca="1">bsd(1,3,$F49,$F49,$N49-TODAY(),$I49,$O49,Y49/2)</f>
        <v>1.2302464237311641</v>
      </c>
      <c r="K49" s="66">
        <v>0</v>
      </c>
      <c r="L49" s="66" t="e">
        <f>#REF!+K49</f>
        <v>#REF!</v>
      </c>
      <c r="M49" s="55">
        <f t="shared" si="3"/>
        <v>19</v>
      </c>
      <c r="N49" s="67">
        <f t="shared" si="4"/>
        <v>37830</v>
      </c>
      <c r="O49" s="57">
        <f t="shared" si="5"/>
        <v>3.0346320792436401E-2</v>
      </c>
      <c r="P49" s="196">
        <f>IF(P$30="nymex",expiry!H81+1,B49)</f>
        <v>37834</v>
      </c>
      <c r="Q49" s="278" t="e">
        <f ca="1">_xll.OSTRIP(F49,F49,P49-TODAY(),B49-P49,B50-P49-1,1,O49,I49,L49,1,0,1,0)</f>
        <v>#REF!</v>
      </c>
      <c r="U49" s="66">
        <v>0.1</v>
      </c>
      <c r="AB49" s="53">
        <f>[2]!'NGc19 cls'</f>
        <v>3.1379999999999999</v>
      </c>
      <c r="AC49" s="53" t="e">
        <f>[2]!'NGc19 LAST'</f>
        <v>#REF!</v>
      </c>
      <c r="BA49" s="55">
        <v>-172</v>
      </c>
      <c r="BB49" s="55">
        <f t="shared" si="10"/>
        <v>-0.17199999999999999</v>
      </c>
      <c r="BC49" s="55"/>
      <c r="BD49" s="55"/>
    </row>
    <row r="50" spans="1:56" x14ac:dyDescent="0.25">
      <c r="A50" s="53">
        <f t="shared" si="7"/>
        <v>20</v>
      </c>
      <c r="B50" s="64">
        <v>37865</v>
      </c>
      <c r="C50" s="53">
        <f>[4]!'NGQ3,PRIM ACT 1,1'</f>
        <v>3.15</v>
      </c>
      <c r="D50" s="53">
        <f t="shared" si="1"/>
        <v>3.2290000000000001</v>
      </c>
      <c r="E50" s="159">
        <f t="shared" si="14"/>
        <v>3.6583333333333634E-2</v>
      </c>
      <c r="F50" s="65">
        <f t="shared" si="8"/>
        <v>3.2290000000000001</v>
      </c>
      <c r="G50" s="66">
        <f t="shared" si="2"/>
        <v>0.4</v>
      </c>
      <c r="H50" s="66">
        <v>0</v>
      </c>
      <c r="I50" s="66">
        <f t="shared" si="9"/>
        <v>0.4</v>
      </c>
      <c r="J50" s="65">
        <f ca="1">bsd(1,3,$F50,$F50,$N50-TODAY(),$I50,$O50,Y50/2)</f>
        <v>1.2416714464218108</v>
      </c>
      <c r="K50" s="66">
        <v>0</v>
      </c>
      <c r="L50" s="66" t="e">
        <f>#REF!+K50</f>
        <v>#REF!</v>
      </c>
      <c r="M50" s="55">
        <f t="shared" si="3"/>
        <v>20</v>
      </c>
      <c r="N50" s="67">
        <f t="shared" si="4"/>
        <v>37859</v>
      </c>
      <c r="O50" s="57">
        <f t="shared" si="5"/>
        <v>3.1172188637070199E-2</v>
      </c>
      <c r="P50" s="196">
        <f>IF(P$30="nymex",expiry!H82+1,B50)</f>
        <v>37865</v>
      </c>
      <c r="Q50" s="278" t="e">
        <f ca="1">_xll.OSTRIP(F50,F50,P50-TODAY(),B50-P50,B51-P50-1,1,O50,I50,L50,1,0,1,0)</f>
        <v>#REF!</v>
      </c>
      <c r="U50" s="66">
        <v>0.2</v>
      </c>
      <c r="AB50" s="53">
        <f>[2]!'NGc20 cls'</f>
        <v>3.1429999999999998</v>
      </c>
      <c r="AC50" s="53" t="e">
        <f>[2]!'NGc20 LAST'</f>
        <v>#REF!</v>
      </c>
      <c r="BA50" s="55">
        <v>-172</v>
      </c>
      <c r="BB50" s="55">
        <f t="shared" si="10"/>
        <v>-0.17199999999999999</v>
      </c>
      <c r="BC50" s="55"/>
      <c r="BD50" s="55"/>
    </row>
    <row r="51" spans="1:56" x14ac:dyDescent="0.25">
      <c r="A51" s="53">
        <f t="shared" si="7"/>
        <v>21</v>
      </c>
      <c r="B51" s="64">
        <v>37895</v>
      </c>
      <c r="C51" s="53">
        <f>[4]!'NGU3,PRIM ACT 1,1'</f>
        <v>3.2</v>
      </c>
      <c r="D51" s="53">
        <f t="shared" si="1"/>
        <v>3.2669999999999999</v>
      </c>
      <c r="E51" s="159">
        <f t="shared" si="14"/>
        <v>3.6583333333333634E-2</v>
      </c>
      <c r="F51" s="65">
        <f t="shared" si="8"/>
        <v>3.2669999999999999</v>
      </c>
      <c r="G51" s="66">
        <f t="shared" si="2"/>
        <v>0.4</v>
      </c>
      <c r="H51" s="66">
        <v>0</v>
      </c>
      <c r="I51" s="66">
        <f t="shared" si="9"/>
        <v>0.4</v>
      </c>
      <c r="J51" s="65">
        <f t="shared" ca="1" si="13"/>
        <v>1.2816127742012213</v>
      </c>
      <c r="K51" s="66">
        <v>0</v>
      </c>
      <c r="L51" s="66" t="e">
        <f>#REF!+K51</f>
        <v>#REF!</v>
      </c>
      <c r="M51" s="55">
        <f t="shared" si="3"/>
        <v>21</v>
      </c>
      <c r="N51" s="67">
        <f t="shared" si="4"/>
        <v>37889</v>
      </c>
      <c r="O51" s="57">
        <f t="shared" si="5"/>
        <v>3.1942240182241101E-2</v>
      </c>
      <c r="P51" s="196">
        <f>IF(P$30="nymex",expiry!H83+1,B51)</f>
        <v>37895</v>
      </c>
      <c r="Q51" s="278" t="e">
        <f ca="1">_xll.OSTRIP(F51,F51,P51-TODAY(),B51-P51,B52-P51-1,1,O51,I51,L51,1,0,1,0)</f>
        <v>#REF!</v>
      </c>
      <c r="U51" s="66">
        <v>0.3</v>
      </c>
      <c r="AB51" s="53">
        <f>[2]!'NGc21 cls'</f>
        <v>3.1709999999999998</v>
      </c>
      <c r="AC51" s="53" t="e">
        <f>[2]!'NGc21 LAST'</f>
        <v>#REF!</v>
      </c>
      <c r="BA51" s="55">
        <v>-172</v>
      </c>
      <c r="BB51" s="55">
        <f t="shared" si="10"/>
        <v>-0.17199999999999999</v>
      </c>
      <c r="BC51" s="55"/>
      <c r="BD51" s="55"/>
    </row>
    <row r="52" spans="1:56" x14ac:dyDescent="0.25">
      <c r="A52" s="53">
        <f t="shared" si="7"/>
        <v>22</v>
      </c>
      <c r="B52" s="64">
        <v>37926</v>
      </c>
      <c r="C52" s="53">
        <f>[4]!'NGV3,PRIM ACT 1,1'</f>
        <v>3.2010000000000001</v>
      </c>
      <c r="D52" s="53">
        <f t="shared" si="1"/>
        <v>3.4119999999999999</v>
      </c>
      <c r="E52" s="159">
        <f t="shared" si="14"/>
        <v>3.6583333333333634E-2</v>
      </c>
      <c r="F52" s="65">
        <f t="shared" si="8"/>
        <v>3.4119999999999999</v>
      </c>
      <c r="G52" s="66">
        <f t="shared" si="2"/>
        <v>0.39800000000000002</v>
      </c>
      <c r="H52" s="66">
        <v>0</v>
      </c>
      <c r="I52" s="66">
        <f t="shared" si="9"/>
        <v>0.39800000000000002</v>
      </c>
      <c r="J52" s="65">
        <f t="shared" ca="1" si="13"/>
        <v>1.3597716954103669</v>
      </c>
      <c r="K52" s="66">
        <v>0</v>
      </c>
      <c r="L52" s="66" t="e">
        <f>#REF!+K52</f>
        <v>#REF!</v>
      </c>
      <c r="M52" s="55">
        <f t="shared" si="3"/>
        <v>22</v>
      </c>
      <c r="N52" s="67">
        <f t="shared" si="4"/>
        <v>37922</v>
      </c>
      <c r="O52" s="57">
        <f t="shared" si="5"/>
        <v>3.2701454698897098E-2</v>
      </c>
      <c r="P52" s="196">
        <f>IF(P$30="nymex",expiry!H84+1,B52)</f>
        <v>37926</v>
      </c>
      <c r="Q52" s="278" t="e">
        <f ca="1">_xll.OSTRIP(F52,F52,P52-TODAY(),B52-P52,B53-P52-1,1,O52,I52,L52,1,0,1,0)</f>
        <v>#REF!</v>
      </c>
      <c r="U52" s="66">
        <v>0.3</v>
      </c>
      <c r="AB52" s="53">
        <f>[2]!'NGc22 cls'</f>
        <v>3.1960000000000002</v>
      </c>
      <c r="AC52" s="53" t="e">
        <f>[2]!'NGc22 LAST'</f>
        <v>#REF!</v>
      </c>
      <c r="AD52" s="69"/>
      <c r="BA52" s="55">
        <v>-172</v>
      </c>
      <c r="BB52" s="55">
        <f t="shared" si="10"/>
        <v>-0.17199999999999999</v>
      </c>
      <c r="BC52" s="55"/>
      <c r="BD52" s="55"/>
    </row>
    <row r="53" spans="1:56" x14ac:dyDescent="0.25">
      <c r="A53" s="53">
        <f t="shared" si="7"/>
        <v>23</v>
      </c>
      <c r="B53" s="64">
        <v>37956</v>
      </c>
      <c r="C53" s="53">
        <f>[4]!'NGX3,PRIM ACT 1,1'</f>
        <v>3.3410000000000002</v>
      </c>
      <c r="D53" s="53">
        <f t="shared" si="1"/>
        <v>3.5510000000000002</v>
      </c>
      <c r="E53" s="159">
        <f t="shared" si="14"/>
        <v>3.6583333333333634E-2</v>
      </c>
      <c r="F53" s="65">
        <f t="shared" si="8"/>
        <v>3.5510000000000002</v>
      </c>
      <c r="G53" s="66">
        <f t="shared" si="2"/>
        <v>0.39800000000000002</v>
      </c>
      <c r="H53" s="66">
        <v>0</v>
      </c>
      <c r="I53" s="66">
        <f t="shared" si="9"/>
        <v>0.39800000000000002</v>
      </c>
      <c r="J53" s="65">
        <f ca="1">bsd(1,3,$F53,$F53,$N53-TODAY(),$I53,$O53,Y53/2)</f>
        <v>1.4375132654440803</v>
      </c>
      <c r="K53" s="66">
        <v>0</v>
      </c>
      <c r="L53" s="66" t="e">
        <f>#REF!+K53</f>
        <v>#REF!</v>
      </c>
      <c r="M53" s="55">
        <f t="shared" si="3"/>
        <v>23</v>
      </c>
      <c r="N53" s="67">
        <f t="shared" si="4"/>
        <v>37949</v>
      </c>
      <c r="O53" s="57">
        <f t="shared" si="5"/>
        <v>3.3436178609494799E-2</v>
      </c>
      <c r="P53" s="196">
        <f>IF(P$30="nymex",expiry!H85+1,B53)</f>
        <v>37956</v>
      </c>
      <c r="Q53" s="278" t="e">
        <f ca="1">_xll.OSTRIP(F53,F53,P53-TODAY(),B53-P53,B54-P53-1,1,O53,I53,L53,1,0,1,0)</f>
        <v>#REF!</v>
      </c>
      <c r="U53" s="66">
        <v>0.25</v>
      </c>
      <c r="AB53" s="53">
        <f>[2]!'NGc23 cls'</f>
        <v>3.2160000000000002</v>
      </c>
      <c r="AC53" s="53" t="e">
        <f>[2]!'NGc23 LAST'</f>
        <v>#REF!</v>
      </c>
      <c r="AD53" s="69"/>
      <c r="BA53" s="55">
        <v>-172</v>
      </c>
      <c r="BB53" s="55">
        <f t="shared" si="10"/>
        <v>-0.17199999999999999</v>
      </c>
      <c r="BC53" s="55"/>
      <c r="BD53" s="55"/>
    </row>
    <row r="54" spans="1:56" x14ac:dyDescent="0.25">
      <c r="A54" s="53">
        <f t="shared" si="7"/>
        <v>24</v>
      </c>
      <c r="B54" s="64">
        <v>37987</v>
      </c>
      <c r="C54" s="53">
        <f>[4]!'NGZ3,PRIM ACT 1,1'</f>
        <v>3.46</v>
      </c>
      <c r="D54" s="53">
        <f t="shared" si="1"/>
        <v>3.57</v>
      </c>
      <c r="E54" s="159">
        <f t="shared" si="14"/>
        <v>3.6583333333333634E-2</v>
      </c>
      <c r="F54" s="65">
        <f t="shared" si="8"/>
        <v>3.57</v>
      </c>
      <c r="G54" s="66">
        <f t="shared" si="2"/>
        <v>0.37</v>
      </c>
      <c r="H54" s="66">
        <v>0</v>
      </c>
      <c r="I54" s="66">
        <f t="shared" si="9"/>
        <v>0.37</v>
      </c>
      <c r="J54" s="65">
        <f t="shared" ca="1" si="13"/>
        <v>1.3686724062674385</v>
      </c>
      <c r="K54" s="66">
        <v>0</v>
      </c>
      <c r="L54" s="66" t="e">
        <f>#REF!+K54</f>
        <v>#REF!</v>
      </c>
      <c r="M54" s="55">
        <f t="shared" si="3"/>
        <v>24</v>
      </c>
      <c r="N54" s="67">
        <f t="shared" si="4"/>
        <v>37981</v>
      </c>
      <c r="O54" s="57">
        <f t="shared" si="5"/>
        <v>3.4638956672782897E-2</v>
      </c>
      <c r="P54" s="196">
        <f>IF(P$30="nymex",expiry!H86+1,B54)</f>
        <v>37987</v>
      </c>
      <c r="Q54" s="278" t="e">
        <f ca="1">_xll.OSTRIP(F54,F54,P54-TODAY(),B54-P54,B55-P54-1,1,O54,I54,L54,1,0,1,0)</f>
        <v>#REF!</v>
      </c>
      <c r="U54" s="66">
        <v>0.05</v>
      </c>
      <c r="AB54" s="53">
        <f>[2]!'NGc24 cls'</f>
        <v>3.2160000000000002</v>
      </c>
      <c r="AC54" s="53" t="e">
        <f>[2]!'NGc24 LAST'</f>
        <v>#REF!</v>
      </c>
      <c r="AD54" s="69"/>
      <c r="BA54" s="55">
        <v>-186</v>
      </c>
      <c r="BB54" s="55">
        <f t="shared" si="10"/>
        <v>-0.186</v>
      </c>
      <c r="BC54" s="55"/>
      <c r="BD54" s="55"/>
    </row>
    <row r="55" spans="1:56" x14ac:dyDescent="0.25">
      <c r="A55" s="53">
        <f t="shared" si="7"/>
        <v>25</v>
      </c>
      <c r="B55" s="64">
        <v>38018</v>
      </c>
      <c r="C55" s="53">
        <f>[4]!'NGF4,PRIM ACT 1,1'</f>
        <v>3.51</v>
      </c>
      <c r="D55" s="53">
        <f t="shared" si="1"/>
        <v>3.4849999999999999</v>
      </c>
      <c r="E55" s="159">
        <f t="shared" ref="E55:E66" si="15">N$9</f>
        <v>0.11733333333333329</v>
      </c>
      <c r="F55" s="65">
        <f t="shared" si="8"/>
        <v>3.4849999999999999</v>
      </c>
      <c r="G55" s="66">
        <f t="shared" si="2"/>
        <v>0.36499999999999999</v>
      </c>
      <c r="H55" s="66">
        <v>0</v>
      </c>
      <c r="I55" s="66">
        <f t="shared" si="9"/>
        <v>0.36499999999999999</v>
      </c>
      <c r="J55" s="65">
        <f t="shared" ca="1" si="13"/>
        <v>1.3402945501093022</v>
      </c>
      <c r="K55" s="66">
        <v>0</v>
      </c>
      <c r="L55" s="66" t="e">
        <f>#REF!+K55</f>
        <v>#REF!</v>
      </c>
      <c r="M55" s="55">
        <f t="shared" si="3"/>
        <v>25</v>
      </c>
      <c r="N55" s="67">
        <f t="shared" si="4"/>
        <v>38013</v>
      </c>
      <c r="O55" s="57">
        <f t="shared" si="5"/>
        <v>3.5468569142181203E-2</v>
      </c>
      <c r="P55" s="196">
        <f>IF(P$30="nymex",expiry!H87+1,B55)</f>
        <v>38018</v>
      </c>
      <c r="Q55" s="278" t="e">
        <f ca="1">_xll.OSTRIP(F55,F55,P55-TODAY(),B55-P55,B56-P55-1,1,O55,I55,L55,1,0,1,0)</f>
        <v>#REF!</v>
      </c>
      <c r="U55" s="66">
        <v>0.05</v>
      </c>
      <c r="AB55" s="53">
        <f>[2]!'NGc25 cls'</f>
        <v>3.2210000000000001</v>
      </c>
      <c r="AC55" s="53" t="e">
        <f>[2]!'NGc25 LAST'</f>
        <v>#REF!</v>
      </c>
      <c r="AD55" s="69"/>
      <c r="BA55" s="55">
        <v>-181</v>
      </c>
      <c r="BB55" s="55">
        <f t="shared" si="10"/>
        <v>-0.18099999999999999</v>
      </c>
      <c r="BC55" s="55"/>
      <c r="BD55" s="55"/>
    </row>
    <row r="56" spans="1:56" x14ac:dyDescent="0.25">
      <c r="A56" s="53">
        <f t="shared" si="7"/>
        <v>26</v>
      </c>
      <c r="B56" s="64">
        <v>38047</v>
      </c>
      <c r="C56" s="53">
        <f>[4]!'NGG4,PRIM ACT 1,1'</f>
        <v>3.48</v>
      </c>
      <c r="D56" s="53">
        <f t="shared" si="1"/>
        <v>3.355</v>
      </c>
      <c r="E56" s="159">
        <f t="shared" si="15"/>
        <v>0.11733333333333329</v>
      </c>
      <c r="F56" s="65">
        <f t="shared" si="8"/>
        <v>3.355</v>
      </c>
      <c r="G56" s="66">
        <f t="shared" si="2"/>
        <v>0.35</v>
      </c>
      <c r="H56" s="66">
        <v>0</v>
      </c>
      <c r="I56" s="66">
        <f t="shared" si="9"/>
        <v>0.35</v>
      </c>
      <c r="J56" s="65">
        <f t="shared" ca="1" si="13"/>
        <v>1.2551860294057544</v>
      </c>
      <c r="K56" s="66">
        <v>0</v>
      </c>
      <c r="L56" s="66" t="e">
        <f>#REF!+K56</f>
        <v>#REF!</v>
      </c>
      <c r="M56" s="55">
        <f t="shared" si="3"/>
        <v>26</v>
      </c>
      <c r="N56" s="67">
        <f t="shared" si="4"/>
        <v>38041</v>
      </c>
      <c r="O56" s="57">
        <f t="shared" si="5"/>
        <v>3.6244658435981701E-2</v>
      </c>
      <c r="P56" s="196">
        <f>IF(P$30="nymex",expiry!H88+1,B56)</f>
        <v>38047</v>
      </c>
      <c r="Q56" s="278" t="e">
        <f ca="1">_xll.OSTRIP(F56,F56,P56-TODAY(),B56-P56,B57-P56-1,1,O56,I56,L56,1,0,1,0)</f>
        <v>#REF!</v>
      </c>
      <c r="U56" s="66">
        <v>0.05</v>
      </c>
      <c r="AB56" s="53">
        <f>[2]!'NGc26 cls'</f>
        <v>3.371</v>
      </c>
      <c r="AC56" s="53" t="e">
        <f>[2]!'NGc26 LAST'</f>
        <v>#REF!</v>
      </c>
      <c r="AD56" s="69"/>
      <c r="BA56" s="55">
        <v>-179</v>
      </c>
      <c r="BB56" s="55">
        <f t="shared" si="10"/>
        <v>-0.17899999999999999</v>
      </c>
      <c r="BC56" s="55"/>
      <c r="BD56" s="55"/>
    </row>
    <row r="57" spans="1:56" x14ac:dyDescent="0.25">
      <c r="A57" s="53">
        <f t="shared" si="7"/>
        <v>27</v>
      </c>
      <c r="B57" s="64">
        <f t="shared" ref="B57:B88" si="16">DATE(YEAR(B56),MONTH(B56)+1,1)</f>
        <v>38078</v>
      </c>
      <c r="C57" s="53">
        <f>[4]!'NGH4,PRIM ACT 1,1'</f>
        <v>3.35</v>
      </c>
      <c r="D57" s="53">
        <f t="shared" si="1"/>
        <v>3.17</v>
      </c>
      <c r="E57" s="159">
        <f t="shared" si="15"/>
        <v>0.11733333333333329</v>
      </c>
      <c r="F57" s="65">
        <f t="shared" si="8"/>
        <v>3.17</v>
      </c>
      <c r="G57" s="66">
        <f t="shared" si="2"/>
        <v>0.32</v>
      </c>
      <c r="H57" s="66">
        <v>0</v>
      </c>
      <c r="I57" s="66">
        <f t="shared" si="9"/>
        <v>0.32</v>
      </c>
      <c r="J57" s="65">
        <f t="shared" ca="1" si="13"/>
        <v>1.1018634121523574</v>
      </c>
      <c r="K57" s="66">
        <v>0</v>
      </c>
      <c r="L57" s="66" t="e">
        <f>#REF!+K57</f>
        <v>#REF!</v>
      </c>
      <c r="M57" s="55">
        <f t="shared" si="3"/>
        <v>27</v>
      </c>
      <c r="N57" s="67">
        <f t="shared" si="4"/>
        <v>38072</v>
      </c>
      <c r="O57" s="57">
        <f t="shared" si="5"/>
        <v>3.7021069033523098E-2</v>
      </c>
      <c r="P57" s="196">
        <f>IF(P$30="nymex",expiry!H89+1,B57)</f>
        <v>38078</v>
      </c>
      <c r="Q57" s="278" t="e">
        <f ca="1">_xll.OSTRIP(F57,F57,P57-TODAY(),B57-P57,B58-P57-1,1,O57,I57,L57,1,0,1,0)</f>
        <v>#REF!</v>
      </c>
      <c r="U57" s="66">
        <v>0.05</v>
      </c>
      <c r="Y57" s="65"/>
      <c r="Z57" s="67"/>
      <c r="AA57" s="60"/>
      <c r="AB57" s="53">
        <f>[2]!'NGc27 cls'</f>
        <v>3.5259999999999998</v>
      </c>
      <c r="AC57" s="53" t="e">
        <f>[2]!'NGc27 LAST'</f>
        <v>#REF!</v>
      </c>
      <c r="AD57" s="69"/>
      <c r="BA57" s="55">
        <v>-179</v>
      </c>
      <c r="BB57" s="55">
        <f t="shared" si="10"/>
        <v>-0.17899999999999999</v>
      </c>
      <c r="BC57" s="55"/>
      <c r="BD57" s="55"/>
    </row>
    <row r="58" spans="1:56" x14ac:dyDescent="0.25">
      <c r="A58" s="53">
        <f t="shared" si="7"/>
        <v>28</v>
      </c>
      <c r="B58" s="64">
        <f t="shared" si="16"/>
        <v>38108</v>
      </c>
      <c r="C58" s="53">
        <f>[4]!'NGJ4,PRIM ACT 1,1'</f>
        <v>3.165</v>
      </c>
      <c r="D58" s="53">
        <f t="shared" si="1"/>
        <v>3.165</v>
      </c>
      <c r="E58" s="159">
        <f t="shared" si="15"/>
        <v>0.11733333333333329</v>
      </c>
      <c r="F58" s="65">
        <f t="shared" si="8"/>
        <v>3.165</v>
      </c>
      <c r="G58" s="66">
        <f t="shared" si="2"/>
        <v>0.315</v>
      </c>
      <c r="H58" s="66">
        <v>0</v>
      </c>
      <c r="I58" s="66">
        <f t="shared" si="9"/>
        <v>0.315</v>
      </c>
      <c r="J58" s="65">
        <f t="shared" ca="1" si="13"/>
        <v>1.0986188936551278</v>
      </c>
      <c r="K58" s="66">
        <v>0</v>
      </c>
      <c r="L58" s="66" t="e">
        <f>#REF!+K58</f>
        <v>#REF!</v>
      </c>
      <c r="M58" s="55">
        <f t="shared" si="3"/>
        <v>28</v>
      </c>
      <c r="N58" s="67">
        <f t="shared" si="4"/>
        <v>38104</v>
      </c>
      <c r="O58" s="57">
        <f t="shared" si="5"/>
        <v>3.7717515784331003E-2</v>
      </c>
      <c r="P58" s="196">
        <f>IF(P$30="nymex",expiry!H90+1,B58)</f>
        <v>38108</v>
      </c>
      <c r="Q58" s="278" t="e">
        <f ca="1">_xll.OSTRIP(F58,F58,P58-TODAY(),B58-P58,B59-P58-1,1,O58,I58,L58,1,0,1,0)</f>
        <v>#REF!</v>
      </c>
      <c r="U58" s="66">
        <v>0.05</v>
      </c>
      <c r="Y58" s="65"/>
      <c r="Z58" s="67"/>
      <c r="AA58" s="60"/>
      <c r="AB58" s="53">
        <f>[2]!'NGc28 cls'</f>
        <v>3.581</v>
      </c>
      <c r="AC58" s="53" t="e">
        <f>[2]!'NGc28 LAST'</f>
        <v>#REF!</v>
      </c>
      <c r="AD58" s="69"/>
      <c r="BA58" s="55">
        <v>-169</v>
      </c>
      <c r="BB58" s="55">
        <f t="shared" si="10"/>
        <v>-0.16900000000000001</v>
      </c>
      <c r="BC58" s="55"/>
      <c r="BD58" s="55"/>
    </row>
    <row r="59" spans="1:56" x14ac:dyDescent="0.25">
      <c r="A59" s="53">
        <f t="shared" si="7"/>
        <v>29</v>
      </c>
      <c r="B59" s="64">
        <f t="shared" si="16"/>
        <v>38139</v>
      </c>
      <c r="C59" s="53">
        <f>[4]!'NGK4,PRIM ACT 1,1'</f>
        <v>3.165</v>
      </c>
      <c r="D59" s="53">
        <f t="shared" si="1"/>
        <v>3.2</v>
      </c>
      <c r="E59" s="159">
        <f t="shared" si="15"/>
        <v>0.11733333333333329</v>
      </c>
      <c r="F59" s="65">
        <f t="shared" si="8"/>
        <v>3.2</v>
      </c>
      <c r="G59" s="66">
        <f t="shared" si="2"/>
        <v>0.315</v>
      </c>
      <c r="H59" s="66">
        <v>0</v>
      </c>
      <c r="I59" s="66">
        <f t="shared" si="9"/>
        <v>0.315</v>
      </c>
      <c r="J59" s="65">
        <f t="shared" ca="1" si="13"/>
        <v>1.1234700528853834</v>
      </c>
      <c r="K59" s="66">
        <v>0</v>
      </c>
      <c r="L59" s="66" t="e">
        <f>#REF!+K59</f>
        <v>#REF!</v>
      </c>
      <c r="M59" s="55">
        <f t="shared" si="3"/>
        <v>29</v>
      </c>
      <c r="N59" s="67">
        <f t="shared" si="4"/>
        <v>38132</v>
      </c>
      <c r="O59" s="57">
        <f t="shared" si="5"/>
        <v>3.8437177597991E-2</v>
      </c>
      <c r="P59" s="196">
        <f>IF(P$30="nymex",expiry!H91+1,B59)</f>
        <v>38139</v>
      </c>
      <c r="Q59" s="278" t="e">
        <f ca="1">_xll.OSTRIP(F59,F59,P59-TODAY(),B59-P59,B60-P59-1,1,O59,I59,L59,1,0,1,0)</f>
        <v>#REF!</v>
      </c>
      <c r="U59" s="66">
        <v>0.05</v>
      </c>
      <c r="Y59" s="65"/>
      <c r="Z59" s="67"/>
      <c r="AA59" s="60"/>
      <c r="AB59" s="53">
        <f>[2]!'NGc29 cls'</f>
        <v>3.4670000000000001</v>
      </c>
      <c r="AC59" s="53" t="e">
        <f>[2]!'NGc29 LAST'</f>
        <v>#REF!</v>
      </c>
      <c r="AD59" s="69"/>
      <c r="BA59" s="55">
        <v>-164</v>
      </c>
      <c r="BB59" s="55">
        <f t="shared" si="10"/>
        <v>-0.16400000000000001</v>
      </c>
      <c r="BC59" s="55"/>
      <c r="BD59" s="55"/>
    </row>
    <row r="60" spans="1:56" x14ac:dyDescent="0.25">
      <c r="A60" s="53">
        <f t="shared" si="7"/>
        <v>30</v>
      </c>
      <c r="B60" s="64">
        <f t="shared" si="16"/>
        <v>38169</v>
      </c>
      <c r="C60" s="53">
        <f>[4]!'NGM4,PRIM ACT 1,1'</f>
        <v>3.2</v>
      </c>
      <c r="D60" s="53">
        <f t="shared" si="1"/>
        <v>3.24</v>
      </c>
      <c r="E60" s="159">
        <f t="shared" si="15"/>
        <v>0.11733333333333329</v>
      </c>
      <c r="F60" s="65">
        <f t="shared" si="8"/>
        <v>3.24</v>
      </c>
      <c r="G60" s="66">
        <f t="shared" si="2"/>
        <v>0.315</v>
      </c>
      <c r="H60" s="66">
        <v>0</v>
      </c>
      <c r="I60" s="66">
        <f t="shared" si="9"/>
        <v>0.315</v>
      </c>
      <c r="J60" s="65">
        <f t="shared" ca="1" si="13"/>
        <v>1.1514730056169311</v>
      </c>
      <c r="K60" s="66">
        <v>0</v>
      </c>
      <c r="L60" s="66" t="e">
        <f>#REF!+K60</f>
        <v>#REF!</v>
      </c>
      <c r="M60" s="55">
        <f t="shared" si="3"/>
        <v>30</v>
      </c>
      <c r="N60" s="67">
        <f t="shared" si="4"/>
        <v>38163</v>
      </c>
      <c r="O60" s="57">
        <f t="shared" si="5"/>
        <v>3.9098228026385802E-2</v>
      </c>
      <c r="P60" s="196">
        <f>IF(P$30="nymex",expiry!H92+1,B60)</f>
        <v>38169</v>
      </c>
      <c r="Q60" s="278" t="e">
        <f ca="1">_xll.OSTRIP(F60,F60,P60-TODAY(),B60-P60,B61-P60-1,1,O60,I60,L60,1,0,1,0)</f>
        <v>#REF!</v>
      </c>
      <c r="U60" s="66">
        <v>0.05</v>
      </c>
      <c r="Y60" s="65"/>
      <c r="Z60" s="67"/>
      <c r="AA60" s="60"/>
      <c r="AB60" s="53">
        <f>[2]!'NGc30 cls'</f>
        <v>3.335</v>
      </c>
      <c r="AC60" s="53" t="e">
        <f>[2]!'NGc30 LAST'</f>
        <v>#REF!</v>
      </c>
      <c r="AD60" s="69"/>
      <c r="BA60" s="55">
        <v>-155</v>
      </c>
      <c r="BB60" s="55">
        <f t="shared" si="10"/>
        <v>-0.155</v>
      </c>
      <c r="BC60" s="55"/>
      <c r="BD60" s="55"/>
    </row>
    <row r="61" spans="1:56" x14ac:dyDescent="0.25">
      <c r="A61" s="53">
        <f t="shared" si="7"/>
        <v>31</v>
      </c>
      <c r="B61" s="64">
        <f t="shared" si="16"/>
        <v>38200</v>
      </c>
      <c r="C61" s="53">
        <f>[4]!'NGN4,PRIM ACT 1,1'</f>
        <v>3.24</v>
      </c>
      <c r="D61" s="53">
        <f t="shared" si="1"/>
        <v>3.28</v>
      </c>
      <c r="E61" s="159">
        <f t="shared" si="15"/>
        <v>0.11733333333333329</v>
      </c>
      <c r="F61" s="65">
        <f t="shared" si="8"/>
        <v>3.28</v>
      </c>
      <c r="G61" s="66">
        <f t="shared" si="2"/>
        <v>0.315</v>
      </c>
      <c r="H61" s="66">
        <v>0</v>
      </c>
      <c r="I61" s="66">
        <f t="shared" si="9"/>
        <v>0.315</v>
      </c>
      <c r="J61" s="65">
        <f t="shared" ca="1" si="13"/>
        <v>1.1797072194711182</v>
      </c>
      <c r="K61" s="66">
        <v>0</v>
      </c>
      <c r="L61" s="66" t="e">
        <f>#REF!+K61</f>
        <v>#REF!</v>
      </c>
      <c r="M61" s="55">
        <f t="shared" si="3"/>
        <v>31</v>
      </c>
      <c r="N61" s="67">
        <f t="shared" si="4"/>
        <v>38195</v>
      </c>
      <c r="O61" s="57">
        <f t="shared" si="5"/>
        <v>3.9742489332663701E-2</v>
      </c>
      <c r="P61" s="196">
        <f>IF(P$30="nymex",expiry!H93+1,B61)</f>
        <v>38200</v>
      </c>
      <c r="Q61" s="278" t="e">
        <f ca="1">_xll.OSTRIP(F61,F61,P61-TODAY(),B61-P61,B62-P61-1,1,O61,I61,L61,1,0,1,0)</f>
        <v>#REF!</v>
      </c>
      <c r="U61" s="66">
        <v>0.1</v>
      </c>
      <c r="Y61" s="65"/>
      <c r="Z61" s="67"/>
      <c r="AA61" s="60"/>
      <c r="AB61" s="53">
        <f>[2]!'NGc31 cls'</f>
        <v>3.137</v>
      </c>
      <c r="AC61" s="53" t="e">
        <f>[2]!'NGc31 LAST'</f>
        <v>#REF!</v>
      </c>
      <c r="AD61" s="69"/>
      <c r="BA61" s="55">
        <v>-155</v>
      </c>
      <c r="BB61" s="55">
        <f t="shared" si="10"/>
        <v>-0.155</v>
      </c>
      <c r="BC61" s="55"/>
      <c r="BD61" s="55"/>
    </row>
    <row r="62" spans="1:56" x14ac:dyDescent="0.25">
      <c r="A62" s="53">
        <f t="shared" si="7"/>
        <v>32</v>
      </c>
      <c r="B62" s="64">
        <f t="shared" si="16"/>
        <v>38231</v>
      </c>
      <c r="C62" s="53">
        <f>[4]!'NGQ4,PRIM ACT 1,1'</f>
        <v>3.28</v>
      </c>
      <c r="D62" s="53">
        <f t="shared" si="1"/>
        <v>3.2749999999999999</v>
      </c>
      <c r="E62" s="159">
        <f t="shared" si="15"/>
        <v>0.11733333333333329</v>
      </c>
      <c r="F62" s="65">
        <f t="shared" si="8"/>
        <v>3.2749999999999999</v>
      </c>
      <c r="G62" s="66">
        <f t="shared" si="2"/>
        <v>0.315</v>
      </c>
      <c r="H62" s="66">
        <v>0</v>
      </c>
      <c r="I62" s="66">
        <f t="shared" si="9"/>
        <v>0.315</v>
      </c>
      <c r="J62" s="54"/>
      <c r="K62" s="66">
        <v>0</v>
      </c>
      <c r="L62" s="66" t="e">
        <f>#REF!+K62</f>
        <v>#REF!</v>
      </c>
      <c r="M62" s="55">
        <f t="shared" si="3"/>
        <v>32</v>
      </c>
      <c r="N62" s="67">
        <f t="shared" si="4"/>
        <v>38225</v>
      </c>
      <c r="O62" s="57">
        <f t="shared" si="5"/>
        <v>4.0386750778223797E-2</v>
      </c>
      <c r="P62" s="196">
        <f>IF(P$30="nymex",expiry!H94+1,B62)</f>
        <v>38231</v>
      </c>
      <c r="Q62" s="278" t="e">
        <f ca="1">_xll.OSTRIP(F62,F62,P62-TODAY(),B62-P62,B63-P62-1,1,O62,I62,L62,1,0,1,0)</f>
        <v>#REF!</v>
      </c>
      <c r="U62" s="66">
        <v>0.2</v>
      </c>
      <c r="Y62" s="65"/>
      <c r="Z62" s="67"/>
      <c r="AA62" s="60"/>
      <c r="AB62" s="53">
        <f>[2]!'NGc32 cls'</f>
        <v>3.133</v>
      </c>
      <c r="AC62" s="53" t="e">
        <f>[2]!'NGc32 LAST'</f>
        <v>#REF!</v>
      </c>
      <c r="AD62" s="69"/>
      <c r="BA62" s="55">
        <v>-155</v>
      </c>
      <c r="BB62" s="55">
        <f t="shared" si="10"/>
        <v>-0.155</v>
      </c>
      <c r="BC62" s="55"/>
      <c r="BD62" s="55"/>
    </row>
    <row r="63" spans="1:56" x14ac:dyDescent="0.25">
      <c r="A63" s="53">
        <f t="shared" si="7"/>
        <v>33</v>
      </c>
      <c r="B63" s="64">
        <f t="shared" si="16"/>
        <v>38261</v>
      </c>
      <c r="C63" s="53">
        <f>[4]!'NGU4,PRIM ACT 1,1'</f>
        <v>3.22</v>
      </c>
      <c r="D63" s="53">
        <f t="shared" si="1"/>
        <v>3.3</v>
      </c>
      <c r="E63" s="159">
        <f t="shared" si="15"/>
        <v>0.11733333333333329</v>
      </c>
      <c r="F63" s="65">
        <f t="shared" si="8"/>
        <v>3.3</v>
      </c>
      <c r="G63" s="66">
        <f t="shared" si="2"/>
        <v>0.315</v>
      </c>
      <c r="H63" s="66">
        <v>0</v>
      </c>
      <c r="I63" s="66">
        <f t="shared" si="9"/>
        <v>0.315</v>
      </c>
      <c r="J63" s="54"/>
      <c r="K63" s="66">
        <v>0</v>
      </c>
      <c r="L63" s="66" t="e">
        <f>#REF!+K63</f>
        <v>#REF!</v>
      </c>
      <c r="M63" s="55">
        <f t="shared" ref="M63:M94" si="17">A63</f>
        <v>33</v>
      </c>
      <c r="N63" s="67">
        <f t="shared" ref="N63:N94" si="18">VLOOKUP(B63,expiration,3,FALSE)</f>
        <v>38257</v>
      </c>
      <c r="O63" s="57">
        <f t="shared" si="5"/>
        <v>4.0975446534947203E-2</v>
      </c>
      <c r="P63" s="196">
        <f>IF(P$30="nymex",expiry!H95+1,B63)</f>
        <v>38261</v>
      </c>
      <c r="Q63" s="278" t="e">
        <f ca="1">_xll.OSTRIP(F63,F63,P63-TODAY(),B63-P63,B64-P63-1,1,O63,I63,L63,1,0,1,0)</f>
        <v>#REF!</v>
      </c>
      <c r="U63" s="66">
        <v>0.3</v>
      </c>
      <c r="Y63" s="65"/>
      <c r="Z63" s="67"/>
      <c r="AA63" s="60"/>
      <c r="AB63" s="53">
        <f>[2]!'NGc33 cls'</f>
        <v>3.165</v>
      </c>
      <c r="AC63" s="53" t="e">
        <f>[2]!'NGc33 LAST'</f>
        <v>#REF!</v>
      </c>
      <c r="AD63" s="69"/>
      <c r="BA63" s="55">
        <v>-150</v>
      </c>
      <c r="BB63" s="55">
        <f t="shared" si="10"/>
        <v>-0.15</v>
      </c>
      <c r="BC63" s="55"/>
      <c r="BD63" s="55"/>
    </row>
    <row r="64" spans="1:56" x14ac:dyDescent="0.25">
      <c r="A64" s="53">
        <f t="shared" si="7"/>
        <v>34</v>
      </c>
      <c r="B64" s="64">
        <f t="shared" si="16"/>
        <v>38292</v>
      </c>
      <c r="C64" s="53">
        <f>[4]!'NGV4,PRIM ACT 1,1'</f>
        <v>3.2879999999999998</v>
      </c>
      <c r="D64" s="53">
        <f t="shared" si="1"/>
        <v>3.452</v>
      </c>
      <c r="E64" s="159">
        <f t="shared" si="15"/>
        <v>0.11733333333333329</v>
      </c>
      <c r="F64" s="65">
        <f t="shared" si="8"/>
        <v>3.452</v>
      </c>
      <c r="G64" s="66">
        <f t="shared" si="2"/>
        <v>0.315</v>
      </c>
      <c r="H64" s="66">
        <v>0</v>
      </c>
      <c r="I64" s="66">
        <f t="shared" si="9"/>
        <v>0.315</v>
      </c>
      <c r="J64" s="54"/>
      <c r="K64" s="66">
        <v>0</v>
      </c>
      <c r="L64" s="66" t="e">
        <f>#REF!+K64</f>
        <v>#REF!</v>
      </c>
      <c r="M64" s="55">
        <f t="shared" si="17"/>
        <v>34</v>
      </c>
      <c r="N64" s="67">
        <f t="shared" si="18"/>
        <v>38286</v>
      </c>
      <c r="O64" s="57">
        <f t="shared" si="5"/>
        <v>4.1550342233317203E-2</v>
      </c>
      <c r="Q64" s="264" t="e">
        <f ca="1">_xll.OSTRIP(F64,F64,B64-TODAY(),0,(B65-1)-B64,1,O64,I64,L64,1,0,1,0)</f>
        <v>#REF!</v>
      </c>
      <c r="U64" s="66">
        <v>0.3</v>
      </c>
      <c r="Y64" s="65"/>
      <c r="Z64" s="67"/>
      <c r="AA64" s="60"/>
      <c r="AB64" s="53">
        <f>[2]!'NGc34 cls'</f>
        <v>3.2149999999999999</v>
      </c>
      <c r="AC64" s="53" t="e">
        <f>[2]!'NGc34 LAST'</f>
        <v>#REF!</v>
      </c>
      <c r="AD64" s="69"/>
      <c r="BA64" s="55">
        <v>-150</v>
      </c>
      <c r="BB64" s="55">
        <f t="shared" si="10"/>
        <v>-0.15</v>
      </c>
      <c r="BC64" s="55"/>
      <c r="BD64" s="55"/>
    </row>
    <row r="65" spans="1:56" x14ac:dyDescent="0.25">
      <c r="A65" s="53">
        <f t="shared" si="7"/>
        <v>35</v>
      </c>
      <c r="B65" s="64">
        <f t="shared" si="16"/>
        <v>38322</v>
      </c>
      <c r="C65" s="53">
        <f>[4]!'NGX4,PRIM ACT 1,1'</f>
        <v>3.4</v>
      </c>
      <c r="D65" s="53">
        <f t="shared" si="1"/>
        <v>3.5950000000000002</v>
      </c>
      <c r="E65" s="159">
        <f t="shared" si="15"/>
        <v>0.11733333333333329</v>
      </c>
      <c r="F65" s="65">
        <f t="shared" si="8"/>
        <v>3.5950000000000002</v>
      </c>
      <c r="G65" s="66">
        <f t="shared" si="2"/>
        <v>0.315</v>
      </c>
      <c r="H65" s="66">
        <v>0</v>
      </c>
      <c r="I65" s="66">
        <f t="shared" si="9"/>
        <v>0.315</v>
      </c>
      <c r="J65" s="54"/>
      <c r="K65" s="66">
        <v>0</v>
      </c>
      <c r="L65" s="66" t="e">
        <f>#REF!+K65</f>
        <v>#REF!</v>
      </c>
      <c r="M65" s="55">
        <f t="shared" si="17"/>
        <v>35</v>
      </c>
      <c r="N65" s="67">
        <f t="shared" si="18"/>
        <v>38315</v>
      </c>
      <c r="O65" s="57">
        <f t="shared" si="5"/>
        <v>4.2106693014662501E-2</v>
      </c>
      <c r="Q65" s="264" t="e">
        <f ca="1">_xll.OSTRIP(F65,F65,B65-TODAY(),0,(B66-1)-B65,1,O65,I65,L65,1,0,1,0)</f>
        <v>#REF!</v>
      </c>
      <c r="U65" s="66">
        <v>0.25</v>
      </c>
      <c r="Y65" s="65"/>
      <c r="Z65" s="67"/>
      <c r="AA65" s="60"/>
      <c r="AB65" s="53">
        <f>[2]!'NGc35 cls'</f>
        <v>3.2490000000000001</v>
      </c>
      <c r="AC65" s="53" t="e">
        <f>[2]!'NGc35 LAST'</f>
        <v>#REF!</v>
      </c>
      <c r="AD65" s="69"/>
      <c r="BA65" s="55">
        <v>-150</v>
      </c>
      <c r="BB65" s="55">
        <f t="shared" si="10"/>
        <v>-0.15</v>
      </c>
      <c r="BC65" s="55"/>
      <c r="BD65" s="55"/>
    </row>
    <row r="66" spans="1:56" x14ac:dyDescent="0.25">
      <c r="A66" s="53">
        <f t="shared" si="7"/>
        <v>36</v>
      </c>
      <c r="B66" s="64">
        <f t="shared" si="16"/>
        <v>38353</v>
      </c>
      <c r="C66" s="53" t="str">
        <f>[4]!'NGz4,PRIM ACT 1,1'</f>
        <v>#N/A N/A</v>
      </c>
      <c r="D66" s="53">
        <f t="shared" si="1"/>
        <v>3.6549999999999998</v>
      </c>
      <c r="E66" s="159">
        <f t="shared" si="15"/>
        <v>0.11733333333333329</v>
      </c>
      <c r="F66" s="65">
        <f t="shared" si="8"/>
        <v>3.6549999999999998</v>
      </c>
      <c r="G66" s="66">
        <f t="shared" si="2"/>
        <v>0.315</v>
      </c>
      <c r="H66" s="66">
        <v>0</v>
      </c>
      <c r="I66" s="66">
        <f t="shared" si="9"/>
        <v>0.315</v>
      </c>
      <c r="J66" s="54"/>
      <c r="K66" s="66">
        <v>0</v>
      </c>
      <c r="L66" s="66" t="e">
        <f>#REF!+K66</f>
        <v>#REF!</v>
      </c>
      <c r="M66" s="55">
        <f t="shared" si="17"/>
        <v>36</v>
      </c>
      <c r="N66" s="67">
        <f t="shared" si="18"/>
        <v>38348</v>
      </c>
      <c r="O66" s="57">
        <f t="shared" si="5"/>
        <v>4.26576899474638E-2</v>
      </c>
      <c r="Q66" s="264" t="e">
        <f ca="1">_xll.OSTRIP(F66,F66,B66-TODAY(),0,(B67-1)-B66,1,O66,I66,L66,1,0,1,0)</f>
        <v>#REF!</v>
      </c>
      <c r="U66" s="66">
        <v>0.05</v>
      </c>
      <c r="Y66" s="65"/>
      <c r="Z66" s="67"/>
      <c r="AA66" s="60"/>
      <c r="AB66" s="53">
        <f>[2]!'NGc36 cls'</f>
        <v>3.262</v>
      </c>
      <c r="AC66" s="53" t="e">
        <f>[2]!'NGc36 LAST'</f>
        <v>#REF!</v>
      </c>
      <c r="AD66" s="69"/>
      <c r="BA66" s="55">
        <v>-150</v>
      </c>
      <c r="BB66" s="55">
        <f t="shared" si="10"/>
        <v>-0.15</v>
      </c>
      <c r="BC66" s="55"/>
      <c r="BD66" s="55"/>
    </row>
    <row r="67" spans="1:56" x14ac:dyDescent="0.25">
      <c r="A67" s="53">
        <f t="shared" si="7"/>
        <v>37</v>
      </c>
      <c r="B67" s="64">
        <f t="shared" si="16"/>
        <v>38384</v>
      </c>
      <c r="C67" s="53"/>
      <c r="D67" s="53">
        <f t="shared" si="1"/>
        <v>3.57</v>
      </c>
      <c r="E67" s="159">
        <f t="shared" ref="E67:E98" si="19">N$10</f>
        <v>0.13275000000000059</v>
      </c>
      <c r="F67" s="65">
        <f t="shared" si="8"/>
        <v>3.57</v>
      </c>
      <c r="G67" s="66">
        <f t="shared" si="2"/>
        <v>0.3125</v>
      </c>
      <c r="H67" s="66">
        <v>0</v>
      </c>
      <c r="I67" s="66">
        <f t="shared" si="9"/>
        <v>0.3125</v>
      </c>
      <c r="J67" s="54"/>
      <c r="K67" s="66">
        <v>0</v>
      </c>
      <c r="L67" s="66" t="e">
        <f>#REF!+K67</f>
        <v>#REF!</v>
      </c>
      <c r="M67" s="55">
        <f t="shared" si="17"/>
        <v>37</v>
      </c>
      <c r="N67" s="67">
        <f t="shared" si="18"/>
        <v>38378</v>
      </c>
      <c r="O67" s="57">
        <f t="shared" si="5"/>
        <v>4.3189005462617398E-2</v>
      </c>
      <c r="Q67" s="264" t="e">
        <f ca="1">_xll.OSTRIP(F67,F67,B67-TODAY(),0,(B68-1)-B67,1,O67,I67,L67,1,0,1,0)</f>
        <v>#REF!</v>
      </c>
      <c r="U67" s="66">
        <v>0.05</v>
      </c>
      <c r="Y67" s="65"/>
      <c r="Z67" s="67"/>
      <c r="AA67" s="60"/>
      <c r="AB67" s="53">
        <f>[2]!'NGc36 cls'</f>
        <v>3.262</v>
      </c>
      <c r="AC67" s="53" t="e">
        <f>[2]!'NGc36 LAST'</f>
        <v>#REF!</v>
      </c>
      <c r="AD67" s="69"/>
      <c r="BC67" s="55"/>
      <c r="BD67" s="55"/>
    </row>
    <row r="68" spans="1:56" x14ac:dyDescent="0.25">
      <c r="A68" s="53">
        <f t="shared" si="7"/>
        <v>38</v>
      </c>
      <c r="B68" s="64">
        <f t="shared" si="16"/>
        <v>38412</v>
      </c>
      <c r="C68" s="53"/>
      <c r="D68" s="53">
        <f t="shared" si="1"/>
        <v>3.44</v>
      </c>
      <c r="E68" s="159">
        <f t="shared" si="19"/>
        <v>0.13275000000000059</v>
      </c>
      <c r="F68" s="65">
        <f t="shared" si="8"/>
        <v>3.44</v>
      </c>
      <c r="G68" s="66">
        <f t="shared" si="2"/>
        <v>0.30249999999999999</v>
      </c>
      <c r="H68" s="66">
        <v>0</v>
      </c>
      <c r="I68" s="66">
        <f t="shared" si="9"/>
        <v>0.30249999999999999</v>
      </c>
      <c r="J68" s="54"/>
      <c r="K68" s="66">
        <v>0</v>
      </c>
      <c r="L68" s="66" t="e">
        <f>#REF!+K68</f>
        <v>#REF!</v>
      </c>
      <c r="M68" s="55">
        <f t="shared" si="17"/>
        <v>38</v>
      </c>
      <c r="N68" s="67">
        <f t="shared" si="18"/>
        <v>38406</v>
      </c>
      <c r="O68" s="57">
        <f t="shared" si="5"/>
        <v>4.3668903428556699E-2</v>
      </c>
      <c r="Q68" s="264" t="e">
        <f ca="1">_xll.OSTRIP(F68,F68,B68-TODAY(),0,(B69-1)-B68,1,O68,I68,L68,1,0,1,0)</f>
        <v>#REF!</v>
      </c>
      <c r="U68" s="66">
        <v>0.05</v>
      </c>
      <c r="Y68" s="65"/>
      <c r="Z68" s="67"/>
      <c r="AA68" s="60"/>
      <c r="AB68" s="60"/>
      <c r="AC68" s="68"/>
      <c r="AD68" s="69"/>
      <c r="BC68" s="55"/>
      <c r="BD68" s="55"/>
    </row>
    <row r="69" spans="1:56" x14ac:dyDescent="0.25">
      <c r="A69" s="53">
        <f t="shared" si="7"/>
        <v>39</v>
      </c>
      <c r="B69" s="64">
        <f t="shared" si="16"/>
        <v>38443</v>
      </c>
      <c r="C69" s="53"/>
      <c r="D69" s="53">
        <f t="shared" si="1"/>
        <v>3.2549999999999999</v>
      </c>
      <c r="E69" s="159">
        <f t="shared" si="19"/>
        <v>0.13275000000000059</v>
      </c>
      <c r="F69" s="65">
        <f t="shared" si="8"/>
        <v>3.2549999999999999</v>
      </c>
      <c r="G69" s="66">
        <f t="shared" si="2"/>
        <v>0.29249999999999998</v>
      </c>
      <c r="H69" s="66">
        <v>0</v>
      </c>
      <c r="I69" s="66">
        <f t="shared" si="9"/>
        <v>0.29249999999999998</v>
      </c>
      <c r="J69" s="54"/>
      <c r="K69" s="66">
        <v>0</v>
      </c>
      <c r="L69" s="66" t="e">
        <f>#REF!+K69</f>
        <v>#REF!</v>
      </c>
      <c r="M69" s="55">
        <f t="shared" si="17"/>
        <v>39</v>
      </c>
      <c r="N69" s="67">
        <f t="shared" si="18"/>
        <v>38439</v>
      </c>
      <c r="O69" s="57">
        <f t="shared" si="5"/>
        <v>4.4162985915453798E-2</v>
      </c>
      <c r="U69" s="66">
        <v>0.05</v>
      </c>
      <c r="Y69" s="65"/>
      <c r="Z69" s="67"/>
      <c r="AA69" s="60"/>
      <c r="AB69" s="60"/>
      <c r="AC69" s="68"/>
      <c r="AD69" s="69"/>
      <c r="BC69" s="55"/>
      <c r="BD69" s="55"/>
    </row>
    <row r="70" spans="1:56" x14ac:dyDescent="0.25">
      <c r="A70" s="53">
        <f t="shared" si="7"/>
        <v>40</v>
      </c>
      <c r="B70" s="64">
        <f t="shared" si="16"/>
        <v>38473</v>
      </c>
      <c r="C70" s="53"/>
      <c r="D70" s="53">
        <f t="shared" si="1"/>
        <v>3.25</v>
      </c>
      <c r="E70" s="159">
        <f t="shared" si="19"/>
        <v>0.13275000000000059</v>
      </c>
      <c r="F70" s="65">
        <f t="shared" si="8"/>
        <v>3.25</v>
      </c>
      <c r="G70" s="66">
        <f t="shared" si="2"/>
        <v>0.28499999999999998</v>
      </c>
      <c r="H70" s="66">
        <v>0</v>
      </c>
      <c r="I70" s="66">
        <f t="shared" si="9"/>
        <v>0.28499999999999998</v>
      </c>
      <c r="J70" s="54"/>
      <c r="K70" s="66">
        <v>0</v>
      </c>
      <c r="L70" s="66" t="e">
        <f>#REF!+K70</f>
        <v>#REF!</v>
      </c>
      <c r="M70" s="55">
        <f t="shared" si="17"/>
        <v>40</v>
      </c>
      <c r="N70" s="67">
        <f t="shared" si="18"/>
        <v>38468</v>
      </c>
      <c r="O70" s="57">
        <f t="shared" si="5"/>
        <v>4.4608713967775299E-2</v>
      </c>
      <c r="U70" s="66">
        <v>0.05</v>
      </c>
      <c r="Y70" s="65"/>
      <c r="Z70" s="67"/>
      <c r="AA70" s="60"/>
      <c r="AB70" s="60"/>
      <c r="AC70" s="68"/>
      <c r="AD70" s="69"/>
      <c r="BC70" s="55"/>
      <c r="BD70" s="55"/>
    </row>
    <row r="71" spans="1:56" x14ac:dyDescent="0.25">
      <c r="A71" s="53">
        <f t="shared" si="7"/>
        <v>41</v>
      </c>
      <c r="B71" s="64">
        <f t="shared" si="16"/>
        <v>38504</v>
      </c>
      <c r="C71" s="53"/>
      <c r="D71" s="53">
        <f t="shared" si="1"/>
        <v>3.2850000000000001</v>
      </c>
      <c r="E71" s="159">
        <f t="shared" si="19"/>
        <v>0.13275000000000059</v>
      </c>
      <c r="F71" s="65">
        <f t="shared" si="8"/>
        <v>3.2850000000000001</v>
      </c>
      <c r="G71" s="66">
        <f t="shared" si="2"/>
        <v>0.28499999999999998</v>
      </c>
      <c r="H71" s="66">
        <v>0</v>
      </c>
      <c r="I71" s="66">
        <f t="shared" si="9"/>
        <v>0.28499999999999998</v>
      </c>
      <c r="J71" s="54"/>
      <c r="K71" s="66">
        <v>0</v>
      </c>
      <c r="L71" s="66" t="e">
        <f>#REF!+K71</f>
        <v>#REF!</v>
      </c>
      <c r="M71" s="55">
        <f t="shared" si="17"/>
        <v>41</v>
      </c>
      <c r="N71" s="67">
        <f t="shared" si="18"/>
        <v>38497</v>
      </c>
      <c r="O71" s="57">
        <f t="shared" si="5"/>
        <v>4.5069299691712597E-2</v>
      </c>
      <c r="U71" s="66">
        <v>0.05</v>
      </c>
      <c r="Y71" s="65"/>
      <c r="Z71" s="67"/>
      <c r="AA71" s="60"/>
      <c r="AB71" s="60"/>
      <c r="AC71" s="68"/>
      <c r="AD71" s="69"/>
      <c r="BC71" s="55"/>
      <c r="BD71" s="55"/>
    </row>
    <row r="72" spans="1:56" x14ac:dyDescent="0.25">
      <c r="A72" s="53">
        <f t="shared" si="7"/>
        <v>42</v>
      </c>
      <c r="B72" s="64">
        <f t="shared" si="16"/>
        <v>38534</v>
      </c>
      <c r="C72" s="53"/>
      <c r="D72" s="53">
        <f t="shared" si="1"/>
        <v>3.3250000000000002</v>
      </c>
      <c r="E72" s="159">
        <f t="shared" si="19"/>
        <v>0.13275000000000059</v>
      </c>
      <c r="F72" s="65">
        <f t="shared" si="8"/>
        <v>3.3250000000000002</v>
      </c>
      <c r="G72" s="66">
        <f t="shared" si="2"/>
        <v>0.28000000000000003</v>
      </c>
      <c r="H72" s="66">
        <v>0</v>
      </c>
      <c r="I72" s="66">
        <f t="shared" si="9"/>
        <v>0.28000000000000003</v>
      </c>
      <c r="J72" s="54"/>
      <c r="K72" s="66">
        <v>0</v>
      </c>
      <c r="L72" s="66" t="e">
        <f>#REF!+K72</f>
        <v>#REF!</v>
      </c>
      <c r="M72" s="55">
        <f t="shared" si="17"/>
        <v>42</v>
      </c>
      <c r="N72" s="67">
        <f t="shared" si="18"/>
        <v>38530</v>
      </c>
      <c r="O72" s="57">
        <f t="shared" si="5"/>
        <v>4.54931128840683E-2</v>
      </c>
      <c r="U72" s="66">
        <v>0.05</v>
      </c>
      <c r="Y72" s="65"/>
      <c r="Z72" s="67"/>
      <c r="AA72" s="60"/>
      <c r="AB72" s="60"/>
      <c r="AC72" s="68"/>
      <c r="AD72" s="69"/>
      <c r="BC72" s="55"/>
      <c r="BD72" s="55"/>
    </row>
    <row r="73" spans="1:56" x14ac:dyDescent="0.25">
      <c r="A73" s="53">
        <f t="shared" si="7"/>
        <v>43</v>
      </c>
      <c r="B73" s="64">
        <f t="shared" si="16"/>
        <v>38565</v>
      </c>
      <c r="C73" s="53"/>
      <c r="D73" s="53">
        <f t="shared" si="1"/>
        <v>3.3650000000000002</v>
      </c>
      <c r="E73" s="159">
        <f t="shared" si="19"/>
        <v>0.13275000000000059</v>
      </c>
      <c r="F73" s="65">
        <f t="shared" si="8"/>
        <v>3.3650000000000002</v>
      </c>
      <c r="G73" s="66">
        <f t="shared" si="2"/>
        <v>0.28000000000000003</v>
      </c>
      <c r="H73" s="66">
        <v>0</v>
      </c>
      <c r="I73" s="66">
        <f t="shared" si="9"/>
        <v>0.28000000000000003</v>
      </c>
      <c r="J73" s="54"/>
      <c r="K73" s="66">
        <v>0</v>
      </c>
      <c r="L73" s="66" t="e">
        <f>#REF!+K73</f>
        <v>#REF!</v>
      </c>
      <c r="M73" s="55">
        <f t="shared" si="17"/>
        <v>43</v>
      </c>
      <c r="N73" s="67">
        <f t="shared" si="18"/>
        <v>38559</v>
      </c>
      <c r="O73" s="57">
        <f t="shared" si="5"/>
        <v>4.5909969215756997E-2</v>
      </c>
      <c r="U73" s="66">
        <v>0.1</v>
      </c>
      <c r="Y73" s="65"/>
      <c r="Z73" s="67"/>
      <c r="AA73" s="60"/>
      <c r="AB73" s="60"/>
      <c r="AC73" s="68"/>
      <c r="AD73" s="69"/>
      <c r="BC73" s="55"/>
      <c r="BD73" s="55"/>
    </row>
    <row r="74" spans="1:56" x14ac:dyDescent="0.25">
      <c r="A74" s="53">
        <f t="shared" si="7"/>
        <v>44</v>
      </c>
      <c r="B74" s="64">
        <f t="shared" si="16"/>
        <v>38596</v>
      </c>
      <c r="C74" s="53"/>
      <c r="D74" s="53">
        <f t="shared" si="1"/>
        <v>3.36</v>
      </c>
      <c r="E74" s="159">
        <f t="shared" si="19"/>
        <v>0.13275000000000059</v>
      </c>
      <c r="F74" s="65">
        <f t="shared" si="8"/>
        <v>3.36</v>
      </c>
      <c r="G74" s="66">
        <f t="shared" si="2"/>
        <v>0.28000000000000003</v>
      </c>
      <c r="H74" s="66">
        <v>0</v>
      </c>
      <c r="I74" s="66">
        <f t="shared" si="9"/>
        <v>0.28000000000000003</v>
      </c>
      <c r="J74" s="54"/>
      <c r="K74" s="66">
        <v>0</v>
      </c>
      <c r="L74" s="66" t="e">
        <f>#REF!+K74</f>
        <v>#REF!</v>
      </c>
      <c r="M74" s="55">
        <f t="shared" si="17"/>
        <v>44</v>
      </c>
      <c r="N74" s="67">
        <f t="shared" si="18"/>
        <v>38590</v>
      </c>
      <c r="O74" s="57">
        <f t="shared" si="5"/>
        <v>4.6326825605579998E-2</v>
      </c>
      <c r="U74" s="66">
        <v>0.2</v>
      </c>
      <c r="Y74" s="65"/>
      <c r="Z74" s="67"/>
      <c r="AA74" s="60"/>
      <c r="AB74" s="60"/>
      <c r="AC74" s="68"/>
      <c r="AD74" s="69"/>
      <c r="BC74" s="55"/>
      <c r="BD74" s="55"/>
    </row>
    <row r="75" spans="1:56" x14ac:dyDescent="0.25">
      <c r="A75" s="53">
        <f t="shared" si="7"/>
        <v>45</v>
      </c>
      <c r="B75" s="64">
        <f t="shared" si="16"/>
        <v>38626</v>
      </c>
      <c r="C75" s="53"/>
      <c r="D75" s="53">
        <f t="shared" si="1"/>
        <v>3.3849999999999998</v>
      </c>
      <c r="E75" s="159">
        <f t="shared" si="19"/>
        <v>0.13275000000000059</v>
      </c>
      <c r="F75" s="65">
        <f t="shared" si="8"/>
        <v>3.3849999999999998</v>
      </c>
      <c r="G75" s="66">
        <f t="shared" si="2"/>
        <v>0.28000000000000003</v>
      </c>
      <c r="H75" s="66">
        <v>0</v>
      </c>
      <c r="I75" s="66">
        <f t="shared" si="9"/>
        <v>0.28000000000000003</v>
      </c>
      <c r="J75" s="54"/>
      <c r="K75" s="66">
        <v>0</v>
      </c>
      <c r="L75" s="66" t="e">
        <f>#REF!+K75</f>
        <v>#REF!</v>
      </c>
      <c r="M75" s="55">
        <f t="shared" si="17"/>
        <v>45</v>
      </c>
      <c r="N75" s="67">
        <f t="shared" si="18"/>
        <v>38622</v>
      </c>
      <c r="O75" s="57">
        <f t="shared" si="5"/>
        <v>4.6716549265346498E-2</v>
      </c>
      <c r="U75" s="66">
        <v>0.3</v>
      </c>
      <c r="Y75" s="65"/>
      <c r="Z75" s="67"/>
      <c r="AA75" s="60"/>
      <c r="AB75" s="60"/>
      <c r="AC75" s="68"/>
      <c r="AD75" s="69"/>
      <c r="BC75" s="55"/>
      <c r="BD75" s="55"/>
    </row>
    <row r="76" spans="1:56" x14ac:dyDescent="0.25">
      <c r="A76" s="53">
        <f t="shared" si="7"/>
        <v>46</v>
      </c>
      <c r="B76" s="64">
        <f t="shared" si="16"/>
        <v>38657</v>
      </c>
      <c r="C76" s="53"/>
      <c r="D76" s="53">
        <f t="shared" si="1"/>
        <v>3.5369999999999999</v>
      </c>
      <c r="E76" s="159">
        <f t="shared" si="19"/>
        <v>0.13275000000000059</v>
      </c>
      <c r="F76" s="65">
        <f t="shared" si="8"/>
        <v>3.5369999999999999</v>
      </c>
      <c r="G76" s="66">
        <f t="shared" si="2"/>
        <v>0.28000000000000003</v>
      </c>
      <c r="H76" s="66">
        <v>0</v>
      </c>
      <c r="I76" s="66">
        <f t="shared" si="9"/>
        <v>0.28000000000000003</v>
      </c>
      <c r="J76" s="54"/>
      <c r="K76" s="66">
        <v>0</v>
      </c>
      <c r="L76" s="66" t="e">
        <f>#REF!+K76</f>
        <v>#REF!</v>
      </c>
      <c r="M76" s="55">
        <f t="shared" si="17"/>
        <v>46</v>
      </c>
      <c r="N76" s="67">
        <f t="shared" si="18"/>
        <v>38651</v>
      </c>
      <c r="O76" s="57">
        <f t="shared" si="5"/>
        <v>4.70928800068173E-2</v>
      </c>
      <c r="U76" s="66">
        <v>0.3</v>
      </c>
      <c r="Y76" s="65"/>
      <c r="Z76" s="67"/>
      <c r="AA76" s="60"/>
      <c r="AB76" s="60"/>
      <c r="AC76" s="68"/>
      <c r="AD76" s="69"/>
      <c r="BC76" s="55"/>
      <c r="BD76" s="55"/>
    </row>
    <row r="77" spans="1:56" x14ac:dyDescent="0.25">
      <c r="A77" s="53">
        <f t="shared" si="7"/>
        <v>47</v>
      </c>
      <c r="B77" s="64">
        <f t="shared" si="16"/>
        <v>38687</v>
      </c>
      <c r="C77" s="53"/>
      <c r="D77" s="53">
        <f t="shared" si="1"/>
        <v>3.68</v>
      </c>
      <c r="E77" s="159">
        <f t="shared" si="19"/>
        <v>0.13275000000000059</v>
      </c>
      <c r="F77" s="65">
        <f t="shared" si="8"/>
        <v>3.68</v>
      </c>
      <c r="G77" s="66">
        <f t="shared" si="2"/>
        <v>0.28000000000000003</v>
      </c>
      <c r="H77" s="66">
        <v>0</v>
      </c>
      <c r="I77" s="66">
        <f t="shared" si="9"/>
        <v>0.28000000000000003</v>
      </c>
      <c r="J77" s="54"/>
      <c r="K77" s="66">
        <v>0</v>
      </c>
      <c r="L77" s="66" t="e">
        <f>#REF!+K77</f>
        <v>#REF!</v>
      </c>
      <c r="M77" s="55">
        <f t="shared" si="17"/>
        <v>47</v>
      </c>
      <c r="N77" s="67">
        <f t="shared" si="18"/>
        <v>38681</v>
      </c>
      <c r="O77" s="57">
        <f t="shared" si="5"/>
        <v>4.7457071092037201E-2</v>
      </c>
      <c r="U77" s="66">
        <v>0.25</v>
      </c>
      <c r="Y77" s="65"/>
      <c r="Z77" s="67"/>
      <c r="AA77" s="60"/>
      <c r="AB77" s="60"/>
      <c r="AC77" s="68"/>
      <c r="AD77" s="69"/>
      <c r="BC77" s="55"/>
      <c r="BD77" s="55"/>
    </row>
    <row r="78" spans="1:56" x14ac:dyDescent="0.25">
      <c r="A78" s="53">
        <f t="shared" si="7"/>
        <v>48</v>
      </c>
      <c r="B78" s="64">
        <f t="shared" si="16"/>
        <v>38718</v>
      </c>
      <c r="C78"/>
      <c r="D78" s="53">
        <f t="shared" si="1"/>
        <v>3.7349999999999999</v>
      </c>
      <c r="E78" s="159">
        <f t="shared" si="19"/>
        <v>0.13275000000000059</v>
      </c>
      <c r="F78" s="65">
        <f t="shared" si="8"/>
        <v>3.7349999999999999</v>
      </c>
      <c r="G78" s="66">
        <f t="shared" si="2"/>
        <v>0.28499999999999998</v>
      </c>
      <c r="H78" s="66">
        <v>0</v>
      </c>
      <c r="I78" s="66">
        <f t="shared" si="9"/>
        <v>0.28499999999999998</v>
      </c>
      <c r="J78" s="54"/>
      <c r="K78" s="66">
        <v>0</v>
      </c>
      <c r="L78" s="66" t="e">
        <f>#REF!+K78</f>
        <v>#REF!</v>
      </c>
      <c r="M78" s="55">
        <f t="shared" si="17"/>
        <v>48</v>
      </c>
      <c r="N78" s="67">
        <f t="shared" si="18"/>
        <v>38713</v>
      </c>
      <c r="O78" s="57">
        <f t="shared" si="5"/>
        <v>4.7810067825002203E-2</v>
      </c>
      <c r="U78" s="66">
        <v>0.05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6" x14ac:dyDescent="0.25">
      <c r="A79" s="53">
        <f t="shared" si="7"/>
        <v>49</v>
      </c>
      <c r="B79" s="64">
        <f t="shared" si="16"/>
        <v>38749</v>
      </c>
      <c r="C79"/>
      <c r="D79" s="53">
        <f t="shared" si="1"/>
        <v>3.65</v>
      </c>
      <c r="E79" s="159">
        <f t="shared" si="19"/>
        <v>0.13275000000000059</v>
      </c>
      <c r="F79" s="65">
        <f t="shared" si="8"/>
        <v>3.65</v>
      </c>
      <c r="G79" s="66">
        <f t="shared" si="2"/>
        <v>0.28000000000000003</v>
      </c>
      <c r="H79" s="66">
        <v>0</v>
      </c>
      <c r="I79" s="66">
        <f t="shared" si="9"/>
        <v>0.28000000000000003</v>
      </c>
      <c r="J79" s="54"/>
      <c r="K79" s="66">
        <v>0</v>
      </c>
      <c r="L79" s="66" t="e">
        <f>#REF!+K79</f>
        <v>#REF!</v>
      </c>
      <c r="M79" s="55">
        <f t="shared" si="17"/>
        <v>49</v>
      </c>
      <c r="N79" s="67">
        <f t="shared" si="18"/>
        <v>38743</v>
      </c>
      <c r="O79" s="57">
        <f t="shared" si="5"/>
        <v>4.8120638955663403E-2</v>
      </c>
      <c r="U79" s="66">
        <v>0.05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6" x14ac:dyDescent="0.25">
      <c r="A80" s="53">
        <f t="shared" si="7"/>
        <v>50</v>
      </c>
      <c r="B80" s="64">
        <f t="shared" si="16"/>
        <v>38777</v>
      </c>
      <c r="C80"/>
      <c r="D80" s="53">
        <f t="shared" si="1"/>
        <v>3.52</v>
      </c>
      <c r="E80" s="159">
        <f t="shared" si="19"/>
        <v>0.13275000000000059</v>
      </c>
      <c r="F80" s="65">
        <f t="shared" si="8"/>
        <v>3.52</v>
      </c>
      <c r="G80" s="66">
        <f t="shared" si="2"/>
        <v>0.27</v>
      </c>
      <c r="H80" s="66">
        <v>0</v>
      </c>
      <c r="I80" s="66">
        <f t="shared" si="9"/>
        <v>0.27</v>
      </c>
      <c r="J80" s="54"/>
      <c r="K80" s="66">
        <v>0</v>
      </c>
      <c r="L80" s="66" t="e">
        <f>#REF!+K80</f>
        <v>#REF!</v>
      </c>
      <c r="M80" s="55">
        <f t="shared" si="17"/>
        <v>50</v>
      </c>
      <c r="N80" s="67">
        <f t="shared" si="18"/>
        <v>38771</v>
      </c>
      <c r="O80" s="57">
        <f t="shared" si="5"/>
        <v>4.84011548433219E-2</v>
      </c>
      <c r="U80" s="66">
        <v>0.05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x14ac:dyDescent="0.25">
      <c r="A81" s="53">
        <f t="shared" si="7"/>
        <v>51</v>
      </c>
      <c r="B81" s="64">
        <f t="shared" si="16"/>
        <v>38808</v>
      </c>
      <c r="C81"/>
      <c r="D81" s="53">
        <f t="shared" si="1"/>
        <v>3.335</v>
      </c>
      <c r="E81" s="159">
        <f t="shared" si="19"/>
        <v>0.13275000000000059</v>
      </c>
      <c r="F81" s="65">
        <f t="shared" si="8"/>
        <v>3.335</v>
      </c>
      <c r="G81" s="66">
        <f t="shared" si="2"/>
        <v>0.25</v>
      </c>
      <c r="H81" s="66">
        <v>0</v>
      </c>
      <c r="I81" s="66">
        <f t="shared" si="9"/>
        <v>0.25</v>
      </c>
      <c r="J81" s="54"/>
      <c r="K81" s="66">
        <v>0</v>
      </c>
      <c r="L81" s="66" t="e">
        <f>#REF!+K81</f>
        <v>#REF!</v>
      </c>
      <c r="M81" s="55">
        <f t="shared" si="17"/>
        <v>51</v>
      </c>
      <c r="N81" s="67">
        <f t="shared" si="18"/>
        <v>38804</v>
      </c>
      <c r="O81" s="57">
        <f t="shared" si="5"/>
        <v>4.8711726035327398E-2</v>
      </c>
      <c r="U81" s="66">
        <v>0.05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x14ac:dyDescent="0.25">
      <c r="A82" s="53">
        <f t="shared" si="7"/>
        <v>52</v>
      </c>
      <c r="B82" s="64">
        <f t="shared" si="16"/>
        <v>38838</v>
      </c>
      <c r="C82"/>
      <c r="D82" s="53">
        <f t="shared" si="1"/>
        <v>3.33</v>
      </c>
      <c r="E82" s="159">
        <f t="shared" si="19"/>
        <v>0.13275000000000059</v>
      </c>
      <c r="F82" s="65">
        <f t="shared" si="8"/>
        <v>3.33</v>
      </c>
      <c r="G82" s="66">
        <f t="shared" si="2"/>
        <v>0.245</v>
      </c>
      <c r="H82" s="66">
        <v>0</v>
      </c>
      <c r="I82" s="66">
        <f t="shared" si="9"/>
        <v>0.245</v>
      </c>
      <c r="J82" s="54"/>
      <c r="K82" s="66">
        <v>0</v>
      </c>
      <c r="L82" s="66" t="e">
        <f>#REF!+K82</f>
        <v>#REF!</v>
      </c>
      <c r="M82" s="55">
        <f t="shared" si="17"/>
        <v>52</v>
      </c>
      <c r="N82" s="67">
        <f t="shared" si="18"/>
        <v>38832</v>
      </c>
      <c r="O82" s="57">
        <f t="shared" si="5"/>
        <v>4.9012278832467601E-2</v>
      </c>
      <c r="U82" s="66">
        <v>0.05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x14ac:dyDescent="0.25">
      <c r="A83" s="53">
        <f t="shared" si="7"/>
        <v>53</v>
      </c>
      <c r="B83" s="64">
        <f t="shared" si="16"/>
        <v>38869</v>
      </c>
      <c r="C83"/>
      <c r="D83" s="53">
        <f t="shared" si="1"/>
        <v>3.3650000000000002</v>
      </c>
      <c r="E83" s="159">
        <f t="shared" si="19"/>
        <v>0.13275000000000059</v>
      </c>
      <c r="F83" s="65">
        <f t="shared" si="8"/>
        <v>3.3650000000000002</v>
      </c>
      <c r="G83" s="66">
        <f t="shared" si="2"/>
        <v>0.2475</v>
      </c>
      <c r="H83" s="66">
        <v>0</v>
      </c>
      <c r="I83" s="66">
        <f t="shared" si="9"/>
        <v>0.2475</v>
      </c>
      <c r="J83" s="54"/>
      <c r="K83" s="66">
        <v>0</v>
      </c>
      <c r="L83" s="66" t="e">
        <f>#REF!+K83</f>
        <v>#REF!</v>
      </c>
      <c r="M83" s="55">
        <f t="shared" si="17"/>
        <v>53</v>
      </c>
      <c r="N83" s="67">
        <f t="shared" si="18"/>
        <v>38862</v>
      </c>
      <c r="O83" s="57">
        <f t="shared" si="5"/>
        <v>4.9322850087879302E-2</v>
      </c>
      <c r="U83" s="66">
        <v>0.05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x14ac:dyDescent="0.25">
      <c r="A84" s="53">
        <f t="shared" si="7"/>
        <v>54</v>
      </c>
      <c r="B84" s="64">
        <f t="shared" si="16"/>
        <v>38899</v>
      </c>
      <c r="C84"/>
      <c r="D84" s="53">
        <f t="shared" si="1"/>
        <v>3.4049999999999998</v>
      </c>
      <c r="E84" s="159">
        <f t="shared" si="19"/>
        <v>0.13275000000000059</v>
      </c>
      <c r="F84" s="65">
        <f t="shared" si="8"/>
        <v>3.4049999999999998</v>
      </c>
      <c r="G84" s="66">
        <f t="shared" si="2"/>
        <v>0.2475</v>
      </c>
      <c r="H84" s="66">
        <v>0</v>
      </c>
      <c r="I84" s="66">
        <f t="shared" si="9"/>
        <v>0.2475</v>
      </c>
      <c r="J84" s="54"/>
      <c r="K84" s="66">
        <v>0</v>
      </c>
      <c r="L84" s="66" t="e">
        <f>#REF!+K84</f>
        <v>#REF!</v>
      </c>
      <c r="M84" s="55">
        <f t="shared" si="17"/>
        <v>54</v>
      </c>
      <c r="N84" s="67">
        <f t="shared" si="18"/>
        <v>38895</v>
      </c>
      <c r="O84" s="57">
        <f t="shared" si="5"/>
        <v>4.962340294637E-2</v>
      </c>
      <c r="U84" s="66">
        <v>0.05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x14ac:dyDescent="0.25">
      <c r="A85" s="53">
        <f t="shared" si="7"/>
        <v>55</v>
      </c>
      <c r="B85" s="64">
        <f t="shared" si="16"/>
        <v>38930</v>
      </c>
      <c r="C85"/>
      <c r="D85" s="53">
        <f t="shared" si="1"/>
        <v>3.4449999999999998</v>
      </c>
      <c r="E85" s="159">
        <f t="shared" si="19"/>
        <v>0.13275000000000059</v>
      </c>
      <c r="F85" s="65">
        <f t="shared" si="8"/>
        <v>3.4449999999999998</v>
      </c>
      <c r="G85" s="66">
        <f t="shared" si="2"/>
        <v>0.2475</v>
      </c>
      <c r="H85" s="66">
        <v>0</v>
      </c>
      <c r="I85" s="66">
        <f t="shared" si="9"/>
        <v>0.2475</v>
      </c>
      <c r="J85" s="54"/>
      <c r="K85" s="66">
        <v>0</v>
      </c>
      <c r="L85" s="66" t="e">
        <f>#REF!+K85</f>
        <v>#REF!</v>
      </c>
      <c r="M85" s="55">
        <f t="shared" si="17"/>
        <v>55</v>
      </c>
      <c r="N85" s="67">
        <f t="shared" si="18"/>
        <v>38924</v>
      </c>
      <c r="O85" s="57">
        <f t="shared" si="5"/>
        <v>4.9933974265168303E-2</v>
      </c>
      <c r="U85" s="66">
        <v>0.1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x14ac:dyDescent="0.25">
      <c r="A86" s="53">
        <f t="shared" si="7"/>
        <v>56</v>
      </c>
      <c r="B86" s="64">
        <f t="shared" si="16"/>
        <v>38961</v>
      </c>
      <c r="C86"/>
      <c r="D86" s="53">
        <f t="shared" si="1"/>
        <v>3.44</v>
      </c>
      <c r="E86" s="159">
        <f t="shared" si="19"/>
        <v>0.13275000000000059</v>
      </c>
      <c r="F86" s="65">
        <f t="shared" si="8"/>
        <v>3.44</v>
      </c>
      <c r="G86" s="66">
        <f t="shared" si="2"/>
        <v>0.2475</v>
      </c>
      <c r="H86" s="66">
        <v>0</v>
      </c>
      <c r="I86" s="66">
        <f t="shared" si="9"/>
        <v>0.2475</v>
      </c>
      <c r="J86" s="54"/>
      <c r="K86" s="66">
        <v>0</v>
      </c>
      <c r="L86" s="66" t="e">
        <f>#REF!+K86</f>
        <v>#REF!</v>
      </c>
      <c r="M86" s="55">
        <f t="shared" si="17"/>
        <v>56</v>
      </c>
      <c r="N86" s="67">
        <f t="shared" si="18"/>
        <v>38957</v>
      </c>
      <c r="O86" s="57">
        <f t="shared" si="5"/>
        <v>5.0244545616172399E-2</v>
      </c>
      <c r="U86" s="66">
        <v>0.2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x14ac:dyDescent="0.25">
      <c r="A87" s="53">
        <f t="shared" si="7"/>
        <v>57</v>
      </c>
      <c r="B87" s="64">
        <f t="shared" si="16"/>
        <v>38991</v>
      </c>
      <c r="C87"/>
      <c r="D87" s="53">
        <f t="shared" si="1"/>
        <v>3.4649999999999999</v>
      </c>
      <c r="E87" s="159">
        <f t="shared" si="19"/>
        <v>0.13275000000000059</v>
      </c>
      <c r="F87" s="65">
        <f t="shared" si="8"/>
        <v>3.4649999999999999</v>
      </c>
      <c r="G87" s="66">
        <f t="shared" si="2"/>
        <v>0.2475</v>
      </c>
      <c r="H87" s="66">
        <v>0</v>
      </c>
      <c r="I87" s="66">
        <f t="shared" si="9"/>
        <v>0.2475</v>
      </c>
      <c r="J87" s="54"/>
      <c r="K87" s="66">
        <v>0</v>
      </c>
      <c r="L87" s="66" t="e">
        <f>#REF!+K87</f>
        <v>#REF!</v>
      </c>
      <c r="M87" s="55">
        <f t="shared" si="17"/>
        <v>57</v>
      </c>
      <c r="N87" s="67">
        <f t="shared" si="18"/>
        <v>38986</v>
      </c>
      <c r="O87" s="57">
        <f t="shared" si="5"/>
        <v>5.0545098567158497E-2</v>
      </c>
      <c r="U87" s="66">
        <v>0.3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x14ac:dyDescent="0.25">
      <c r="A88" s="53">
        <f t="shared" si="7"/>
        <v>58</v>
      </c>
      <c r="B88" s="64">
        <f t="shared" si="16"/>
        <v>39022</v>
      </c>
      <c r="C88"/>
      <c r="D88" s="53">
        <f t="shared" si="1"/>
        <v>3.617</v>
      </c>
      <c r="E88" s="159">
        <f t="shared" si="19"/>
        <v>0.13275000000000059</v>
      </c>
      <c r="F88" s="65">
        <f t="shared" si="8"/>
        <v>3.617</v>
      </c>
      <c r="G88" s="66">
        <f t="shared" si="2"/>
        <v>0.2475</v>
      </c>
      <c r="H88" s="66">
        <v>0</v>
      </c>
      <c r="I88" s="66">
        <f t="shared" si="9"/>
        <v>0.2475</v>
      </c>
      <c r="J88" s="54"/>
      <c r="K88" s="66">
        <v>0</v>
      </c>
      <c r="L88" s="66" t="e">
        <f>#REF!+K88</f>
        <v>#REF!</v>
      </c>
      <c r="M88" s="55">
        <f t="shared" si="17"/>
        <v>58</v>
      </c>
      <c r="N88" s="67">
        <f t="shared" si="18"/>
        <v>39016</v>
      </c>
      <c r="O88" s="57">
        <f t="shared" si="5"/>
        <v>5.0855669981520801E-2</v>
      </c>
      <c r="U88" s="66">
        <v>0.3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x14ac:dyDescent="0.25">
      <c r="A89" s="53">
        <f t="shared" si="7"/>
        <v>59</v>
      </c>
      <c r="B89" s="64">
        <f t="shared" ref="B89:B120" si="20">DATE(YEAR(B88),MONTH(B88)+1,1)</f>
        <v>39052</v>
      </c>
      <c r="C89"/>
      <c r="D89" s="53">
        <f t="shared" si="1"/>
        <v>3.76</v>
      </c>
      <c r="E89" s="159">
        <f t="shared" si="19"/>
        <v>0.13275000000000059</v>
      </c>
      <c r="F89" s="65">
        <f t="shared" si="8"/>
        <v>3.76</v>
      </c>
      <c r="G89" s="66">
        <f t="shared" si="2"/>
        <v>0.2475</v>
      </c>
      <c r="H89" s="66">
        <v>0</v>
      </c>
      <c r="I89" s="66">
        <f t="shared" si="9"/>
        <v>0.2475</v>
      </c>
      <c r="J89" s="54"/>
      <c r="K89" s="66">
        <v>0</v>
      </c>
      <c r="L89" s="66" t="e">
        <f>#REF!+K89</f>
        <v>#REF!</v>
      </c>
      <c r="M89" s="55">
        <f t="shared" si="17"/>
        <v>59</v>
      </c>
      <c r="N89" s="67">
        <f t="shared" si="18"/>
        <v>39048</v>
      </c>
      <c r="O89" s="57">
        <f t="shared" si="5"/>
        <v>5.1156222993812103E-2</v>
      </c>
      <c r="U89" s="66">
        <v>0.25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x14ac:dyDescent="0.25">
      <c r="A90" s="53">
        <f t="shared" si="7"/>
        <v>60</v>
      </c>
      <c r="B90" s="64">
        <f t="shared" si="20"/>
        <v>39083</v>
      </c>
      <c r="C90"/>
      <c r="D90" s="53">
        <f t="shared" si="1"/>
        <v>3.8125</v>
      </c>
      <c r="E90" s="159">
        <f t="shared" si="19"/>
        <v>0.13275000000000059</v>
      </c>
      <c r="F90" s="65">
        <f t="shared" si="8"/>
        <v>3.8125</v>
      </c>
      <c r="G90" s="66">
        <f t="shared" si="2"/>
        <v>0.2475</v>
      </c>
      <c r="H90" s="66">
        <v>0</v>
      </c>
      <c r="I90" s="66">
        <f t="shared" si="9"/>
        <v>0.2475</v>
      </c>
      <c r="J90" s="54"/>
      <c r="K90" s="66">
        <v>0</v>
      </c>
      <c r="L90" s="66" t="e">
        <f>#REF!+K90</f>
        <v>#REF!</v>
      </c>
      <c r="M90" s="55">
        <f t="shared" si="17"/>
        <v>60</v>
      </c>
      <c r="N90" s="67">
        <f t="shared" si="18"/>
        <v>39077</v>
      </c>
      <c r="O90" s="57">
        <f t="shared" si="5"/>
        <v>5.1391857633718001E-2</v>
      </c>
      <c r="U90" s="66">
        <v>0.1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x14ac:dyDescent="0.25">
      <c r="A91" s="53">
        <f t="shared" si="7"/>
        <v>61</v>
      </c>
      <c r="B91" s="64">
        <f t="shared" si="20"/>
        <v>39114</v>
      </c>
      <c r="C91"/>
      <c r="D91" s="53">
        <f t="shared" si="1"/>
        <v>3.7275</v>
      </c>
      <c r="E91" s="159">
        <f t="shared" si="19"/>
        <v>0.13275000000000059</v>
      </c>
      <c r="F91" s="65">
        <f t="shared" si="8"/>
        <v>3.7275</v>
      </c>
      <c r="G91" s="66">
        <f t="shared" si="2"/>
        <v>0.24249999999999999</v>
      </c>
      <c r="H91" s="66">
        <v>0</v>
      </c>
      <c r="I91" s="66">
        <f t="shared" si="9"/>
        <v>0.24249999999999999</v>
      </c>
      <c r="J91" s="54"/>
      <c r="K91" s="66">
        <v>0</v>
      </c>
      <c r="L91" s="66" t="e">
        <f>#REF!+K91</f>
        <v>#REF!</v>
      </c>
      <c r="M91" s="55">
        <f t="shared" si="17"/>
        <v>61</v>
      </c>
      <c r="N91" s="67">
        <f t="shared" si="18"/>
        <v>39108</v>
      </c>
      <c r="O91" s="57">
        <f t="shared" si="5"/>
        <v>5.1573371239542101E-2</v>
      </c>
      <c r="U91" s="66">
        <v>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x14ac:dyDescent="0.25">
      <c r="A92" s="53">
        <f t="shared" si="7"/>
        <v>62</v>
      </c>
      <c r="B92" s="64">
        <f t="shared" si="20"/>
        <v>39142</v>
      </c>
      <c r="C92"/>
      <c r="D92" s="53">
        <f t="shared" si="1"/>
        <v>3.5975000000000001</v>
      </c>
      <c r="E92" s="159">
        <f t="shared" si="19"/>
        <v>0.13275000000000059</v>
      </c>
      <c r="F92" s="65">
        <f t="shared" si="8"/>
        <v>3.5975000000000001</v>
      </c>
      <c r="G92" s="66">
        <f t="shared" si="2"/>
        <v>0.24</v>
      </c>
      <c r="H92" s="66">
        <v>0</v>
      </c>
      <c r="I92" s="66">
        <f t="shared" si="9"/>
        <v>0.24</v>
      </c>
      <c r="J92" s="54"/>
      <c r="K92" s="66">
        <v>0</v>
      </c>
      <c r="L92" s="66" t="e">
        <f>#REF!+K92</f>
        <v>#REF!</v>
      </c>
      <c r="M92" s="55">
        <f t="shared" si="17"/>
        <v>62</v>
      </c>
      <c r="N92" s="67">
        <f t="shared" si="18"/>
        <v>39136</v>
      </c>
      <c r="O92" s="57">
        <f t="shared" si="5"/>
        <v>5.17373190219916E-2</v>
      </c>
      <c r="U92" s="66">
        <v>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x14ac:dyDescent="0.25">
      <c r="A93" s="53">
        <f t="shared" si="7"/>
        <v>63</v>
      </c>
      <c r="B93" s="64">
        <f t="shared" si="20"/>
        <v>39173</v>
      </c>
      <c r="C93"/>
      <c r="D93" s="53">
        <f t="shared" si="1"/>
        <v>3.4125000000000001</v>
      </c>
      <c r="E93" s="159">
        <f t="shared" si="19"/>
        <v>0.13275000000000059</v>
      </c>
      <c r="F93" s="65">
        <f t="shared" si="8"/>
        <v>3.4125000000000001</v>
      </c>
      <c r="G93" s="66">
        <f t="shared" si="2"/>
        <v>0.24</v>
      </c>
      <c r="H93" s="66">
        <v>0</v>
      </c>
      <c r="I93" s="66">
        <f t="shared" si="9"/>
        <v>0.24</v>
      </c>
      <c r="J93" s="54"/>
      <c r="K93" s="66">
        <v>0</v>
      </c>
      <c r="L93" s="66" t="e">
        <f>#REF!+K93</f>
        <v>#REF!</v>
      </c>
      <c r="M93" s="55">
        <f t="shared" si="17"/>
        <v>63</v>
      </c>
      <c r="N93" s="67">
        <f t="shared" si="18"/>
        <v>39168</v>
      </c>
      <c r="O93" s="57">
        <f t="shared" si="5"/>
        <v>5.1918832648734502E-2</v>
      </c>
      <c r="U93" s="66">
        <v>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x14ac:dyDescent="0.25">
      <c r="A94" s="53">
        <f t="shared" si="7"/>
        <v>64</v>
      </c>
      <c r="B94" s="64">
        <f t="shared" si="20"/>
        <v>39203</v>
      </c>
      <c r="C94"/>
      <c r="D94" s="53">
        <f t="shared" si="1"/>
        <v>3.4075000000000002</v>
      </c>
      <c r="E94" s="159">
        <f t="shared" si="19"/>
        <v>0.13275000000000059</v>
      </c>
      <c r="F94" s="65">
        <f t="shared" si="8"/>
        <v>3.4075000000000002</v>
      </c>
      <c r="G94" s="66">
        <f t="shared" si="2"/>
        <v>0.24</v>
      </c>
      <c r="H94" s="66">
        <v>0</v>
      </c>
      <c r="I94" s="66">
        <f t="shared" si="9"/>
        <v>0.24</v>
      </c>
      <c r="J94" s="54"/>
      <c r="K94" s="66">
        <v>0</v>
      </c>
      <c r="L94" s="66" t="e">
        <f>#REF!+K94</f>
        <v>#REF!</v>
      </c>
      <c r="M94" s="55">
        <f t="shared" si="17"/>
        <v>64</v>
      </c>
      <c r="N94" s="67">
        <f t="shared" si="18"/>
        <v>39197</v>
      </c>
      <c r="O94" s="57">
        <f t="shared" si="5"/>
        <v>5.2094491007659699E-2</v>
      </c>
      <c r="U94" s="66">
        <v>0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x14ac:dyDescent="0.25">
      <c r="A95" s="53">
        <f t="shared" si="7"/>
        <v>65</v>
      </c>
      <c r="B95" s="64">
        <f t="shared" si="20"/>
        <v>39234</v>
      </c>
      <c r="C95"/>
      <c r="D95" s="53">
        <f t="shared" ref="D95:D150" si="21">VLOOKUP($B95,curvesettle,2,FALSE)</f>
        <v>3.4424999999999999</v>
      </c>
      <c r="E95" s="159">
        <f t="shared" si="19"/>
        <v>0.13275000000000059</v>
      </c>
      <c r="F95" s="65">
        <f t="shared" si="8"/>
        <v>3.4424999999999999</v>
      </c>
      <c r="G95" s="66">
        <f t="shared" ref="G95:G150" si="22">VLOOKUP($B95,curvesettle,3,FALSE)</f>
        <v>0.24</v>
      </c>
      <c r="H95" s="66">
        <v>0</v>
      </c>
      <c r="I95" s="66">
        <f t="shared" si="9"/>
        <v>0.24</v>
      </c>
      <c r="J95" s="54"/>
      <c r="K95" s="66">
        <v>0</v>
      </c>
      <c r="L95" s="66" t="e">
        <f>#REF!+K95</f>
        <v>#REF!</v>
      </c>
      <c r="M95" s="55">
        <f t="shared" ref="M95:M126" si="23">A95</f>
        <v>65</v>
      </c>
      <c r="N95" s="67">
        <f t="shared" ref="N95:N126" si="24">VLOOKUP(B95,expiration,3,FALSE)</f>
        <v>39227</v>
      </c>
      <c r="O95" s="57">
        <f t="shared" ref="O95:O150" si="25">VLOOKUP($B95,curvesettle,4,FALSE)</f>
        <v>5.2276004656028399E-2</v>
      </c>
      <c r="U95" s="66">
        <v>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x14ac:dyDescent="0.25">
      <c r="A96" s="53">
        <f t="shared" ref="A96:A150" si="26">A95+1</f>
        <v>66</v>
      </c>
      <c r="B96" s="64">
        <f t="shared" si="20"/>
        <v>39264</v>
      </c>
      <c r="C96"/>
      <c r="D96" s="53">
        <f t="shared" si="21"/>
        <v>3.4824999999999999</v>
      </c>
      <c r="E96" s="159">
        <f t="shared" si="19"/>
        <v>0.13275000000000059</v>
      </c>
      <c r="F96" s="65">
        <f t="shared" ref="F96:F150" si="27">IF(C$1="settle",D96,IF(C$1="EOL",D96+E96,IF(ISNUMBER(C96),C96,D96)))</f>
        <v>3.4824999999999999</v>
      </c>
      <c r="G96" s="66">
        <f t="shared" si="22"/>
        <v>0.24</v>
      </c>
      <c r="H96" s="66">
        <v>0</v>
      </c>
      <c r="I96" s="66">
        <f t="shared" ref="I96:I150" si="28">G96+H96</f>
        <v>0.24</v>
      </c>
      <c r="J96" s="54"/>
      <c r="K96" s="66">
        <v>0</v>
      </c>
      <c r="L96" s="66" t="e">
        <f>#REF!+K96</f>
        <v>#REF!</v>
      </c>
      <c r="M96" s="55">
        <f t="shared" si="23"/>
        <v>66</v>
      </c>
      <c r="N96" s="67">
        <f t="shared" si="24"/>
        <v>39259</v>
      </c>
      <c r="O96" s="57">
        <f t="shared" si="25"/>
        <v>5.2451663035879101E-2</v>
      </c>
      <c r="U96" s="66">
        <v>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x14ac:dyDescent="0.25">
      <c r="A97" s="53">
        <f t="shared" si="26"/>
        <v>67</v>
      </c>
      <c r="B97" s="64">
        <f t="shared" si="20"/>
        <v>39295</v>
      </c>
      <c r="C97"/>
      <c r="D97" s="53">
        <f t="shared" si="21"/>
        <v>3.5225</v>
      </c>
      <c r="E97" s="159">
        <f t="shared" si="19"/>
        <v>0.13275000000000059</v>
      </c>
      <c r="F97" s="65">
        <f t="shared" si="27"/>
        <v>3.5225</v>
      </c>
      <c r="G97" s="66">
        <f t="shared" si="22"/>
        <v>0.24</v>
      </c>
      <c r="H97" s="66">
        <v>0</v>
      </c>
      <c r="I97" s="66">
        <f t="shared" si="28"/>
        <v>0.24</v>
      </c>
      <c r="J97" s="54"/>
      <c r="K97" s="66">
        <v>0</v>
      </c>
      <c r="L97" s="66" t="e">
        <f>#REF!+K97</f>
        <v>#REF!</v>
      </c>
      <c r="M97" s="55">
        <f t="shared" si="23"/>
        <v>67</v>
      </c>
      <c r="N97" s="67">
        <f t="shared" si="24"/>
        <v>39289</v>
      </c>
      <c r="O97" s="57">
        <f t="shared" si="25"/>
        <v>5.2633176705868798E-2</v>
      </c>
      <c r="U97" s="66">
        <v>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x14ac:dyDescent="0.25">
      <c r="A98" s="53">
        <f t="shared" si="26"/>
        <v>68</v>
      </c>
      <c r="B98" s="64">
        <f t="shared" si="20"/>
        <v>39326</v>
      </c>
      <c r="C98"/>
      <c r="D98" s="53">
        <f t="shared" si="21"/>
        <v>3.5175000000000001</v>
      </c>
      <c r="E98" s="159">
        <f t="shared" si="19"/>
        <v>0.13275000000000059</v>
      </c>
      <c r="F98" s="65">
        <f t="shared" si="27"/>
        <v>3.5175000000000001</v>
      </c>
      <c r="G98" s="66">
        <f t="shared" si="22"/>
        <v>0.24</v>
      </c>
      <c r="H98" s="66">
        <v>0</v>
      </c>
      <c r="I98" s="66">
        <f t="shared" si="28"/>
        <v>0.24</v>
      </c>
      <c r="J98" s="54"/>
      <c r="K98" s="66">
        <v>0</v>
      </c>
      <c r="L98" s="66" t="e">
        <f>#REF!+K98</f>
        <v>#REF!</v>
      </c>
      <c r="M98" s="55">
        <f t="shared" si="23"/>
        <v>68</v>
      </c>
      <c r="N98" s="67">
        <f t="shared" si="24"/>
        <v>39322</v>
      </c>
      <c r="O98" s="57">
        <f t="shared" si="25"/>
        <v>5.28146903868447E-2</v>
      </c>
      <c r="U98" s="66">
        <v>0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x14ac:dyDescent="0.25">
      <c r="A99" s="53">
        <f t="shared" si="26"/>
        <v>69</v>
      </c>
      <c r="B99" s="64">
        <f t="shared" si="20"/>
        <v>39356</v>
      </c>
      <c r="C99"/>
      <c r="D99" s="53">
        <f t="shared" si="21"/>
        <v>3.5425</v>
      </c>
      <c r="E99" s="159">
        <f t="shared" ref="E99:E130" si="29">N$10</f>
        <v>0.13275000000000059</v>
      </c>
      <c r="F99" s="65">
        <f t="shared" si="27"/>
        <v>3.5425</v>
      </c>
      <c r="G99" s="66">
        <f t="shared" si="22"/>
        <v>0.24</v>
      </c>
      <c r="H99" s="66">
        <v>0</v>
      </c>
      <c r="I99" s="66">
        <f t="shared" si="28"/>
        <v>0.24</v>
      </c>
      <c r="J99" s="54"/>
      <c r="K99" s="66">
        <v>0</v>
      </c>
      <c r="L99" s="66" t="e">
        <f>#REF!+K99</f>
        <v>#REF!</v>
      </c>
      <c r="M99" s="55">
        <f t="shared" si="23"/>
        <v>69</v>
      </c>
      <c r="N99" s="67">
        <f t="shared" si="24"/>
        <v>39350</v>
      </c>
      <c r="O99" s="57">
        <f t="shared" si="25"/>
        <v>5.29903487982488E-2</v>
      </c>
      <c r="U99" s="66">
        <v>0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x14ac:dyDescent="0.25">
      <c r="A100" s="53">
        <f t="shared" si="26"/>
        <v>70</v>
      </c>
      <c r="B100" s="64">
        <f t="shared" si="20"/>
        <v>39387</v>
      </c>
      <c r="C100"/>
      <c r="D100" s="53">
        <f t="shared" si="21"/>
        <v>3.6945000000000001</v>
      </c>
      <c r="E100" s="159">
        <f t="shared" si="29"/>
        <v>0.13275000000000059</v>
      </c>
      <c r="F100" s="65">
        <f t="shared" si="27"/>
        <v>3.6945000000000001</v>
      </c>
      <c r="G100" s="66">
        <f t="shared" si="22"/>
        <v>0.24</v>
      </c>
      <c r="H100" s="66">
        <v>0</v>
      </c>
      <c r="I100" s="66">
        <f t="shared" si="28"/>
        <v>0.24</v>
      </c>
      <c r="J100" s="54"/>
      <c r="K100" s="66">
        <v>0</v>
      </c>
      <c r="L100" s="66" t="e">
        <f>#REF!+K100</f>
        <v>#REF!</v>
      </c>
      <c r="M100" s="55">
        <f t="shared" si="23"/>
        <v>70</v>
      </c>
      <c r="N100" s="67">
        <f t="shared" si="24"/>
        <v>39381</v>
      </c>
      <c r="O100" s="57">
        <f t="shared" si="25"/>
        <v>5.31718625008408E-2</v>
      </c>
      <c r="U100" s="66">
        <v>0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x14ac:dyDescent="0.25">
      <c r="A101" s="53">
        <f t="shared" si="26"/>
        <v>71</v>
      </c>
      <c r="B101" s="64">
        <f t="shared" si="20"/>
        <v>39417</v>
      </c>
      <c r="C101"/>
      <c r="D101" s="53">
        <f t="shared" si="21"/>
        <v>3.8374999999999999</v>
      </c>
      <c r="E101" s="159">
        <f t="shared" si="29"/>
        <v>0.13275000000000059</v>
      </c>
      <c r="F101" s="65">
        <f t="shared" si="27"/>
        <v>3.8374999999999999</v>
      </c>
      <c r="G101" s="66">
        <f t="shared" si="22"/>
        <v>0.24</v>
      </c>
      <c r="H101" s="66">
        <v>0</v>
      </c>
      <c r="I101" s="66">
        <f t="shared" si="28"/>
        <v>0.24</v>
      </c>
      <c r="J101" s="54"/>
      <c r="K101" s="66">
        <v>0</v>
      </c>
      <c r="L101" s="66" t="e">
        <f>#REF!+K101</f>
        <v>#REF!</v>
      </c>
      <c r="M101" s="55">
        <f t="shared" si="23"/>
        <v>71</v>
      </c>
      <c r="N101" s="67">
        <f t="shared" si="24"/>
        <v>39413</v>
      </c>
      <c r="O101" s="57">
        <f t="shared" si="25"/>
        <v>5.3347520933161099E-2</v>
      </c>
      <c r="U101" s="66">
        <v>0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x14ac:dyDescent="0.25">
      <c r="A102" s="53">
        <f t="shared" si="26"/>
        <v>72</v>
      </c>
      <c r="B102" s="64">
        <f t="shared" si="20"/>
        <v>39448</v>
      </c>
      <c r="C102"/>
      <c r="D102" s="53">
        <f t="shared" si="21"/>
        <v>3.8875000000000002</v>
      </c>
      <c r="E102" s="159">
        <f t="shared" si="29"/>
        <v>0.13275000000000059</v>
      </c>
      <c r="F102" s="65">
        <f t="shared" si="27"/>
        <v>3.8875000000000002</v>
      </c>
      <c r="G102" s="66">
        <f t="shared" si="22"/>
        <v>0.24</v>
      </c>
      <c r="H102" s="66">
        <v>0</v>
      </c>
      <c r="I102" s="66">
        <f t="shared" si="28"/>
        <v>0.24</v>
      </c>
      <c r="J102" s="54"/>
      <c r="K102" s="66">
        <v>0</v>
      </c>
      <c r="L102" s="66" t="e">
        <f>#REF!+K102</f>
        <v>#REF!</v>
      </c>
      <c r="M102" s="55">
        <f t="shared" si="23"/>
        <v>72</v>
      </c>
      <c r="N102" s="67">
        <f t="shared" si="24"/>
        <v>39442</v>
      </c>
      <c r="O102" s="57">
        <f t="shared" si="25"/>
        <v>5.3529034657364701E-2</v>
      </c>
      <c r="U102" s="66">
        <v>0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x14ac:dyDescent="0.25">
      <c r="A103" s="53">
        <f t="shared" si="26"/>
        <v>73</v>
      </c>
      <c r="B103" s="64">
        <f t="shared" si="20"/>
        <v>39479</v>
      </c>
      <c r="C103"/>
      <c r="D103" s="53">
        <f t="shared" si="21"/>
        <v>3.8025000000000002</v>
      </c>
      <c r="E103" s="159">
        <f t="shared" si="29"/>
        <v>0.13275000000000059</v>
      </c>
      <c r="F103" s="65">
        <f t="shared" si="27"/>
        <v>3.8025000000000002</v>
      </c>
      <c r="G103" s="66">
        <f t="shared" si="22"/>
        <v>0.24</v>
      </c>
      <c r="H103" s="66">
        <v>0</v>
      </c>
      <c r="I103" s="66">
        <f t="shared" si="28"/>
        <v>0.24</v>
      </c>
      <c r="J103" s="54"/>
      <c r="K103" s="66">
        <v>0</v>
      </c>
      <c r="L103" s="66" t="e">
        <f>#REF!+K103</f>
        <v>#REF!</v>
      </c>
      <c r="M103" s="55">
        <f t="shared" si="23"/>
        <v>73</v>
      </c>
      <c r="N103" s="67">
        <f t="shared" si="24"/>
        <v>39475</v>
      </c>
      <c r="O103" s="57">
        <f t="shared" si="25"/>
        <v>5.3710548392549698E-2</v>
      </c>
      <c r="U103" s="66">
        <v>0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x14ac:dyDescent="0.25">
      <c r="A104" s="53">
        <f t="shared" si="26"/>
        <v>74</v>
      </c>
      <c r="B104" s="64">
        <f t="shared" si="20"/>
        <v>39508</v>
      </c>
      <c r="C104"/>
      <c r="D104" s="53">
        <f t="shared" si="21"/>
        <v>3.6724999999999999</v>
      </c>
      <c r="E104" s="159">
        <f t="shared" si="29"/>
        <v>0.13275000000000059</v>
      </c>
      <c r="F104" s="65">
        <f t="shared" si="27"/>
        <v>3.6724999999999999</v>
      </c>
      <c r="G104" s="66">
        <f t="shared" si="22"/>
        <v>0.23499999999999999</v>
      </c>
      <c r="H104" s="66">
        <v>0</v>
      </c>
      <c r="I104" s="66">
        <f t="shared" si="28"/>
        <v>0.23499999999999999</v>
      </c>
      <c r="J104" s="54"/>
      <c r="K104" s="66">
        <v>0</v>
      </c>
      <c r="L104" s="66" t="e">
        <f>#REF!+K104</f>
        <v>#REF!</v>
      </c>
      <c r="M104" s="55">
        <f t="shared" si="23"/>
        <v>74</v>
      </c>
      <c r="N104" s="67">
        <f t="shared" si="24"/>
        <v>39504</v>
      </c>
      <c r="O104" s="57">
        <f t="shared" si="25"/>
        <v>5.3880351574115498E-2</v>
      </c>
      <c r="U104" s="66">
        <v>0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 x14ac:dyDescent="0.25">
      <c r="A105" s="53">
        <f t="shared" si="26"/>
        <v>75</v>
      </c>
      <c r="B105" s="64">
        <f t="shared" si="20"/>
        <v>39539</v>
      </c>
      <c r="C105"/>
      <c r="D105" s="53">
        <f t="shared" si="21"/>
        <v>3.4874999999999998</v>
      </c>
      <c r="E105" s="159">
        <f t="shared" si="29"/>
        <v>0.13275000000000059</v>
      </c>
      <c r="F105" s="65">
        <f t="shared" si="27"/>
        <v>3.4874999999999998</v>
      </c>
      <c r="G105" s="66">
        <f t="shared" si="22"/>
        <v>0.23</v>
      </c>
      <c r="H105" s="66">
        <v>0</v>
      </c>
      <c r="I105" s="66">
        <f t="shared" si="28"/>
        <v>0.23</v>
      </c>
      <c r="J105" s="54"/>
      <c r="K105" s="66">
        <v>0</v>
      </c>
      <c r="L105" s="66" t="e">
        <f>#REF!+K105</f>
        <v>#REF!</v>
      </c>
      <c r="M105" s="55">
        <f t="shared" si="23"/>
        <v>75</v>
      </c>
      <c r="N105" s="67">
        <f t="shared" si="24"/>
        <v>39533</v>
      </c>
      <c r="O105" s="57">
        <f t="shared" si="25"/>
        <v>5.4061865330552898E-2</v>
      </c>
      <c r="U105" s="66">
        <v>0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 x14ac:dyDescent="0.25">
      <c r="A106" s="53">
        <f t="shared" si="26"/>
        <v>76</v>
      </c>
      <c r="B106" s="64">
        <f t="shared" si="20"/>
        <v>39569</v>
      </c>
      <c r="C106"/>
      <c r="D106" s="53">
        <f t="shared" si="21"/>
        <v>3.4824999999999999</v>
      </c>
      <c r="E106" s="159">
        <f t="shared" si="29"/>
        <v>0.13275000000000059</v>
      </c>
      <c r="F106" s="65">
        <f t="shared" si="27"/>
        <v>3.4824999999999999</v>
      </c>
      <c r="G106" s="66">
        <f t="shared" si="22"/>
        <v>0.23</v>
      </c>
      <c r="H106" s="66">
        <v>0</v>
      </c>
      <c r="I106" s="66">
        <f t="shared" si="28"/>
        <v>0.23</v>
      </c>
      <c r="J106" s="54"/>
      <c r="K106" s="66">
        <v>0</v>
      </c>
      <c r="L106" s="66" t="e">
        <f>#REF!+K106</f>
        <v>#REF!</v>
      </c>
      <c r="M106" s="55">
        <f t="shared" si="23"/>
        <v>76</v>
      </c>
      <c r="N106" s="67">
        <f t="shared" si="24"/>
        <v>39563</v>
      </c>
      <c r="O106" s="57">
        <f t="shared" si="25"/>
        <v>5.4237523814977699E-2</v>
      </c>
      <c r="U106" s="66">
        <v>0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 x14ac:dyDescent="0.25">
      <c r="A107" s="53">
        <f t="shared" si="26"/>
        <v>77</v>
      </c>
      <c r="B107" s="64">
        <f t="shared" si="20"/>
        <v>39600</v>
      </c>
      <c r="C107"/>
      <c r="D107" s="53">
        <f t="shared" si="21"/>
        <v>3.5175000000000001</v>
      </c>
      <c r="E107" s="159">
        <f t="shared" si="29"/>
        <v>0.13275000000000059</v>
      </c>
      <c r="F107" s="65">
        <f t="shared" si="27"/>
        <v>3.5175000000000001</v>
      </c>
      <c r="G107" s="66">
        <f t="shared" si="22"/>
        <v>0.23</v>
      </c>
      <c r="H107" s="66">
        <v>0</v>
      </c>
      <c r="I107" s="66">
        <f t="shared" si="28"/>
        <v>0.23</v>
      </c>
      <c r="J107" s="54"/>
      <c r="K107" s="66">
        <v>0</v>
      </c>
      <c r="L107" s="66" t="e">
        <f>#REF!+K107</f>
        <v>#REF!</v>
      </c>
      <c r="M107" s="55">
        <f t="shared" si="23"/>
        <v>77</v>
      </c>
      <c r="N107" s="67">
        <f t="shared" si="24"/>
        <v>39595</v>
      </c>
      <c r="O107" s="57">
        <f t="shared" si="25"/>
        <v>5.4419037593017403E-2</v>
      </c>
      <c r="U107" s="66">
        <v>0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 x14ac:dyDescent="0.25">
      <c r="A108" s="53">
        <f t="shared" si="26"/>
        <v>78</v>
      </c>
      <c r="B108" s="64">
        <f t="shared" si="20"/>
        <v>39630</v>
      </c>
      <c r="C108"/>
      <c r="D108" s="53">
        <f t="shared" si="21"/>
        <v>3.5575000000000001</v>
      </c>
      <c r="E108" s="159">
        <f t="shared" si="29"/>
        <v>0.13275000000000059</v>
      </c>
      <c r="F108" s="65">
        <f t="shared" si="27"/>
        <v>3.5575000000000001</v>
      </c>
      <c r="G108" s="66">
        <f t="shared" si="22"/>
        <v>0.23</v>
      </c>
      <c r="H108" s="66">
        <v>0</v>
      </c>
      <c r="I108" s="66">
        <f t="shared" si="28"/>
        <v>0.23</v>
      </c>
      <c r="J108" s="54"/>
      <c r="K108" s="66">
        <v>0</v>
      </c>
      <c r="L108" s="66" t="e">
        <f>#REF!+K108</f>
        <v>#REF!</v>
      </c>
      <c r="M108" s="55">
        <f t="shared" si="23"/>
        <v>78</v>
      </c>
      <c r="N108" s="67">
        <f t="shared" si="24"/>
        <v>39624</v>
      </c>
      <c r="O108" s="57">
        <f t="shared" si="25"/>
        <v>5.4594696098345899E-2</v>
      </c>
      <c r="U108" s="66">
        <v>0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 x14ac:dyDescent="0.25">
      <c r="A109" s="53">
        <f t="shared" si="26"/>
        <v>79</v>
      </c>
      <c r="B109" s="64">
        <f t="shared" si="20"/>
        <v>39661</v>
      </c>
      <c r="C109"/>
      <c r="D109" s="53">
        <f t="shared" si="21"/>
        <v>3.5975000000000001</v>
      </c>
      <c r="E109" s="159">
        <f t="shared" si="29"/>
        <v>0.13275000000000059</v>
      </c>
      <c r="F109" s="65">
        <f t="shared" si="27"/>
        <v>3.5975000000000001</v>
      </c>
      <c r="G109" s="66">
        <f t="shared" si="22"/>
        <v>0.23</v>
      </c>
      <c r="H109" s="66">
        <v>0</v>
      </c>
      <c r="I109" s="66">
        <f t="shared" si="28"/>
        <v>0.23</v>
      </c>
      <c r="J109" s="54"/>
      <c r="K109" s="66">
        <v>0</v>
      </c>
      <c r="L109" s="66" t="e">
        <f>#REF!+K109</f>
        <v>#REF!</v>
      </c>
      <c r="M109" s="55">
        <f t="shared" si="23"/>
        <v>79</v>
      </c>
      <c r="N109" s="67">
        <f t="shared" si="24"/>
        <v>39657</v>
      </c>
      <c r="O109" s="57">
        <f t="shared" si="25"/>
        <v>5.47762098979847E-2</v>
      </c>
      <c r="U109" s="66">
        <v>0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 x14ac:dyDescent="0.25">
      <c r="A110" s="53">
        <f t="shared" si="26"/>
        <v>80</v>
      </c>
      <c r="B110" s="64">
        <f t="shared" si="20"/>
        <v>39692</v>
      </c>
      <c r="C110"/>
      <c r="D110" s="53">
        <f t="shared" si="21"/>
        <v>3.5924999999999998</v>
      </c>
      <c r="E110" s="159">
        <f t="shared" si="29"/>
        <v>0.13275000000000059</v>
      </c>
      <c r="F110" s="65">
        <f t="shared" si="27"/>
        <v>3.5924999999999998</v>
      </c>
      <c r="G110" s="66">
        <f t="shared" si="22"/>
        <v>0.23</v>
      </c>
      <c r="H110" s="66">
        <v>0</v>
      </c>
      <c r="I110" s="66">
        <f t="shared" si="28"/>
        <v>0.23</v>
      </c>
      <c r="J110" s="54"/>
      <c r="K110" s="66">
        <v>0</v>
      </c>
      <c r="L110" s="66" t="e">
        <f>#REF!+K110</f>
        <v>#REF!</v>
      </c>
      <c r="M110" s="55">
        <f t="shared" si="23"/>
        <v>80</v>
      </c>
      <c r="N110" s="67">
        <f t="shared" si="24"/>
        <v>39686</v>
      </c>
      <c r="O110" s="57">
        <f t="shared" si="25"/>
        <v>5.4957723708598298E-2</v>
      </c>
      <c r="U110" s="66">
        <v>0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 x14ac:dyDescent="0.25">
      <c r="A111" s="53">
        <f t="shared" si="26"/>
        <v>81</v>
      </c>
      <c r="B111" s="64">
        <f t="shared" si="20"/>
        <v>39722</v>
      </c>
      <c r="C111"/>
      <c r="D111" s="53">
        <f t="shared" si="21"/>
        <v>3.6175000000000002</v>
      </c>
      <c r="E111" s="159">
        <f t="shared" si="29"/>
        <v>0.13275000000000059</v>
      </c>
      <c r="F111" s="65">
        <f t="shared" si="27"/>
        <v>3.6175000000000002</v>
      </c>
      <c r="G111" s="66">
        <f t="shared" si="22"/>
        <v>0.23</v>
      </c>
      <c r="H111" s="66">
        <v>0</v>
      </c>
      <c r="I111" s="66">
        <f t="shared" si="28"/>
        <v>0.23</v>
      </c>
      <c r="J111" s="54"/>
      <c r="K111" s="66">
        <v>0</v>
      </c>
      <c r="L111" s="66" t="e">
        <f>#REF!+K111</f>
        <v>#REF!</v>
      </c>
      <c r="M111" s="55">
        <f t="shared" si="23"/>
        <v>81</v>
      </c>
      <c r="N111" s="67">
        <f t="shared" si="24"/>
        <v>39716</v>
      </c>
      <c r="O111" s="57">
        <f t="shared" si="25"/>
        <v>5.51333822454474E-2</v>
      </c>
      <c r="U111" s="66">
        <v>0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 x14ac:dyDescent="0.25">
      <c r="A112" s="53">
        <f t="shared" si="26"/>
        <v>82</v>
      </c>
      <c r="B112" s="64">
        <f t="shared" si="20"/>
        <v>39753</v>
      </c>
      <c r="C112"/>
      <c r="D112" s="53">
        <f t="shared" si="21"/>
        <v>3.7694999999999999</v>
      </c>
      <c r="E112" s="159">
        <f t="shared" si="29"/>
        <v>0.13275000000000059</v>
      </c>
      <c r="F112" s="65">
        <f t="shared" si="27"/>
        <v>3.7694999999999999</v>
      </c>
      <c r="G112" s="66">
        <f t="shared" si="22"/>
        <v>0.23</v>
      </c>
      <c r="H112" s="66">
        <v>0</v>
      </c>
      <c r="I112" s="66">
        <f t="shared" si="28"/>
        <v>0.23</v>
      </c>
      <c r="J112" s="54"/>
      <c r="K112" s="66">
        <v>0</v>
      </c>
      <c r="L112" s="66" t="e">
        <f>#REF!+K112</f>
        <v>#REF!</v>
      </c>
      <c r="M112" s="55">
        <f t="shared" si="23"/>
        <v>82</v>
      </c>
      <c r="N112" s="67">
        <f t="shared" si="24"/>
        <v>39749</v>
      </c>
      <c r="O112" s="57">
        <f t="shared" si="25"/>
        <v>5.5314896077653899E-2</v>
      </c>
      <c r="U112" s="66">
        <v>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 x14ac:dyDescent="0.25">
      <c r="A113" s="53">
        <f t="shared" si="26"/>
        <v>83</v>
      </c>
      <c r="B113" s="64">
        <f t="shared" si="20"/>
        <v>39783</v>
      </c>
      <c r="C113"/>
      <c r="D113" s="53">
        <f t="shared" si="21"/>
        <v>3.9125000000000001</v>
      </c>
      <c r="E113" s="159">
        <f t="shared" si="29"/>
        <v>0.13275000000000059</v>
      </c>
      <c r="F113" s="65">
        <f t="shared" si="27"/>
        <v>3.9125000000000001</v>
      </c>
      <c r="G113" s="66">
        <f t="shared" si="22"/>
        <v>0.23</v>
      </c>
      <c r="H113" s="66">
        <v>0</v>
      </c>
      <c r="I113" s="66">
        <f t="shared" si="28"/>
        <v>0.23</v>
      </c>
      <c r="J113" s="54"/>
      <c r="K113" s="66">
        <v>0</v>
      </c>
      <c r="L113" s="66" t="e">
        <f>#REF!+K113</f>
        <v>#REF!</v>
      </c>
      <c r="M113" s="55">
        <f t="shared" si="23"/>
        <v>83</v>
      </c>
      <c r="N113" s="67">
        <f t="shared" si="24"/>
        <v>39776</v>
      </c>
      <c r="O113" s="57">
        <f t="shared" si="25"/>
        <v>5.5490554635397898E-2</v>
      </c>
      <c r="U113" s="66">
        <v>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 x14ac:dyDescent="0.25">
      <c r="A114" s="53">
        <f t="shared" si="26"/>
        <v>84</v>
      </c>
      <c r="B114" s="64">
        <f t="shared" si="20"/>
        <v>39814</v>
      </c>
      <c r="C114"/>
      <c r="D114" s="53">
        <f t="shared" si="21"/>
        <v>3.9649999999999999</v>
      </c>
      <c r="E114" s="159">
        <f t="shared" si="29"/>
        <v>0.13275000000000059</v>
      </c>
      <c r="F114" s="65">
        <f t="shared" si="27"/>
        <v>3.9649999999999999</v>
      </c>
      <c r="G114" s="66">
        <f t="shared" si="22"/>
        <v>0.23</v>
      </c>
      <c r="H114" s="66">
        <v>0</v>
      </c>
      <c r="I114" s="66">
        <f t="shared" si="28"/>
        <v>0.23</v>
      </c>
      <c r="J114" s="54"/>
      <c r="K114" s="66">
        <v>0</v>
      </c>
      <c r="L114" s="66" t="e">
        <f>#REF!+K114</f>
        <v>#REF!</v>
      </c>
      <c r="M114" s="55">
        <f t="shared" si="23"/>
        <v>84</v>
      </c>
      <c r="N114" s="67">
        <f t="shared" si="24"/>
        <v>39808</v>
      </c>
      <c r="O114" s="57">
        <f t="shared" si="25"/>
        <v>5.5629285809112097E-2</v>
      </c>
      <c r="U114" s="66">
        <v>0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 x14ac:dyDescent="0.25">
      <c r="A115" s="53">
        <f t="shared" si="26"/>
        <v>85</v>
      </c>
      <c r="B115" s="64">
        <f t="shared" si="20"/>
        <v>39845</v>
      </c>
      <c r="C115"/>
      <c r="D115" s="53">
        <f t="shared" si="21"/>
        <v>3.88</v>
      </c>
      <c r="E115" s="159">
        <f t="shared" si="29"/>
        <v>0.13275000000000059</v>
      </c>
      <c r="F115" s="65">
        <f t="shared" si="27"/>
        <v>3.88</v>
      </c>
      <c r="G115" s="66">
        <f t="shared" si="22"/>
        <v>0.22750000000000001</v>
      </c>
      <c r="H115" s="66">
        <v>0</v>
      </c>
      <c r="I115" s="66">
        <f t="shared" si="28"/>
        <v>0.22750000000000001</v>
      </c>
      <c r="J115" s="54"/>
      <c r="K115" s="66">
        <v>0</v>
      </c>
      <c r="L115" s="66" t="e">
        <f>#REF!+K115</f>
        <v>#REF!</v>
      </c>
      <c r="M115" s="55">
        <f t="shared" si="23"/>
        <v>85</v>
      </c>
      <c r="N115" s="67">
        <f t="shared" si="24"/>
        <v>39840</v>
      </c>
      <c r="O115" s="57">
        <f t="shared" si="25"/>
        <v>5.5732784192703999E-2</v>
      </c>
      <c r="U115" s="66">
        <v>0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 x14ac:dyDescent="0.25">
      <c r="A116" s="53">
        <f t="shared" si="26"/>
        <v>86</v>
      </c>
      <c r="B116" s="64">
        <f t="shared" si="20"/>
        <v>39873</v>
      </c>
      <c r="C116"/>
      <c r="D116" s="53">
        <f t="shared" si="21"/>
        <v>3.75</v>
      </c>
      <c r="E116" s="159">
        <f t="shared" si="29"/>
        <v>0.13275000000000059</v>
      </c>
      <c r="F116" s="65">
        <f t="shared" si="27"/>
        <v>3.75</v>
      </c>
      <c r="G116" s="66">
        <f t="shared" si="22"/>
        <v>0.22</v>
      </c>
      <c r="H116" s="66">
        <v>0</v>
      </c>
      <c r="I116" s="66">
        <f t="shared" si="28"/>
        <v>0.22</v>
      </c>
      <c r="J116" s="54"/>
      <c r="K116" s="66">
        <v>0</v>
      </c>
      <c r="L116" s="66" t="e">
        <f>#REF!+K116</f>
        <v>#REF!</v>
      </c>
      <c r="M116" s="55">
        <f t="shared" si="23"/>
        <v>86</v>
      </c>
      <c r="N116" s="67">
        <f t="shared" si="24"/>
        <v>39868</v>
      </c>
      <c r="O116" s="57">
        <f t="shared" si="25"/>
        <v>5.5826266606755499E-2</v>
      </c>
      <c r="U116" s="66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 x14ac:dyDescent="0.25">
      <c r="A117" s="53">
        <f t="shared" si="26"/>
        <v>87</v>
      </c>
      <c r="B117" s="64">
        <f t="shared" si="20"/>
        <v>39904</v>
      </c>
      <c r="C117"/>
      <c r="D117" s="53">
        <f t="shared" si="21"/>
        <v>3.5649999999999999</v>
      </c>
      <c r="E117" s="159">
        <f t="shared" si="29"/>
        <v>0.13275000000000059</v>
      </c>
      <c r="F117" s="65">
        <f t="shared" si="27"/>
        <v>3.5649999999999999</v>
      </c>
      <c r="G117" s="66">
        <f t="shared" si="22"/>
        <v>0.20250000000000001</v>
      </c>
      <c r="H117" s="66">
        <v>0</v>
      </c>
      <c r="I117" s="66">
        <f t="shared" si="28"/>
        <v>0.20250000000000001</v>
      </c>
      <c r="J117" s="54"/>
      <c r="K117" s="66">
        <v>0</v>
      </c>
      <c r="L117" s="66" t="e">
        <f>#REF!+K117</f>
        <v>#REF!</v>
      </c>
      <c r="M117" s="55">
        <f t="shared" si="23"/>
        <v>87</v>
      </c>
      <c r="N117" s="67">
        <f t="shared" si="24"/>
        <v>39898</v>
      </c>
      <c r="O117" s="57">
        <f t="shared" si="25"/>
        <v>5.5929764997134403E-2</v>
      </c>
      <c r="U117" s="66">
        <v>0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 x14ac:dyDescent="0.25">
      <c r="A118" s="53">
        <f t="shared" si="26"/>
        <v>88</v>
      </c>
      <c r="B118" s="64">
        <f t="shared" si="20"/>
        <v>39934</v>
      </c>
      <c r="C118"/>
      <c r="D118" s="53">
        <f t="shared" si="21"/>
        <v>3.56</v>
      </c>
      <c r="E118" s="159">
        <f t="shared" si="29"/>
        <v>0.13275000000000059</v>
      </c>
      <c r="F118" s="65">
        <f t="shared" si="27"/>
        <v>3.56</v>
      </c>
      <c r="G118" s="66">
        <f t="shared" si="22"/>
        <v>0.20250000000000001</v>
      </c>
      <c r="H118" s="66">
        <v>0</v>
      </c>
      <c r="I118" s="66">
        <f t="shared" si="28"/>
        <v>0.20250000000000001</v>
      </c>
      <c r="J118" s="54"/>
      <c r="K118" s="66">
        <v>0</v>
      </c>
      <c r="L118" s="66" t="e">
        <f>#REF!+K118</f>
        <v>#REF!</v>
      </c>
      <c r="M118" s="55">
        <f t="shared" si="23"/>
        <v>88</v>
      </c>
      <c r="N118" s="67">
        <f t="shared" si="24"/>
        <v>39930</v>
      </c>
      <c r="O118" s="57">
        <f t="shared" si="25"/>
        <v>5.6029924733155503E-2</v>
      </c>
      <c r="U118" s="66">
        <v>0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x14ac:dyDescent="0.25">
      <c r="A119" s="53">
        <f t="shared" si="26"/>
        <v>89</v>
      </c>
      <c r="B119" s="64">
        <f t="shared" si="20"/>
        <v>39965</v>
      </c>
      <c r="C119"/>
      <c r="D119" s="53">
        <f t="shared" si="21"/>
        <v>3.5950000000000002</v>
      </c>
      <c r="E119" s="159">
        <f t="shared" si="29"/>
        <v>0.13275000000000059</v>
      </c>
      <c r="F119" s="65">
        <f t="shared" si="27"/>
        <v>3.5950000000000002</v>
      </c>
      <c r="G119" s="66">
        <f t="shared" si="22"/>
        <v>0.20250000000000001</v>
      </c>
      <c r="H119" s="66">
        <v>0</v>
      </c>
      <c r="I119" s="66">
        <f t="shared" si="28"/>
        <v>0.20250000000000001</v>
      </c>
      <c r="J119" s="54"/>
      <c r="K119" s="66">
        <v>0</v>
      </c>
      <c r="L119" s="66" t="e">
        <f>#REF!+K119</f>
        <v>#REF!</v>
      </c>
      <c r="M119" s="55">
        <f t="shared" si="23"/>
        <v>89</v>
      </c>
      <c r="N119" s="67">
        <f t="shared" si="24"/>
        <v>39959</v>
      </c>
      <c r="O119" s="57">
        <f t="shared" si="25"/>
        <v>5.6133423130551502E-2</v>
      </c>
      <c r="U119" s="66">
        <v>0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 x14ac:dyDescent="0.25">
      <c r="A120" s="53">
        <f t="shared" si="26"/>
        <v>90</v>
      </c>
      <c r="B120" s="64">
        <f t="shared" si="20"/>
        <v>39995</v>
      </c>
      <c r="C120"/>
      <c r="D120" s="53">
        <f t="shared" si="21"/>
        <v>3.6349999999999998</v>
      </c>
      <c r="E120" s="159">
        <f t="shared" si="29"/>
        <v>0.13275000000000059</v>
      </c>
      <c r="F120" s="65">
        <f t="shared" si="27"/>
        <v>3.6349999999999998</v>
      </c>
      <c r="G120" s="66">
        <f t="shared" si="22"/>
        <v>0.20250000000000001</v>
      </c>
      <c r="H120" s="66">
        <v>0</v>
      </c>
      <c r="I120" s="66">
        <f t="shared" si="28"/>
        <v>0.20250000000000001</v>
      </c>
      <c r="J120" s="54"/>
      <c r="K120" s="66">
        <v>0</v>
      </c>
      <c r="L120" s="66" t="e">
        <f>#REF!+K120</f>
        <v>#REF!</v>
      </c>
      <c r="M120" s="55">
        <f t="shared" si="23"/>
        <v>90</v>
      </c>
      <c r="N120" s="67">
        <f t="shared" si="24"/>
        <v>39989</v>
      </c>
      <c r="O120" s="57">
        <f t="shared" si="25"/>
        <v>5.6233582873363101E-2</v>
      </c>
      <c r="U120" s="66">
        <v>0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 x14ac:dyDescent="0.25">
      <c r="A121" s="53">
        <f t="shared" si="26"/>
        <v>91</v>
      </c>
      <c r="B121" s="64">
        <f t="shared" ref="B121:B150" si="30">DATE(YEAR(B120),MONTH(B120)+1,1)</f>
        <v>40026</v>
      </c>
      <c r="C121"/>
      <c r="D121" s="53">
        <f t="shared" si="21"/>
        <v>3.6749999999999998</v>
      </c>
      <c r="E121" s="159">
        <f t="shared" si="29"/>
        <v>0.13275000000000059</v>
      </c>
      <c r="F121" s="65">
        <f t="shared" si="27"/>
        <v>3.6749999999999998</v>
      </c>
      <c r="G121" s="66">
        <f t="shared" si="22"/>
        <v>0.20250000000000001</v>
      </c>
      <c r="H121" s="66">
        <v>0</v>
      </c>
      <c r="I121" s="66">
        <f t="shared" si="28"/>
        <v>0.20250000000000001</v>
      </c>
      <c r="J121" s="54"/>
      <c r="K121" s="66">
        <v>0</v>
      </c>
      <c r="L121" s="66" t="e">
        <f>#REF!+K121</f>
        <v>#REF!</v>
      </c>
      <c r="M121" s="55">
        <f t="shared" si="23"/>
        <v>91</v>
      </c>
      <c r="N121" s="67">
        <f t="shared" si="24"/>
        <v>40022</v>
      </c>
      <c r="O121" s="57">
        <f t="shared" si="25"/>
        <v>5.6337081277775702E-2</v>
      </c>
      <c r="U121" s="66">
        <v>0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 x14ac:dyDescent="0.25">
      <c r="A122" s="53">
        <f t="shared" si="26"/>
        <v>92</v>
      </c>
      <c r="B122" s="64">
        <f t="shared" si="30"/>
        <v>40057</v>
      </c>
      <c r="C122"/>
      <c r="D122" s="53">
        <f t="shared" si="21"/>
        <v>3.67</v>
      </c>
      <c r="E122" s="159">
        <f t="shared" si="29"/>
        <v>0.13275000000000059</v>
      </c>
      <c r="F122" s="65">
        <f t="shared" si="27"/>
        <v>3.67</v>
      </c>
      <c r="G122" s="66">
        <f t="shared" si="22"/>
        <v>0.20250000000000001</v>
      </c>
      <c r="H122" s="66">
        <v>0</v>
      </c>
      <c r="I122" s="66">
        <f t="shared" si="28"/>
        <v>0.20250000000000001</v>
      </c>
      <c r="J122" s="54"/>
      <c r="K122" s="66">
        <v>0</v>
      </c>
      <c r="L122" s="66" t="e">
        <f>#REF!+K122</f>
        <v>#REF!</v>
      </c>
      <c r="M122" s="55">
        <f t="shared" si="23"/>
        <v>92</v>
      </c>
      <c r="N122" s="67">
        <f t="shared" si="24"/>
        <v>40051</v>
      </c>
      <c r="O122" s="57">
        <f t="shared" si="25"/>
        <v>5.6440579685754798E-2</v>
      </c>
      <c r="U122" s="66">
        <v>0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 x14ac:dyDescent="0.25">
      <c r="A123" s="53">
        <f t="shared" si="26"/>
        <v>93</v>
      </c>
      <c r="B123" s="64">
        <f t="shared" si="30"/>
        <v>40087</v>
      </c>
      <c r="C123"/>
      <c r="D123" s="53">
        <f t="shared" si="21"/>
        <v>3.6949999999999998</v>
      </c>
      <c r="E123" s="159">
        <f t="shared" si="29"/>
        <v>0.13275000000000059</v>
      </c>
      <c r="F123" s="65">
        <f t="shared" si="27"/>
        <v>3.6949999999999998</v>
      </c>
      <c r="G123" s="66">
        <f t="shared" si="22"/>
        <v>0.20250000000000001</v>
      </c>
      <c r="H123" s="66">
        <v>0</v>
      </c>
      <c r="I123" s="66">
        <f t="shared" si="28"/>
        <v>0.20250000000000001</v>
      </c>
      <c r="J123" s="54"/>
      <c r="K123" s="66">
        <v>0</v>
      </c>
      <c r="L123" s="66" t="e">
        <f>#REF!+K123</f>
        <v>#REF!</v>
      </c>
      <c r="M123" s="55">
        <f t="shared" si="23"/>
        <v>93</v>
      </c>
      <c r="N123" s="67">
        <f t="shared" si="24"/>
        <v>40081</v>
      </c>
      <c r="O123" s="57">
        <f t="shared" si="25"/>
        <v>5.6540739438806199E-2</v>
      </c>
      <c r="U123" s="66">
        <v>0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 x14ac:dyDescent="0.25">
      <c r="A124" s="53">
        <f t="shared" si="26"/>
        <v>94</v>
      </c>
      <c r="B124" s="64">
        <f t="shared" si="30"/>
        <v>40118</v>
      </c>
      <c r="C124"/>
      <c r="D124" s="53">
        <f t="shared" si="21"/>
        <v>3.847</v>
      </c>
      <c r="E124" s="159">
        <f t="shared" si="29"/>
        <v>0.13275000000000059</v>
      </c>
      <c r="F124" s="65">
        <f t="shared" si="27"/>
        <v>3.847</v>
      </c>
      <c r="G124" s="66">
        <f t="shared" si="22"/>
        <v>0.20250000000000001</v>
      </c>
      <c r="H124" s="66">
        <v>0</v>
      </c>
      <c r="I124" s="66">
        <f t="shared" si="28"/>
        <v>0.20250000000000001</v>
      </c>
      <c r="J124" s="54"/>
      <c r="K124" s="66">
        <v>0</v>
      </c>
      <c r="L124" s="66" t="e">
        <f>#REF!+K124</f>
        <v>#REF!</v>
      </c>
      <c r="M124" s="55">
        <f t="shared" si="23"/>
        <v>94</v>
      </c>
      <c r="N124" s="67">
        <f t="shared" si="24"/>
        <v>40113</v>
      </c>
      <c r="O124" s="57">
        <f t="shared" si="25"/>
        <v>5.66442378538001E-2</v>
      </c>
      <c r="U124" s="66">
        <v>0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 x14ac:dyDescent="0.25">
      <c r="A125" s="53">
        <f t="shared" si="26"/>
        <v>95</v>
      </c>
      <c r="B125" s="64">
        <f t="shared" si="30"/>
        <v>40148</v>
      </c>
      <c r="C125"/>
      <c r="D125" s="53">
        <f t="shared" si="21"/>
        <v>3.99</v>
      </c>
      <c r="E125" s="159">
        <f t="shared" si="29"/>
        <v>0.13275000000000059</v>
      </c>
      <c r="F125" s="65">
        <f t="shared" si="27"/>
        <v>3.99</v>
      </c>
      <c r="G125" s="66">
        <f t="shared" si="22"/>
        <v>0.20250000000000001</v>
      </c>
      <c r="H125" s="66">
        <v>0</v>
      </c>
      <c r="I125" s="66">
        <f t="shared" si="28"/>
        <v>0.20250000000000001</v>
      </c>
      <c r="J125" s="54"/>
      <c r="K125" s="66">
        <v>0</v>
      </c>
      <c r="L125" s="66" t="e">
        <f>#REF!+K125</f>
        <v>#REF!</v>
      </c>
      <c r="M125" s="55">
        <f t="shared" si="23"/>
        <v>95</v>
      </c>
      <c r="N125" s="67">
        <f t="shared" si="24"/>
        <v>40141</v>
      </c>
      <c r="O125" s="57">
        <f t="shared" si="25"/>
        <v>5.67443976136408E-2</v>
      </c>
      <c r="U125" s="66">
        <v>0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 x14ac:dyDescent="0.25">
      <c r="A126" s="53">
        <f t="shared" si="26"/>
        <v>96</v>
      </c>
      <c r="B126" s="64">
        <f t="shared" si="30"/>
        <v>40179</v>
      </c>
      <c r="C126"/>
      <c r="D126" s="53">
        <f t="shared" si="21"/>
        <v>4.0449999999999999</v>
      </c>
      <c r="E126" s="159">
        <f t="shared" si="29"/>
        <v>0.13275000000000059</v>
      </c>
      <c r="F126" s="65">
        <f t="shared" si="27"/>
        <v>4.0449999999999999</v>
      </c>
      <c r="G126" s="66">
        <f t="shared" si="22"/>
        <v>0.20250000000000001</v>
      </c>
      <c r="H126" s="66">
        <v>0</v>
      </c>
      <c r="I126" s="66">
        <f t="shared" si="28"/>
        <v>0.20250000000000001</v>
      </c>
      <c r="J126" s="54"/>
      <c r="K126" s="66">
        <v>0</v>
      </c>
      <c r="L126" s="66" t="e">
        <f>#REF!+K126</f>
        <v>#REF!</v>
      </c>
      <c r="M126" s="55">
        <f t="shared" si="23"/>
        <v>96</v>
      </c>
      <c r="N126" s="67">
        <f t="shared" si="24"/>
        <v>40175</v>
      </c>
      <c r="O126" s="57">
        <f t="shared" si="25"/>
        <v>5.6847896035649603E-2</v>
      </c>
      <c r="U126" s="66">
        <v>0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 x14ac:dyDescent="0.25">
      <c r="A127" s="53">
        <f t="shared" si="26"/>
        <v>97</v>
      </c>
      <c r="B127" s="64">
        <f t="shared" si="30"/>
        <v>40210</v>
      </c>
      <c r="C127"/>
      <c r="D127" s="53">
        <f t="shared" si="21"/>
        <v>3.96</v>
      </c>
      <c r="E127" s="159">
        <f t="shared" si="29"/>
        <v>0.13275000000000059</v>
      </c>
      <c r="F127" s="65">
        <f t="shared" si="27"/>
        <v>3.96</v>
      </c>
      <c r="G127" s="66">
        <f t="shared" si="22"/>
        <v>0.2</v>
      </c>
      <c r="H127" s="66">
        <v>0</v>
      </c>
      <c r="I127" s="66">
        <f t="shared" si="28"/>
        <v>0.2</v>
      </c>
      <c r="J127" s="54"/>
      <c r="K127" s="66">
        <v>0</v>
      </c>
      <c r="L127" s="66" t="e">
        <f>#REF!+K127</f>
        <v>#REF!</v>
      </c>
      <c r="M127" s="55">
        <f t="shared" ref="M127:M150" si="31">A127</f>
        <v>97</v>
      </c>
      <c r="N127" s="67">
        <f t="shared" ref="N127:N150" si="32">VLOOKUP(B127,expiration,3,FALSE)</f>
        <v>40204</v>
      </c>
      <c r="O127" s="57">
        <f t="shared" si="25"/>
        <v>5.6951394461223E-2</v>
      </c>
      <c r="U127" s="66">
        <v>0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 x14ac:dyDescent="0.25">
      <c r="A128" s="53">
        <f t="shared" si="26"/>
        <v>98</v>
      </c>
      <c r="B128" s="64">
        <f t="shared" si="30"/>
        <v>40238</v>
      </c>
      <c r="C128"/>
      <c r="D128" s="53">
        <f t="shared" si="21"/>
        <v>3.83</v>
      </c>
      <c r="E128" s="159">
        <f t="shared" si="29"/>
        <v>0.13275000000000059</v>
      </c>
      <c r="F128" s="65">
        <f t="shared" si="27"/>
        <v>3.83</v>
      </c>
      <c r="G128" s="66">
        <f t="shared" si="22"/>
        <v>0.19500000000000001</v>
      </c>
      <c r="H128" s="66">
        <v>0</v>
      </c>
      <c r="I128" s="66">
        <f t="shared" si="28"/>
        <v>0.19500000000000001</v>
      </c>
      <c r="J128" s="54"/>
      <c r="K128" s="66">
        <v>0</v>
      </c>
      <c r="L128" s="66" t="e">
        <f>#REF!+K128</f>
        <v>#REF!</v>
      </c>
      <c r="M128" s="55">
        <f t="shared" si="31"/>
        <v>98</v>
      </c>
      <c r="N128" s="67">
        <f t="shared" si="32"/>
        <v>40232</v>
      </c>
      <c r="O128" s="57">
        <f t="shared" si="25"/>
        <v>5.7044876913192197E-2</v>
      </c>
      <c r="U128" s="66">
        <v>0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 x14ac:dyDescent="0.25">
      <c r="A129" s="53">
        <f t="shared" si="26"/>
        <v>99</v>
      </c>
      <c r="B129" s="64">
        <f t="shared" si="30"/>
        <v>40269</v>
      </c>
      <c r="C129"/>
      <c r="D129" s="53">
        <f t="shared" si="21"/>
        <v>3.645</v>
      </c>
      <c r="E129" s="159">
        <f t="shared" si="29"/>
        <v>0.13275000000000059</v>
      </c>
      <c r="F129" s="65">
        <f t="shared" si="27"/>
        <v>3.645</v>
      </c>
      <c r="G129" s="66">
        <f t="shared" si="22"/>
        <v>0.19</v>
      </c>
      <c r="H129" s="66">
        <v>0</v>
      </c>
      <c r="I129" s="66">
        <f t="shared" si="28"/>
        <v>0.19</v>
      </c>
      <c r="J129" s="54"/>
      <c r="K129" s="66">
        <v>0</v>
      </c>
      <c r="L129" s="66" t="e">
        <f>#REF!+K129</f>
        <v>#REF!</v>
      </c>
      <c r="M129" s="55">
        <f t="shared" si="31"/>
        <v>99</v>
      </c>
      <c r="N129" s="67">
        <f t="shared" si="32"/>
        <v>40263</v>
      </c>
      <c r="O129" s="57">
        <f t="shared" si="25"/>
        <v>5.7148375345549098E-2</v>
      </c>
      <c r="U129" s="66">
        <v>0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 x14ac:dyDescent="0.25">
      <c r="A130" s="53">
        <f t="shared" si="26"/>
        <v>100</v>
      </c>
      <c r="B130" s="64">
        <f t="shared" si="30"/>
        <v>40299</v>
      </c>
      <c r="C130"/>
      <c r="D130" s="53">
        <f t="shared" si="21"/>
        <v>3.64</v>
      </c>
      <c r="E130" s="159">
        <f t="shared" si="29"/>
        <v>0.13275000000000059</v>
      </c>
      <c r="F130" s="65">
        <f t="shared" si="27"/>
        <v>3.64</v>
      </c>
      <c r="G130" s="66">
        <f t="shared" si="22"/>
        <v>0.185</v>
      </c>
      <c r="H130" s="66">
        <v>0</v>
      </c>
      <c r="I130" s="66">
        <f t="shared" si="28"/>
        <v>0.185</v>
      </c>
      <c r="J130" s="54"/>
      <c r="K130" s="66">
        <v>0</v>
      </c>
      <c r="L130" s="66" t="e">
        <f>#REF!+K130</f>
        <v>#REF!</v>
      </c>
      <c r="M130" s="55">
        <f t="shared" si="31"/>
        <v>100</v>
      </c>
      <c r="N130" s="67">
        <f t="shared" si="32"/>
        <v>40295</v>
      </c>
      <c r="O130" s="57">
        <f t="shared" si="25"/>
        <v>5.7248535122191899E-2</v>
      </c>
      <c r="U130" s="66">
        <v>0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 x14ac:dyDescent="0.25">
      <c r="A131" s="53">
        <f t="shared" si="26"/>
        <v>101</v>
      </c>
      <c r="B131" s="64">
        <f t="shared" si="30"/>
        <v>40330</v>
      </c>
      <c r="C131"/>
      <c r="D131" s="53">
        <f t="shared" si="21"/>
        <v>3.6749999999999998</v>
      </c>
      <c r="E131" s="159">
        <f t="shared" ref="E131:E150" si="33">N$10</f>
        <v>0.13275000000000059</v>
      </c>
      <c r="F131" s="65">
        <f t="shared" si="27"/>
        <v>3.6749999999999998</v>
      </c>
      <c r="G131" s="66">
        <f t="shared" si="22"/>
        <v>0.185</v>
      </c>
      <c r="H131" s="66">
        <v>0</v>
      </c>
      <c r="I131" s="66">
        <f t="shared" si="28"/>
        <v>0.185</v>
      </c>
      <c r="J131" s="54"/>
      <c r="K131" s="66">
        <v>0</v>
      </c>
      <c r="L131" s="66" t="e">
        <f>#REF!+K131</f>
        <v>#REF!</v>
      </c>
      <c r="M131" s="55">
        <f t="shared" si="31"/>
        <v>101</v>
      </c>
      <c r="N131" s="67">
        <f t="shared" si="32"/>
        <v>40323</v>
      </c>
      <c r="O131" s="57">
        <f t="shared" si="25"/>
        <v>5.7352033561562703E-2</v>
      </c>
      <c r="U131" s="66">
        <v>0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x14ac:dyDescent="0.25">
      <c r="A132" s="53">
        <f t="shared" si="26"/>
        <v>102</v>
      </c>
      <c r="B132" s="64">
        <f t="shared" si="30"/>
        <v>40360</v>
      </c>
      <c r="C132"/>
      <c r="D132" s="53">
        <f t="shared" si="21"/>
        <v>3.7149999999999999</v>
      </c>
      <c r="E132" s="159">
        <f t="shared" si="33"/>
        <v>0.13275000000000059</v>
      </c>
      <c r="F132" s="65">
        <f t="shared" si="27"/>
        <v>3.7149999999999999</v>
      </c>
      <c r="G132" s="66">
        <f t="shared" si="22"/>
        <v>0.185</v>
      </c>
      <c r="H132" s="66">
        <v>0</v>
      </c>
      <c r="I132" s="66">
        <f t="shared" si="28"/>
        <v>0.185</v>
      </c>
      <c r="J132" s="54"/>
      <c r="K132" s="66">
        <v>0</v>
      </c>
      <c r="L132" s="66" t="e">
        <f>#REF!+K132</f>
        <v>#REF!</v>
      </c>
      <c r="M132" s="55">
        <f t="shared" si="31"/>
        <v>102</v>
      </c>
      <c r="N132" s="67">
        <f t="shared" si="32"/>
        <v>40354</v>
      </c>
      <c r="O132" s="57">
        <f t="shared" si="25"/>
        <v>5.7452193344991603E-2</v>
      </c>
      <c r="U132" s="66">
        <v>0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x14ac:dyDescent="0.25">
      <c r="A133" s="53">
        <f t="shared" si="26"/>
        <v>103</v>
      </c>
      <c r="B133" s="64">
        <f t="shared" si="30"/>
        <v>40391</v>
      </c>
      <c r="C133"/>
      <c r="D133" s="53">
        <f t="shared" si="21"/>
        <v>3.7549999999999999</v>
      </c>
      <c r="E133" s="159">
        <f t="shared" si="33"/>
        <v>0.13275000000000059</v>
      </c>
      <c r="F133" s="65">
        <f t="shared" si="27"/>
        <v>3.7549999999999999</v>
      </c>
      <c r="G133" s="66">
        <f t="shared" si="22"/>
        <v>0.185</v>
      </c>
      <c r="H133" s="66">
        <v>0</v>
      </c>
      <c r="I133" s="66">
        <f t="shared" si="28"/>
        <v>0.185</v>
      </c>
      <c r="J133" s="54"/>
      <c r="K133" s="66">
        <v>0</v>
      </c>
      <c r="L133" s="66" t="e">
        <f>#REF!+K133</f>
        <v>#REF!</v>
      </c>
      <c r="M133" s="55">
        <f t="shared" si="31"/>
        <v>103</v>
      </c>
      <c r="N133" s="67">
        <f t="shared" si="32"/>
        <v>40386</v>
      </c>
      <c r="O133" s="57">
        <f t="shared" si="25"/>
        <v>5.7555691791374597E-2</v>
      </c>
      <c r="U133" s="66">
        <v>0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5">
      <c r="A134" s="53">
        <f t="shared" si="26"/>
        <v>104</v>
      </c>
      <c r="B134" s="64">
        <f t="shared" si="30"/>
        <v>40422</v>
      </c>
      <c r="C134"/>
      <c r="D134" s="53">
        <f t="shared" si="21"/>
        <v>3.75</v>
      </c>
      <c r="E134" s="159">
        <f t="shared" si="33"/>
        <v>0.13275000000000059</v>
      </c>
      <c r="F134" s="65">
        <f t="shared" si="27"/>
        <v>3.75</v>
      </c>
      <c r="G134" s="66">
        <f t="shared" si="22"/>
        <v>0.185</v>
      </c>
      <c r="H134" s="66">
        <v>0</v>
      </c>
      <c r="I134" s="66">
        <f t="shared" si="28"/>
        <v>0.185</v>
      </c>
      <c r="J134" s="54"/>
      <c r="K134" s="66">
        <v>0</v>
      </c>
      <c r="L134" s="66" t="e">
        <f>#REF!+K134</f>
        <v>#REF!</v>
      </c>
      <c r="M134" s="55">
        <f t="shared" si="31"/>
        <v>104</v>
      </c>
      <c r="N134" s="67">
        <f t="shared" si="32"/>
        <v>40416</v>
      </c>
      <c r="O134" s="57">
        <f t="shared" si="25"/>
        <v>5.7659190241320601E-2</v>
      </c>
      <c r="U134" s="66">
        <v>0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 x14ac:dyDescent="0.25">
      <c r="A135" s="53">
        <f t="shared" si="26"/>
        <v>105</v>
      </c>
      <c r="B135" s="64">
        <f t="shared" si="30"/>
        <v>40452</v>
      </c>
      <c r="C135"/>
      <c r="D135" s="53">
        <f t="shared" si="21"/>
        <v>3.7749999999999999</v>
      </c>
      <c r="E135" s="159">
        <f t="shared" si="33"/>
        <v>0.13275000000000059</v>
      </c>
      <c r="F135" s="65">
        <f t="shared" si="27"/>
        <v>3.7749999999999999</v>
      </c>
      <c r="G135" s="66">
        <f t="shared" si="22"/>
        <v>0.185</v>
      </c>
      <c r="H135" s="66">
        <v>0</v>
      </c>
      <c r="I135" s="66">
        <f t="shared" si="28"/>
        <v>0.185</v>
      </c>
      <c r="J135" s="54"/>
      <c r="K135" s="66">
        <v>0</v>
      </c>
      <c r="L135" s="66" t="e">
        <f>#REF!+K135</f>
        <v>#REF!</v>
      </c>
      <c r="M135" s="55">
        <f t="shared" si="31"/>
        <v>105</v>
      </c>
      <c r="N135" s="67">
        <f t="shared" si="32"/>
        <v>40448</v>
      </c>
      <c r="O135" s="57">
        <f t="shared" si="25"/>
        <v>5.7759350034984003E-2</v>
      </c>
      <c r="U135" s="66">
        <v>0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 x14ac:dyDescent="0.25">
      <c r="A136" s="53">
        <f t="shared" si="26"/>
        <v>106</v>
      </c>
      <c r="B136" s="64">
        <f t="shared" si="30"/>
        <v>40483</v>
      </c>
      <c r="C136"/>
      <c r="D136" s="53">
        <f t="shared" si="21"/>
        <v>3.927</v>
      </c>
      <c r="E136" s="159">
        <f t="shared" si="33"/>
        <v>0.13275000000000059</v>
      </c>
      <c r="F136" s="65">
        <f t="shared" si="27"/>
        <v>3.927</v>
      </c>
      <c r="G136" s="66">
        <f t="shared" si="22"/>
        <v>0.185</v>
      </c>
      <c r="H136" s="66">
        <v>0</v>
      </c>
      <c r="I136" s="66">
        <f t="shared" si="28"/>
        <v>0.185</v>
      </c>
      <c r="J136" s="54"/>
      <c r="K136" s="66">
        <v>0</v>
      </c>
      <c r="L136" s="66" t="e">
        <f>#REF!+K136</f>
        <v>#REF!</v>
      </c>
      <c r="M136" s="55">
        <f t="shared" si="31"/>
        <v>106</v>
      </c>
      <c r="N136" s="67">
        <f t="shared" si="32"/>
        <v>40477</v>
      </c>
      <c r="O136" s="57">
        <f t="shared" si="25"/>
        <v>5.7862848491941697E-2</v>
      </c>
      <c r="U136" s="66">
        <v>0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 x14ac:dyDescent="0.25">
      <c r="A137" s="53">
        <f t="shared" si="26"/>
        <v>107</v>
      </c>
      <c r="B137" s="64">
        <f t="shared" si="30"/>
        <v>40513</v>
      </c>
      <c r="C137"/>
      <c r="D137" s="53">
        <f t="shared" si="21"/>
        <v>4.07</v>
      </c>
      <c r="E137" s="159">
        <f t="shared" si="33"/>
        <v>0.13275000000000059</v>
      </c>
      <c r="F137" s="65">
        <f t="shared" si="27"/>
        <v>4.07</v>
      </c>
      <c r="G137" s="66">
        <f t="shared" si="22"/>
        <v>0.185</v>
      </c>
      <c r="H137" s="66">
        <v>0</v>
      </c>
      <c r="I137" s="66">
        <f t="shared" si="28"/>
        <v>0.185</v>
      </c>
      <c r="J137" s="54"/>
      <c r="K137" s="66">
        <v>0</v>
      </c>
      <c r="L137" s="66" t="e">
        <f>#REF!+K137</f>
        <v>#REF!</v>
      </c>
      <c r="M137" s="55">
        <f t="shared" si="31"/>
        <v>107</v>
      </c>
      <c r="N137" s="67">
        <f t="shared" si="32"/>
        <v>40506</v>
      </c>
      <c r="O137" s="57">
        <f t="shared" si="25"/>
        <v>5.79630082923899E-2</v>
      </c>
      <c r="U137" s="66">
        <v>0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 x14ac:dyDescent="0.25">
      <c r="A138" s="53">
        <f t="shared" si="26"/>
        <v>108</v>
      </c>
      <c r="B138" s="64">
        <f t="shared" si="30"/>
        <v>40544</v>
      </c>
      <c r="C138"/>
      <c r="D138" s="53">
        <f t="shared" si="21"/>
        <v>4.1275000000000004</v>
      </c>
      <c r="E138" s="159">
        <f t="shared" si="33"/>
        <v>0.13275000000000059</v>
      </c>
      <c r="F138" s="65">
        <f t="shared" si="27"/>
        <v>4.1275000000000004</v>
      </c>
      <c r="G138" s="66">
        <f t="shared" si="22"/>
        <v>0.185</v>
      </c>
      <c r="H138" s="66">
        <v>0</v>
      </c>
      <c r="I138" s="66">
        <f t="shared" si="28"/>
        <v>0.185</v>
      </c>
      <c r="J138" s="54"/>
      <c r="K138" s="66">
        <v>0</v>
      </c>
      <c r="L138" s="66" t="e">
        <f>#REF!+K138</f>
        <v>#REF!</v>
      </c>
      <c r="M138" s="55">
        <f t="shared" si="31"/>
        <v>108</v>
      </c>
      <c r="N138" s="67">
        <f t="shared" si="32"/>
        <v>40539</v>
      </c>
      <c r="O138" s="57">
        <f t="shared" si="25"/>
        <v>5.8066506756358403E-2</v>
      </c>
      <c r="U138" s="66">
        <v>0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 x14ac:dyDescent="0.25">
      <c r="A139" s="53">
        <f t="shared" si="26"/>
        <v>109</v>
      </c>
      <c r="B139" s="64">
        <f t="shared" si="30"/>
        <v>40575</v>
      </c>
      <c r="C139"/>
      <c r="D139" s="53">
        <f t="shared" si="21"/>
        <v>4.0425000000000004</v>
      </c>
      <c r="E139" s="159">
        <f t="shared" si="33"/>
        <v>0.13275000000000059</v>
      </c>
      <c r="F139" s="65">
        <f t="shared" si="27"/>
        <v>4.0425000000000004</v>
      </c>
      <c r="G139" s="66">
        <f t="shared" si="22"/>
        <v>0.185</v>
      </c>
      <c r="H139" s="66">
        <v>0</v>
      </c>
      <c r="I139" s="66">
        <f t="shared" si="28"/>
        <v>0.185</v>
      </c>
      <c r="J139" s="54"/>
      <c r="K139" s="66">
        <v>0</v>
      </c>
      <c r="L139" s="66" t="e">
        <f>#REF!+K139</f>
        <v>#REF!</v>
      </c>
      <c r="M139" s="55">
        <f t="shared" si="31"/>
        <v>109</v>
      </c>
      <c r="N139" s="67">
        <f t="shared" si="32"/>
        <v>40569</v>
      </c>
      <c r="O139" s="57">
        <f t="shared" si="25"/>
        <v>5.8170005223888897E-2</v>
      </c>
      <c r="U139" s="66">
        <v>0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 x14ac:dyDescent="0.25">
      <c r="A140" s="53">
        <f t="shared" si="26"/>
        <v>110</v>
      </c>
      <c r="B140" s="64">
        <f t="shared" si="30"/>
        <v>40603</v>
      </c>
      <c r="C140"/>
      <c r="D140" s="53">
        <f t="shared" si="21"/>
        <v>3.9125000000000001</v>
      </c>
      <c r="E140" s="159">
        <f t="shared" si="33"/>
        <v>0.13275000000000059</v>
      </c>
      <c r="F140" s="65">
        <f t="shared" si="27"/>
        <v>3.9125000000000001</v>
      </c>
      <c r="G140" s="66">
        <f t="shared" si="22"/>
        <v>0.18</v>
      </c>
      <c r="H140" s="66">
        <v>0</v>
      </c>
      <c r="I140" s="66">
        <f t="shared" si="28"/>
        <v>0.18</v>
      </c>
      <c r="J140" s="54"/>
      <c r="K140" s="66">
        <v>0</v>
      </c>
      <c r="L140" s="66" t="e">
        <f>#REF!+K140</f>
        <v>#REF!</v>
      </c>
      <c r="M140" s="55">
        <f t="shared" si="31"/>
        <v>110</v>
      </c>
      <c r="N140" s="67">
        <f t="shared" si="32"/>
        <v>40597</v>
      </c>
      <c r="O140" s="57">
        <f t="shared" si="25"/>
        <v>5.8263487713752699E-2</v>
      </c>
      <c r="U140" s="66">
        <v>0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 spans="1:54" x14ac:dyDescent="0.25">
      <c r="A141" s="53">
        <f t="shared" si="26"/>
        <v>111</v>
      </c>
      <c r="B141" s="64">
        <f t="shared" si="30"/>
        <v>40634</v>
      </c>
      <c r="C141"/>
      <c r="D141" s="53">
        <f t="shared" si="21"/>
        <v>3.7275</v>
      </c>
      <c r="E141" s="159">
        <f t="shared" si="33"/>
        <v>0.13275000000000059</v>
      </c>
      <c r="F141" s="65">
        <f t="shared" si="27"/>
        <v>3.7275</v>
      </c>
      <c r="G141" s="66">
        <f t="shared" si="22"/>
        <v>0.18</v>
      </c>
      <c r="H141" s="66">
        <v>0</v>
      </c>
      <c r="I141" s="66">
        <f t="shared" si="28"/>
        <v>0.18</v>
      </c>
      <c r="J141" s="54"/>
      <c r="K141" s="66">
        <v>0</v>
      </c>
      <c r="L141" s="66" t="e">
        <f>#REF!+K141</f>
        <v>#REF!</v>
      </c>
      <c r="M141" s="55">
        <f t="shared" si="31"/>
        <v>111</v>
      </c>
      <c r="N141" s="67">
        <f t="shared" si="32"/>
        <v>40630</v>
      </c>
      <c r="O141" s="57">
        <f t="shared" si="25"/>
        <v>5.8366986188063602E-2</v>
      </c>
      <c r="U141" s="66">
        <v>0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 spans="1:54" x14ac:dyDescent="0.25">
      <c r="A142" s="53">
        <f t="shared" si="26"/>
        <v>112</v>
      </c>
      <c r="B142" s="64">
        <f t="shared" si="30"/>
        <v>40664</v>
      </c>
      <c r="C142"/>
      <c r="D142" s="53">
        <f t="shared" si="21"/>
        <v>3.7225000000000001</v>
      </c>
      <c r="E142" s="159">
        <f t="shared" si="33"/>
        <v>0.13275000000000059</v>
      </c>
      <c r="F142" s="65">
        <f t="shared" si="27"/>
        <v>3.7225000000000001</v>
      </c>
      <c r="G142" s="66">
        <f t="shared" si="22"/>
        <v>0.18</v>
      </c>
      <c r="H142" s="66">
        <v>0</v>
      </c>
      <c r="I142" s="66">
        <f t="shared" si="28"/>
        <v>0.18</v>
      </c>
      <c r="J142" s="54"/>
      <c r="K142" s="66">
        <v>0</v>
      </c>
      <c r="L142" s="66" t="e">
        <f>#REF!+K142</f>
        <v>#REF!</v>
      </c>
      <c r="M142" s="55">
        <f t="shared" si="31"/>
        <v>112</v>
      </c>
      <c r="N142" s="67">
        <f t="shared" si="32"/>
        <v>40659</v>
      </c>
      <c r="O142" s="57">
        <f t="shared" si="25"/>
        <v>5.84671460053037E-2</v>
      </c>
      <c r="U142" s="66">
        <v>0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 spans="1:54" x14ac:dyDescent="0.25">
      <c r="A143" s="53">
        <f t="shared" si="26"/>
        <v>113</v>
      </c>
      <c r="B143" s="64">
        <f t="shared" si="30"/>
        <v>40695</v>
      </c>
      <c r="C143"/>
      <c r="D143" s="53">
        <f t="shared" si="21"/>
        <v>3.7574999999999998</v>
      </c>
      <c r="E143" s="159">
        <f t="shared" si="33"/>
        <v>0.13275000000000059</v>
      </c>
      <c r="F143" s="65">
        <f t="shared" si="27"/>
        <v>3.7574999999999998</v>
      </c>
      <c r="G143" s="66">
        <f t="shared" si="22"/>
        <v>0.18</v>
      </c>
      <c r="H143" s="66">
        <v>0</v>
      </c>
      <c r="I143" s="66">
        <f t="shared" si="28"/>
        <v>0.18</v>
      </c>
      <c r="J143" s="54"/>
      <c r="K143" s="66">
        <v>0</v>
      </c>
      <c r="L143" s="66" t="e">
        <f>#REF!+K143</f>
        <v>#REF!</v>
      </c>
      <c r="M143" s="55">
        <f t="shared" si="31"/>
        <v>113</v>
      </c>
      <c r="N143" s="67">
        <f t="shared" si="32"/>
        <v>40688</v>
      </c>
      <c r="O143" s="57">
        <f t="shared" si="25"/>
        <v>5.8570644486623601E-2</v>
      </c>
      <c r="U143" s="66">
        <v>0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 x14ac:dyDescent="0.25">
      <c r="A144" s="53">
        <f t="shared" si="26"/>
        <v>114</v>
      </c>
      <c r="B144" s="64">
        <f t="shared" si="30"/>
        <v>40725</v>
      </c>
      <c r="C144"/>
      <c r="D144" s="53">
        <f t="shared" si="21"/>
        <v>3.7974999999999999</v>
      </c>
      <c r="E144" s="159">
        <f t="shared" si="33"/>
        <v>0.13275000000000059</v>
      </c>
      <c r="F144" s="65">
        <f t="shared" si="27"/>
        <v>3.7974999999999999</v>
      </c>
      <c r="G144" s="66">
        <f t="shared" si="22"/>
        <v>0.18</v>
      </c>
      <c r="H144" s="66">
        <v>0</v>
      </c>
      <c r="I144" s="66">
        <f t="shared" si="28"/>
        <v>0.18</v>
      </c>
      <c r="J144" s="54"/>
      <c r="K144" s="66">
        <v>0</v>
      </c>
      <c r="L144" s="66" t="e">
        <f>#REF!+K144</f>
        <v>#REF!</v>
      </c>
      <c r="M144" s="55">
        <f t="shared" si="31"/>
        <v>114</v>
      </c>
      <c r="N144" s="67">
        <f t="shared" si="32"/>
        <v>40721</v>
      </c>
      <c r="O144" s="57">
        <f t="shared" si="25"/>
        <v>5.86708043106468E-2</v>
      </c>
      <c r="U144" s="66">
        <v>0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1:54" x14ac:dyDescent="0.25">
      <c r="A145" s="53">
        <f t="shared" si="26"/>
        <v>115</v>
      </c>
      <c r="B145" s="64">
        <f t="shared" si="30"/>
        <v>40756</v>
      </c>
      <c r="C145"/>
      <c r="D145" s="53">
        <f t="shared" si="21"/>
        <v>3.8374999999999999</v>
      </c>
      <c r="E145" s="159">
        <f t="shared" si="33"/>
        <v>0.13275000000000059</v>
      </c>
      <c r="F145" s="65">
        <f t="shared" si="27"/>
        <v>3.8374999999999999</v>
      </c>
      <c r="G145" s="66">
        <f t="shared" si="22"/>
        <v>0.18</v>
      </c>
      <c r="H145" s="66">
        <v>0</v>
      </c>
      <c r="I145" s="66">
        <f t="shared" si="28"/>
        <v>0.18</v>
      </c>
      <c r="J145" s="54"/>
      <c r="K145" s="66">
        <v>0</v>
      </c>
      <c r="L145" s="66" t="e">
        <f>#REF!+K145</f>
        <v>#REF!</v>
      </c>
      <c r="M145" s="55">
        <f t="shared" si="31"/>
        <v>115</v>
      </c>
      <c r="N145" s="67">
        <f t="shared" si="32"/>
        <v>40750</v>
      </c>
      <c r="O145" s="57">
        <f t="shared" si="25"/>
        <v>5.8774302798974401E-2</v>
      </c>
      <c r="U145" s="66">
        <v>0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 x14ac:dyDescent="0.25">
      <c r="A146" s="53">
        <f t="shared" si="26"/>
        <v>116</v>
      </c>
      <c r="B146" s="64">
        <f t="shared" si="30"/>
        <v>40787</v>
      </c>
      <c r="C146"/>
      <c r="D146" s="53">
        <f t="shared" si="21"/>
        <v>3.8325</v>
      </c>
      <c r="E146" s="159">
        <f t="shared" si="33"/>
        <v>0.13275000000000059</v>
      </c>
      <c r="F146" s="65">
        <f t="shared" si="27"/>
        <v>3.8325</v>
      </c>
      <c r="G146" s="66">
        <f t="shared" si="22"/>
        <v>0.18</v>
      </c>
      <c r="H146" s="66">
        <v>0</v>
      </c>
      <c r="I146" s="66">
        <f t="shared" si="28"/>
        <v>0.18</v>
      </c>
      <c r="J146" s="54"/>
      <c r="K146" s="66">
        <v>0</v>
      </c>
      <c r="L146" s="66" t="e">
        <f>#REF!+K146</f>
        <v>#REF!</v>
      </c>
      <c r="M146" s="55">
        <f t="shared" si="31"/>
        <v>116</v>
      </c>
      <c r="N146" s="67">
        <f t="shared" si="32"/>
        <v>40781</v>
      </c>
      <c r="O146" s="57">
        <f t="shared" si="25"/>
        <v>5.8877801290863702E-2</v>
      </c>
      <c r="U146" s="66">
        <v>0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 spans="1:54" x14ac:dyDescent="0.25">
      <c r="A147" s="53">
        <f t="shared" si="26"/>
        <v>117</v>
      </c>
      <c r="B147" s="64">
        <f t="shared" si="30"/>
        <v>40817</v>
      </c>
      <c r="C147"/>
      <c r="D147" s="53">
        <f t="shared" si="21"/>
        <v>3.8574999999999999</v>
      </c>
      <c r="E147" s="159">
        <f t="shared" si="33"/>
        <v>0.13275000000000059</v>
      </c>
      <c r="F147" s="65">
        <f t="shared" si="27"/>
        <v>3.8574999999999999</v>
      </c>
      <c r="G147" s="66">
        <f t="shared" si="22"/>
        <v>0.18</v>
      </c>
      <c r="H147" s="66">
        <v>0</v>
      </c>
      <c r="I147" s="66">
        <f t="shared" si="28"/>
        <v>0.18</v>
      </c>
      <c r="J147" s="54"/>
      <c r="K147" s="66">
        <v>0</v>
      </c>
      <c r="L147" s="66" t="e">
        <f>#REF!+K147</f>
        <v>#REF!</v>
      </c>
      <c r="M147" s="55">
        <f t="shared" si="31"/>
        <v>117</v>
      </c>
      <c r="N147" s="67">
        <f t="shared" si="32"/>
        <v>40813</v>
      </c>
      <c r="O147" s="57">
        <f t="shared" si="25"/>
        <v>5.8977961125114199E-2</v>
      </c>
      <c r="U147" s="66">
        <v>0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1:54" x14ac:dyDescent="0.25">
      <c r="A148" s="53">
        <f t="shared" si="26"/>
        <v>118</v>
      </c>
      <c r="B148" s="64">
        <f t="shared" si="30"/>
        <v>40848</v>
      </c>
      <c r="C148"/>
      <c r="D148" s="53">
        <f t="shared" si="21"/>
        <v>4.0095000000000001</v>
      </c>
      <c r="E148" s="159">
        <f t="shared" si="33"/>
        <v>0.13275000000000059</v>
      </c>
      <c r="F148" s="65">
        <f t="shared" si="27"/>
        <v>4.0095000000000001</v>
      </c>
      <c r="G148" s="66">
        <f t="shared" si="22"/>
        <v>0.18</v>
      </c>
      <c r="H148" s="66">
        <v>0</v>
      </c>
      <c r="I148" s="66">
        <f t="shared" si="28"/>
        <v>0.18</v>
      </c>
      <c r="J148" s="54"/>
      <c r="K148" s="66">
        <v>0</v>
      </c>
      <c r="L148" s="66" t="e">
        <f>#REF!+K148</f>
        <v>#REF!</v>
      </c>
      <c r="M148" s="55">
        <f t="shared" si="31"/>
        <v>118</v>
      </c>
      <c r="N148" s="67">
        <f t="shared" si="32"/>
        <v>40842</v>
      </c>
      <c r="O148" s="57">
        <f t="shared" si="25"/>
        <v>5.9081459624010797E-2</v>
      </c>
      <c r="U148" s="66">
        <v>0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 spans="1:54" x14ac:dyDescent="0.25">
      <c r="A149" s="53">
        <f t="shared" si="26"/>
        <v>119</v>
      </c>
      <c r="B149" s="64">
        <f t="shared" si="30"/>
        <v>40878</v>
      </c>
      <c r="C149"/>
      <c r="D149" s="53">
        <f t="shared" si="21"/>
        <v>4.1524999999999999</v>
      </c>
      <c r="E149" s="159">
        <f t="shared" si="33"/>
        <v>0.13275000000000059</v>
      </c>
      <c r="F149" s="65">
        <f t="shared" si="27"/>
        <v>4.1524999999999999</v>
      </c>
      <c r="G149" s="66">
        <f t="shared" si="22"/>
        <v>0.18</v>
      </c>
      <c r="H149" s="66">
        <v>0</v>
      </c>
      <c r="I149" s="66">
        <f t="shared" si="28"/>
        <v>0.18</v>
      </c>
      <c r="J149" s="54"/>
      <c r="K149" s="66">
        <v>0</v>
      </c>
      <c r="L149" s="66" t="e">
        <f>#REF!+K149</f>
        <v>#REF!</v>
      </c>
      <c r="M149" s="55">
        <f t="shared" si="31"/>
        <v>119</v>
      </c>
      <c r="N149" s="67">
        <f t="shared" si="32"/>
        <v>40872</v>
      </c>
      <c r="O149" s="57">
        <f t="shared" si="25"/>
        <v>5.9181619465042502E-2</v>
      </c>
      <c r="U149" s="66">
        <v>0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 spans="1:54" x14ac:dyDescent="0.25">
      <c r="A150" s="53">
        <f t="shared" si="26"/>
        <v>120</v>
      </c>
      <c r="B150" s="64">
        <f t="shared" si="30"/>
        <v>40909</v>
      </c>
      <c r="C150"/>
      <c r="D150" s="53">
        <f t="shared" si="21"/>
        <v>4.2125000000000004</v>
      </c>
      <c r="E150" s="159">
        <f t="shared" si="33"/>
        <v>0.13275000000000059</v>
      </c>
      <c r="F150" s="65">
        <f t="shared" si="27"/>
        <v>4.2125000000000004</v>
      </c>
      <c r="G150" s="66">
        <f t="shared" si="22"/>
        <v>0.18</v>
      </c>
      <c r="H150" s="66">
        <v>0</v>
      </c>
      <c r="I150" s="66">
        <f t="shared" si="28"/>
        <v>0.18</v>
      </c>
      <c r="J150" s="54"/>
      <c r="K150" s="66">
        <v>0</v>
      </c>
      <c r="L150" s="66" t="e">
        <f>#REF!+K150</f>
        <v>#REF!</v>
      </c>
      <c r="M150" s="55">
        <f t="shared" si="31"/>
        <v>120</v>
      </c>
      <c r="N150" s="67">
        <f t="shared" si="32"/>
        <v>40904</v>
      </c>
      <c r="O150" s="57">
        <f t="shared" si="25"/>
        <v>5.9250470698565497E-2</v>
      </c>
      <c r="U150" s="66">
        <v>0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 x14ac:dyDescent="0.25">
      <c r="A151"/>
      <c r="B151"/>
      <c r="C151"/>
      <c r="D151"/>
      <c r="E151"/>
      <c r="F151"/>
      <c r="G151"/>
      <c r="H151" s="66">
        <v>0</v>
      </c>
      <c r="I151"/>
      <c r="J151"/>
      <c r="K151" s="66">
        <v>0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 spans="1:54" x14ac:dyDescent="0.25">
      <c r="A152"/>
      <c r="B152"/>
      <c r="C152"/>
      <c r="D152"/>
      <c r="E152"/>
      <c r="F152"/>
      <c r="G152"/>
      <c r="H152" s="66">
        <v>0</v>
      </c>
      <c r="I152"/>
      <c r="J152"/>
      <c r="K152" s="66">
        <v>0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 spans="1:54" x14ac:dyDescent="0.25">
      <c r="A153"/>
      <c r="B153"/>
      <c r="C153"/>
      <c r="D153"/>
      <c r="E153"/>
      <c r="F153"/>
      <c r="G153"/>
      <c r="H153" s="66">
        <v>0</v>
      </c>
      <c r="I153"/>
      <c r="J153"/>
      <c r="K153" s="66">
        <v>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 spans="1:54" x14ac:dyDescent="0.25">
      <c r="A154"/>
      <c r="B154"/>
      <c r="C154"/>
      <c r="D154"/>
      <c r="E154"/>
      <c r="F154"/>
      <c r="G154"/>
      <c r="H154" s="66">
        <v>0</v>
      </c>
      <c r="I154"/>
      <c r="J154"/>
      <c r="K154" s="66">
        <v>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 spans="1:54" x14ac:dyDescent="0.25">
      <c r="A155"/>
      <c r="B155"/>
      <c r="C155"/>
      <c r="D155"/>
      <c r="E155"/>
      <c r="F155"/>
      <c r="G155"/>
      <c r="H155" s="66">
        <v>0</v>
      </c>
      <c r="I155"/>
      <c r="J155"/>
      <c r="K155" s="66">
        <v>0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 spans="1:54" x14ac:dyDescent="0.25">
      <c r="A156"/>
      <c r="B156"/>
      <c r="C156"/>
      <c r="D156"/>
      <c r="E156"/>
      <c r="F156"/>
      <c r="G156"/>
      <c r="H156" s="66">
        <v>0</v>
      </c>
      <c r="I156"/>
      <c r="J156"/>
      <c r="K156" s="66">
        <v>0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 spans="1:54" x14ac:dyDescent="0.25">
      <c r="A157"/>
      <c r="B157"/>
      <c r="C157"/>
      <c r="D157"/>
      <c r="E157"/>
      <c r="F157"/>
      <c r="G157"/>
      <c r="H157" s="66">
        <v>0</v>
      </c>
      <c r="I157"/>
      <c r="J157"/>
      <c r="K157" s="66">
        <v>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1:54" x14ac:dyDescent="0.25">
      <c r="A158"/>
      <c r="B158"/>
      <c r="C158"/>
      <c r="D158"/>
      <c r="E158"/>
      <c r="F158"/>
      <c r="G158"/>
      <c r="H158" s="66">
        <v>0</v>
      </c>
      <c r="I158"/>
      <c r="J158"/>
      <c r="K158" s="66">
        <v>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 spans="1:54" x14ac:dyDescent="0.25">
      <c r="A159"/>
      <c r="B159"/>
      <c r="C159"/>
      <c r="D159"/>
      <c r="E159"/>
      <c r="F159"/>
      <c r="G159"/>
      <c r="H159" s="66">
        <v>0</v>
      </c>
      <c r="I159"/>
      <c r="J159"/>
      <c r="K159" s="66">
        <v>0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 spans="1:54" x14ac:dyDescent="0.25">
      <c r="A160"/>
      <c r="B160"/>
      <c r="C160"/>
      <c r="D160"/>
      <c r="E160"/>
      <c r="F160"/>
      <c r="G160"/>
      <c r="H160" s="66">
        <v>0</v>
      </c>
      <c r="I160"/>
      <c r="J160"/>
      <c r="K160" s="66">
        <v>0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1:54" x14ac:dyDescent="0.25">
      <c r="A161"/>
      <c r="B161"/>
      <c r="C161"/>
      <c r="D161"/>
      <c r="E161"/>
      <c r="F161"/>
      <c r="G161"/>
      <c r="H161" s="66">
        <v>0</v>
      </c>
      <c r="I161"/>
      <c r="J161"/>
      <c r="K161" s="66">
        <v>0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 spans="1:54" x14ac:dyDescent="0.25">
      <c r="A162"/>
      <c r="B162"/>
      <c r="C162"/>
      <c r="D162"/>
      <c r="E162"/>
      <c r="F162"/>
      <c r="G162"/>
      <c r="H162" s="66">
        <v>0</v>
      </c>
      <c r="I162"/>
      <c r="J162"/>
      <c r="K162" s="66">
        <v>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 spans="1:54" x14ac:dyDescent="0.25">
      <c r="A163"/>
      <c r="B163"/>
      <c r="C163"/>
      <c r="D163"/>
      <c r="E163"/>
      <c r="F163"/>
      <c r="G163"/>
      <c r="H163" s="66">
        <v>0</v>
      </c>
      <c r="I163"/>
      <c r="J163"/>
      <c r="K163" s="66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 spans="1:54" x14ac:dyDescent="0.25">
      <c r="A164"/>
      <c r="B164"/>
      <c r="C164"/>
      <c r="D164"/>
      <c r="E164"/>
      <c r="F164"/>
      <c r="G164"/>
      <c r="H164" s="66">
        <v>0</v>
      </c>
      <c r="I164"/>
      <c r="J164"/>
      <c r="K164" s="66">
        <v>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 spans="1:54" x14ac:dyDescent="0.25">
      <c r="A165"/>
      <c r="B165"/>
      <c r="C165"/>
      <c r="D165"/>
      <c r="E165"/>
      <c r="F165"/>
      <c r="G165"/>
      <c r="H165" s="66">
        <v>0</v>
      </c>
      <c r="I165"/>
      <c r="J165"/>
      <c r="K165" s="66">
        <v>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 spans="1:54" x14ac:dyDescent="0.25">
      <c r="A166"/>
      <c r="B166"/>
      <c r="C166"/>
      <c r="D166"/>
      <c r="E166"/>
      <c r="F166"/>
      <c r="G166"/>
      <c r="H166" s="66">
        <v>0</v>
      </c>
      <c r="I166"/>
      <c r="J166"/>
      <c r="K166" s="66">
        <v>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 spans="1:54" x14ac:dyDescent="0.25">
      <c r="A167"/>
      <c r="B167"/>
      <c r="C167"/>
      <c r="D167"/>
      <c r="E167"/>
      <c r="F167"/>
      <c r="G167"/>
      <c r="H167" s="66">
        <v>0</v>
      </c>
      <c r="I167"/>
      <c r="J167"/>
      <c r="K167" s="66">
        <v>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 spans="1:54" x14ac:dyDescent="0.25">
      <c r="A168"/>
      <c r="B168"/>
      <c r="C168"/>
      <c r="D168"/>
      <c r="E168"/>
      <c r="F168"/>
      <c r="G168"/>
      <c r="H168" s="66">
        <v>0</v>
      </c>
      <c r="I168"/>
      <c r="J168"/>
      <c r="K168" s="66">
        <v>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 spans="1:54" x14ac:dyDescent="0.25">
      <c r="A169"/>
      <c r="B169"/>
      <c r="C169"/>
      <c r="D169"/>
      <c r="E169"/>
      <c r="F169"/>
      <c r="G169"/>
      <c r="H169" s="66">
        <v>0</v>
      </c>
      <c r="I169"/>
      <c r="J169"/>
      <c r="K169" s="66">
        <v>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 spans="1:54" x14ac:dyDescent="0.25">
      <c r="A170"/>
      <c r="B170"/>
      <c r="C170"/>
      <c r="D170"/>
      <c r="E170"/>
      <c r="F170"/>
      <c r="G170"/>
      <c r="H170" s="66">
        <v>0</v>
      </c>
      <c r="I170"/>
      <c r="J170"/>
      <c r="K170" s="66">
        <v>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 spans="1:54" x14ac:dyDescent="0.25">
      <c r="A171"/>
      <c r="B171"/>
      <c r="C171"/>
      <c r="D171"/>
      <c r="E171"/>
      <c r="F171"/>
      <c r="G171"/>
      <c r="H171" s="66">
        <v>0</v>
      </c>
      <c r="I171"/>
      <c r="J171"/>
      <c r="K171" s="66">
        <v>0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 spans="1:54" x14ac:dyDescent="0.25">
      <c r="A172"/>
      <c r="B172"/>
      <c r="C172"/>
      <c r="D172"/>
      <c r="E172"/>
      <c r="F172"/>
      <c r="G172"/>
      <c r="H172" s="66">
        <v>0</v>
      </c>
      <c r="I172"/>
      <c r="J172"/>
      <c r="K172" s="66">
        <v>0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 spans="1:54" x14ac:dyDescent="0.25">
      <c r="A173"/>
      <c r="B173"/>
      <c r="C173"/>
      <c r="D173"/>
      <c r="E173"/>
      <c r="F173"/>
      <c r="G173"/>
      <c r="H173" s="66">
        <v>0</v>
      </c>
      <c r="I173"/>
      <c r="J173"/>
      <c r="K173" s="66">
        <v>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 spans="1:54" x14ac:dyDescent="0.25">
      <c r="A174"/>
      <c r="B174"/>
      <c r="C174"/>
      <c r="D174"/>
      <c r="E174"/>
      <c r="F174"/>
      <c r="G174"/>
      <c r="H174" s="66">
        <v>0</v>
      </c>
      <c r="I174"/>
      <c r="J174"/>
      <c r="K174" s="66">
        <v>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 spans="1:54" x14ac:dyDescent="0.25">
      <c r="A175"/>
      <c r="B175"/>
      <c r="C175"/>
      <c r="D175"/>
      <c r="E175"/>
      <c r="F175"/>
      <c r="G175"/>
      <c r="H175" s="66">
        <v>0</v>
      </c>
      <c r="I175"/>
      <c r="J175"/>
      <c r="K175" s="66">
        <v>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 spans="1:54" x14ac:dyDescent="0.25">
      <c r="A176"/>
      <c r="B176"/>
      <c r="C176"/>
      <c r="D176"/>
      <c r="E176"/>
      <c r="F176"/>
      <c r="G176"/>
      <c r="H176" s="66">
        <v>0</v>
      </c>
      <c r="I176"/>
      <c r="J176"/>
      <c r="K176" s="66">
        <v>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 spans="1:54" x14ac:dyDescent="0.25">
      <c r="A177"/>
      <c r="B177"/>
      <c r="C177"/>
      <c r="D177"/>
      <c r="E177"/>
      <c r="F177"/>
      <c r="G177"/>
      <c r="H177" s="66">
        <v>0</v>
      </c>
      <c r="I177"/>
      <c r="J177"/>
      <c r="K177" s="66">
        <v>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 spans="1:54" x14ac:dyDescent="0.25">
      <c r="A178"/>
      <c r="B178"/>
      <c r="C178"/>
      <c r="D178"/>
      <c r="E178"/>
      <c r="F178"/>
      <c r="G178"/>
      <c r="H178" s="66">
        <v>0</v>
      </c>
      <c r="I178"/>
      <c r="J178"/>
      <c r="K178" s="66">
        <v>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 spans="1:54" x14ac:dyDescent="0.25">
      <c r="A179"/>
      <c r="B179"/>
      <c r="C179"/>
      <c r="D179"/>
      <c r="E179"/>
      <c r="F179"/>
      <c r="G179"/>
      <c r="H179" s="66">
        <v>0</v>
      </c>
      <c r="I179"/>
      <c r="J179"/>
      <c r="K179" s="66">
        <v>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 spans="1:54" x14ac:dyDescent="0.25">
      <c r="A180"/>
      <c r="B180"/>
      <c r="C180"/>
      <c r="D180"/>
      <c r="E180"/>
      <c r="F180"/>
      <c r="G180"/>
      <c r="H180" s="66">
        <v>0</v>
      </c>
      <c r="I180"/>
      <c r="J180"/>
      <c r="K180" s="66">
        <v>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 spans="1:54" x14ac:dyDescent="0.25">
      <c r="A181"/>
      <c r="B181"/>
      <c r="C181"/>
      <c r="D181"/>
      <c r="E181"/>
      <c r="F181"/>
      <c r="G181"/>
      <c r="H181" s="66">
        <v>0</v>
      </c>
      <c r="I181"/>
      <c r="J181"/>
      <c r="K181" s="66">
        <v>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 spans="1:54" x14ac:dyDescent="0.25">
      <c r="A182"/>
      <c r="B182"/>
      <c r="C182"/>
      <c r="D182"/>
      <c r="E182"/>
      <c r="F182"/>
      <c r="G182"/>
      <c r="H182" s="66">
        <v>0</v>
      </c>
      <c r="I182"/>
      <c r="J182"/>
      <c r="K182" s="66">
        <v>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 spans="1:54" x14ac:dyDescent="0.25">
      <c r="A183"/>
      <c r="B183"/>
      <c r="C183"/>
      <c r="D183"/>
      <c r="E183"/>
      <c r="F183"/>
      <c r="G183"/>
      <c r="H183" s="66">
        <v>0</v>
      </c>
      <c r="I183"/>
      <c r="J183"/>
      <c r="K183" s="66">
        <v>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 spans="1:54" x14ac:dyDescent="0.25">
      <c r="A184"/>
      <c r="B184"/>
      <c r="C184"/>
      <c r="D184"/>
      <c r="E184"/>
      <c r="F184"/>
      <c r="G184"/>
      <c r="H184" s="66">
        <v>0</v>
      </c>
      <c r="I184"/>
      <c r="J184"/>
      <c r="K184" s="66">
        <v>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 spans="1:54" x14ac:dyDescent="0.25">
      <c r="A185"/>
      <c r="B185"/>
      <c r="C185"/>
      <c r="D185"/>
      <c r="E185"/>
      <c r="F185"/>
      <c r="G185"/>
      <c r="H185" s="66">
        <v>0</v>
      </c>
      <c r="I185"/>
      <c r="J185"/>
      <c r="K185" s="66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 spans="1:54" x14ac:dyDescent="0.25">
      <c r="A186"/>
      <c r="B186"/>
      <c r="C186"/>
      <c r="D186"/>
      <c r="E186"/>
      <c r="F186"/>
      <c r="G186"/>
      <c r="H186" s="66">
        <v>0</v>
      </c>
      <c r="I186"/>
      <c r="J186"/>
      <c r="K186" s="66">
        <v>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 spans="1:54" x14ac:dyDescent="0.25">
      <c r="A187"/>
      <c r="B187"/>
      <c r="C187"/>
      <c r="D187"/>
      <c r="E187"/>
      <c r="F187"/>
      <c r="G187"/>
      <c r="H187" s="66">
        <v>0</v>
      </c>
      <c r="I187"/>
      <c r="J187"/>
      <c r="K187" s="66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 spans="1:54" x14ac:dyDescent="0.25">
      <c r="A188"/>
      <c r="B188"/>
      <c r="C188"/>
      <c r="D188"/>
      <c r="E188"/>
      <c r="F188"/>
      <c r="G188"/>
      <c r="H188" s="66">
        <v>0</v>
      </c>
      <c r="I188"/>
      <c r="J188"/>
      <c r="K188" s="66">
        <v>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 spans="1:54" x14ac:dyDescent="0.25">
      <c r="A189"/>
      <c r="B189"/>
      <c r="C189"/>
      <c r="D189"/>
      <c r="E189"/>
      <c r="F189"/>
      <c r="G189"/>
      <c r="H189" s="66">
        <v>0</v>
      </c>
      <c r="I189"/>
      <c r="J189"/>
      <c r="K189" s="66">
        <v>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 spans="1:54" x14ac:dyDescent="0.25">
      <c r="A190"/>
      <c r="B190"/>
      <c r="C190"/>
      <c r="D190"/>
      <c r="E190"/>
      <c r="F190"/>
      <c r="G190"/>
      <c r="H190" s="66">
        <v>0</v>
      </c>
      <c r="I190"/>
      <c r="J190"/>
      <c r="K190" s="66">
        <v>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 spans="1:54" x14ac:dyDescent="0.25">
      <c r="A191"/>
      <c r="B191"/>
      <c r="C191"/>
      <c r="D191"/>
      <c r="E191"/>
      <c r="F191"/>
      <c r="G191"/>
      <c r="H191" s="66">
        <v>0</v>
      </c>
      <c r="I191"/>
      <c r="J191"/>
      <c r="K191" s="66">
        <v>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 spans="1:54" x14ac:dyDescent="0.25">
      <c r="A192"/>
      <c r="B192"/>
      <c r="C192"/>
      <c r="D192"/>
      <c r="E192"/>
      <c r="F192"/>
      <c r="G192"/>
      <c r="H192" s="66">
        <v>0</v>
      </c>
      <c r="I192"/>
      <c r="J192"/>
      <c r="K192" s="66">
        <v>0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 spans="1:54" x14ac:dyDescent="0.25">
      <c r="A193"/>
      <c r="B193"/>
      <c r="C193"/>
      <c r="D193"/>
      <c r="E193"/>
      <c r="F193"/>
      <c r="G193"/>
      <c r="H193" s="66">
        <v>0</v>
      </c>
      <c r="I193"/>
      <c r="J193"/>
      <c r="K193" s="66">
        <v>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 spans="1:54" x14ac:dyDescent="0.25">
      <c r="A194"/>
      <c r="B194"/>
      <c r="C194"/>
      <c r="D194"/>
      <c r="E194"/>
      <c r="F194"/>
      <c r="G194"/>
      <c r="H194" s="66">
        <v>0</v>
      </c>
      <c r="I194"/>
      <c r="J194"/>
      <c r="K194" s="66">
        <v>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 spans="1:54" x14ac:dyDescent="0.25">
      <c r="A195"/>
      <c r="B195"/>
      <c r="C195"/>
      <c r="D195"/>
      <c r="E195"/>
      <c r="F195"/>
      <c r="G195"/>
      <c r="H195" s="66">
        <v>0</v>
      </c>
      <c r="I195"/>
      <c r="J195"/>
      <c r="K195" s="66">
        <v>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 spans="1:54" x14ac:dyDescent="0.25">
      <c r="A196"/>
      <c r="B196"/>
      <c r="C196"/>
      <c r="D196"/>
      <c r="E196"/>
      <c r="F196"/>
      <c r="G196"/>
      <c r="H196" s="66">
        <v>0</v>
      </c>
      <c r="I196"/>
      <c r="J196"/>
      <c r="K196" s="66">
        <v>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 spans="1:54" x14ac:dyDescent="0.25">
      <c r="A197"/>
      <c r="B197"/>
      <c r="C197"/>
      <c r="D197"/>
      <c r="E197"/>
      <c r="F197"/>
      <c r="G197"/>
      <c r="H197" s="66">
        <v>0</v>
      </c>
      <c r="I197"/>
      <c r="J197"/>
      <c r="K197" s="66">
        <v>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 spans="1:54" x14ac:dyDescent="0.25">
      <c r="A198"/>
      <c r="B198"/>
      <c r="C198"/>
      <c r="D198"/>
      <c r="E198"/>
      <c r="F198"/>
      <c r="G198"/>
      <c r="H198" s="66">
        <v>0</v>
      </c>
      <c r="I198"/>
      <c r="J198"/>
      <c r="K198" s="66">
        <v>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 spans="1:54" x14ac:dyDescent="0.25">
      <c r="A199"/>
      <c r="B199"/>
      <c r="C199"/>
      <c r="D199"/>
      <c r="E199"/>
      <c r="F199"/>
      <c r="G199"/>
      <c r="H199" s="66">
        <v>0</v>
      </c>
      <c r="I199"/>
      <c r="J199"/>
      <c r="K199" s="66">
        <v>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 spans="1:54" x14ac:dyDescent="0.25">
      <c r="A200"/>
      <c r="B200"/>
      <c r="C200"/>
      <c r="D200"/>
      <c r="E200"/>
      <c r="F200"/>
      <c r="G200"/>
      <c r="H200" s="66">
        <v>0</v>
      </c>
      <c r="I200"/>
      <c r="J200"/>
      <c r="K200" s="66">
        <v>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 spans="1:54" x14ac:dyDescent="0.25">
      <c r="A201"/>
      <c r="B201"/>
      <c r="C201"/>
      <c r="D201"/>
      <c r="E201"/>
      <c r="F201"/>
      <c r="G201"/>
      <c r="H201" s="66">
        <v>0</v>
      </c>
      <c r="I201"/>
      <c r="J201"/>
      <c r="K201" s="66">
        <v>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 spans="1:54" x14ac:dyDescent="0.25">
      <c r="A202"/>
      <c r="B202"/>
      <c r="C202"/>
      <c r="D202"/>
      <c r="E202"/>
      <c r="F202"/>
      <c r="G202"/>
      <c r="H202" s="66">
        <v>0</v>
      </c>
      <c r="I202"/>
      <c r="J202"/>
      <c r="K202" s="66">
        <v>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 spans="1:54" x14ac:dyDescent="0.25">
      <c r="A203"/>
      <c r="B203"/>
      <c r="C203"/>
      <c r="D203"/>
      <c r="E203"/>
      <c r="F203"/>
      <c r="G203"/>
      <c r="H203" s="66">
        <v>0</v>
      </c>
      <c r="I203"/>
      <c r="J203"/>
      <c r="K203" s="66">
        <v>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 spans="1:54" x14ac:dyDescent="0.25">
      <c r="A204"/>
      <c r="B204"/>
      <c r="C204"/>
      <c r="D204"/>
      <c r="E204"/>
      <c r="F204"/>
      <c r="G204"/>
      <c r="H204" s="66">
        <v>0</v>
      </c>
      <c r="I204"/>
      <c r="J204"/>
      <c r="K204" s="66">
        <v>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 spans="1:54" x14ac:dyDescent="0.25">
      <c r="A205"/>
      <c r="B205"/>
      <c r="C205"/>
      <c r="D205"/>
      <c r="E205"/>
      <c r="F205"/>
      <c r="G205"/>
      <c r="H205" s="66">
        <v>0</v>
      </c>
      <c r="I205"/>
      <c r="J205"/>
      <c r="K205" s="66">
        <v>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 spans="1:54" x14ac:dyDescent="0.25">
      <c r="A206"/>
      <c r="B206"/>
      <c r="C206"/>
      <c r="D206"/>
      <c r="E206"/>
      <c r="F206"/>
      <c r="G206"/>
      <c r="H206" s="66">
        <v>0</v>
      </c>
      <c r="I206"/>
      <c r="J206"/>
      <c r="K206" s="66">
        <v>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 spans="1:54" x14ac:dyDescent="0.25">
      <c r="A207"/>
      <c r="B207"/>
      <c r="C207"/>
      <c r="D207"/>
      <c r="E207"/>
      <c r="F207"/>
      <c r="G207"/>
      <c r="H207" s="66">
        <v>0</v>
      </c>
      <c r="I207"/>
      <c r="J207"/>
      <c r="K207" s="66">
        <v>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 spans="1:54" x14ac:dyDescent="0.25">
      <c r="A208"/>
      <c r="B208"/>
      <c r="C208"/>
      <c r="D208"/>
      <c r="E208"/>
      <c r="F208"/>
      <c r="G208"/>
      <c r="H208" s="66">
        <v>0</v>
      </c>
      <c r="I208"/>
      <c r="J208"/>
      <c r="K208" s="66">
        <v>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 spans="1:54" x14ac:dyDescent="0.25">
      <c r="A209"/>
      <c r="B209"/>
      <c r="C209"/>
      <c r="D209"/>
      <c r="E209"/>
      <c r="F209"/>
      <c r="G209"/>
      <c r="H209" s="66">
        <v>0</v>
      </c>
      <c r="I209"/>
      <c r="J209"/>
      <c r="K209" s="66">
        <v>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 spans="1:54" x14ac:dyDescent="0.25">
      <c r="A210"/>
      <c r="B210"/>
      <c r="C210"/>
      <c r="D210"/>
      <c r="E210"/>
      <c r="F210"/>
      <c r="G210"/>
      <c r="H210" s="66">
        <v>0</v>
      </c>
      <c r="I210"/>
      <c r="J210"/>
      <c r="K210" s="66">
        <v>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 spans="1:54" x14ac:dyDescent="0.25">
      <c r="A211"/>
      <c r="B211"/>
      <c r="C211"/>
      <c r="D211"/>
      <c r="E211"/>
      <c r="F211"/>
      <c r="G211"/>
      <c r="H211" s="66">
        <v>0</v>
      </c>
      <c r="I211"/>
      <c r="J211"/>
      <c r="K211" s="66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 spans="1:54" x14ac:dyDescent="0.25">
      <c r="A212"/>
      <c r="B212"/>
      <c r="C212"/>
      <c r="D212"/>
      <c r="E212"/>
      <c r="F212"/>
      <c r="G212"/>
      <c r="H212" s="66">
        <v>0</v>
      </c>
      <c r="I212"/>
      <c r="J212"/>
      <c r="K212" s="66">
        <v>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 spans="1:54" x14ac:dyDescent="0.25">
      <c r="A213"/>
      <c r="B213"/>
      <c r="C213"/>
      <c r="D213"/>
      <c r="E213"/>
      <c r="F213"/>
      <c r="G213"/>
      <c r="H213" s="66">
        <v>0</v>
      </c>
      <c r="I213"/>
      <c r="J213"/>
      <c r="K213" s="66">
        <v>0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 spans="1:54" x14ac:dyDescent="0.25">
      <c r="A214"/>
      <c r="B214"/>
      <c r="C214"/>
      <c r="D214"/>
      <c r="E214"/>
      <c r="F214"/>
      <c r="G214"/>
      <c r="H214" s="66">
        <v>0</v>
      </c>
      <c r="I214"/>
      <c r="J214"/>
      <c r="K214" s="66">
        <v>0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 spans="1:54" x14ac:dyDescent="0.25">
      <c r="A215"/>
      <c r="B215"/>
      <c r="C215"/>
      <c r="D215"/>
      <c r="E215"/>
      <c r="F215"/>
      <c r="G215"/>
      <c r="H215" s="66">
        <v>0</v>
      </c>
      <c r="I215"/>
      <c r="J215"/>
      <c r="K215" s="66">
        <v>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 spans="1:54" x14ac:dyDescent="0.25">
      <c r="A216"/>
      <c r="B216"/>
      <c r="C216"/>
      <c r="D216"/>
      <c r="E216"/>
      <c r="F216"/>
      <c r="G216"/>
      <c r="H216" s="66">
        <v>0</v>
      </c>
      <c r="I216"/>
      <c r="J216"/>
      <c r="K216" s="66">
        <v>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 spans="1:54" x14ac:dyDescent="0.25">
      <c r="A217"/>
      <c r="B217"/>
      <c r="C217"/>
      <c r="D217"/>
      <c r="E217"/>
      <c r="F217"/>
      <c r="G217"/>
      <c r="H217" s="66">
        <v>0</v>
      </c>
      <c r="I217"/>
      <c r="J217"/>
      <c r="K217" s="66">
        <v>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 spans="1:54" x14ac:dyDescent="0.25">
      <c r="A218"/>
      <c r="B218"/>
      <c r="C218"/>
      <c r="D218"/>
      <c r="E218"/>
      <c r="F218"/>
      <c r="G218"/>
      <c r="H218" s="66">
        <v>0</v>
      </c>
      <c r="I218"/>
      <c r="J218"/>
      <c r="K218" s="66">
        <v>0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 spans="1:54" x14ac:dyDescent="0.25">
      <c r="A219"/>
      <c r="B219"/>
      <c r="C219"/>
      <c r="D219"/>
      <c r="E219"/>
      <c r="F219"/>
      <c r="G219"/>
      <c r="H219" s="66">
        <v>0</v>
      </c>
      <c r="I219"/>
      <c r="J219"/>
      <c r="K219" s="66">
        <v>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 spans="1:54" x14ac:dyDescent="0.25">
      <c r="A220"/>
      <c r="B220"/>
      <c r="C220"/>
      <c r="D220"/>
      <c r="E220"/>
      <c r="F220"/>
      <c r="G220"/>
      <c r="H220" s="66">
        <v>0</v>
      </c>
      <c r="I220"/>
      <c r="J220"/>
      <c r="K220" s="66">
        <v>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 spans="1:54" x14ac:dyDescent="0.25">
      <c r="A221"/>
      <c r="B221"/>
      <c r="C221"/>
      <c r="D221"/>
      <c r="E221"/>
      <c r="F221"/>
      <c r="G221"/>
      <c r="H221" s="66">
        <v>0</v>
      </c>
      <c r="I221"/>
      <c r="J221"/>
      <c r="K221" s="66">
        <v>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 spans="1:54" x14ac:dyDescent="0.25">
      <c r="A222"/>
      <c r="B222"/>
      <c r="C222"/>
      <c r="D222"/>
      <c r="E222"/>
      <c r="F222"/>
      <c r="G222"/>
      <c r="H222" s="66">
        <v>0</v>
      </c>
      <c r="I222"/>
      <c r="J222"/>
      <c r="K222" s="66">
        <v>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 spans="1:54" x14ac:dyDescent="0.25">
      <c r="A223"/>
      <c r="B223"/>
      <c r="C223"/>
      <c r="D223"/>
      <c r="E223"/>
      <c r="F223"/>
      <c r="G223"/>
      <c r="H223" s="66">
        <v>0</v>
      </c>
      <c r="I223"/>
      <c r="J223"/>
      <c r="K223" s="66">
        <v>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 spans="1:54" x14ac:dyDescent="0.25">
      <c r="A224"/>
      <c r="B224"/>
      <c r="C224"/>
      <c r="D224"/>
      <c r="E224"/>
      <c r="F224"/>
      <c r="G224"/>
      <c r="H224" s="66">
        <v>0</v>
      </c>
      <c r="I224"/>
      <c r="J224"/>
      <c r="K224" s="66">
        <v>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 spans="1:54" x14ac:dyDescent="0.25">
      <c r="A225"/>
      <c r="B225"/>
      <c r="C225"/>
      <c r="D225"/>
      <c r="E225"/>
      <c r="F225"/>
      <c r="G225"/>
      <c r="H225" s="66">
        <v>0</v>
      </c>
      <c r="I225"/>
      <c r="J225"/>
      <c r="K225" s="66">
        <v>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 spans="1:54" x14ac:dyDescent="0.25">
      <c r="A226"/>
      <c r="B226"/>
      <c r="C226"/>
      <c r="D226"/>
      <c r="E226"/>
      <c r="F226"/>
      <c r="G226"/>
      <c r="H226" s="66">
        <v>0</v>
      </c>
      <c r="I226"/>
      <c r="J226"/>
      <c r="K226" s="66">
        <v>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 spans="1:54" x14ac:dyDescent="0.25">
      <c r="A227"/>
      <c r="B227"/>
      <c r="C227"/>
      <c r="D227"/>
      <c r="E227"/>
      <c r="F227"/>
      <c r="G227"/>
      <c r="H227" s="66">
        <v>0</v>
      </c>
      <c r="I227"/>
      <c r="J227"/>
      <c r="K227" s="66">
        <v>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 spans="1:54" x14ac:dyDescent="0.25">
      <c r="A228"/>
      <c r="B228"/>
      <c r="C228"/>
      <c r="D228"/>
      <c r="E228"/>
      <c r="F228"/>
      <c r="G228"/>
      <c r="H228" s="66">
        <v>0</v>
      </c>
      <c r="I228"/>
      <c r="J228"/>
      <c r="K228" s="66">
        <v>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 spans="1:54" x14ac:dyDescent="0.25">
      <c r="A229"/>
      <c r="B229"/>
      <c r="C229"/>
      <c r="D229"/>
      <c r="E229"/>
      <c r="F229"/>
      <c r="G229"/>
      <c r="H229" s="66">
        <v>0</v>
      </c>
      <c r="I229"/>
      <c r="J229"/>
      <c r="K229" s="66">
        <v>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 spans="1:54" x14ac:dyDescent="0.25">
      <c r="A230"/>
      <c r="B230"/>
      <c r="C230"/>
      <c r="D230"/>
      <c r="E230"/>
      <c r="F230"/>
      <c r="G230"/>
      <c r="H230" s="66">
        <v>0</v>
      </c>
      <c r="I230"/>
      <c r="J230"/>
      <c r="K230" s="66">
        <v>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 spans="1:54" x14ac:dyDescent="0.25">
      <c r="A231"/>
      <c r="B231"/>
      <c r="C231"/>
      <c r="D231"/>
      <c r="E231"/>
      <c r="F231"/>
      <c r="G231"/>
      <c r="H231" s="66">
        <v>0</v>
      </c>
      <c r="I231"/>
      <c r="J231"/>
      <c r="K231" s="66">
        <v>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 spans="1:54" x14ac:dyDescent="0.25">
      <c r="A232"/>
      <c r="B232"/>
      <c r="C232"/>
      <c r="D232"/>
      <c r="E232"/>
      <c r="F232"/>
      <c r="G232"/>
      <c r="H232" s="66">
        <v>0</v>
      </c>
      <c r="I232"/>
      <c r="J232"/>
      <c r="K232" s="66">
        <v>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 spans="1:54" x14ac:dyDescent="0.25">
      <c r="A233"/>
      <c r="B233"/>
      <c r="C233"/>
      <c r="D233"/>
      <c r="E233"/>
      <c r="F233"/>
      <c r="G233"/>
      <c r="H233" s="66">
        <v>0</v>
      </c>
      <c r="I233"/>
      <c r="J233"/>
      <c r="K233" s="66">
        <v>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 spans="1:54" x14ac:dyDescent="0.25">
      <c r="A234"/>
      <c r="B234"/>
      <c r="C234"/>
      <c r="D234"/>
      <c r="E234"/>
      <c r="F234"/>
      <c r="G234"/>
      <c r="H234" s="66">
        <v>0</v>
      </c>
      <c r="I234"/>
      <c r="J234"/>
      <c r="K234" s="66">
        <v>0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 spans="1:54" x14ac:dyDescent="0.25">
      <c r="A235"/>
      <c r="B235"/>
      <c r="C235"/>
      <c r="D235"/>
      <c r="E235"/>
      <c r="F235"/>
      <c r="G235"/>
      <c r="H235" s="66">
        <v>0</v>
      </c>
      <c r="I235"/>
      <c r="J235"/>
      <c r="K235" s="66">
        <v>0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 spans="1:54" x14ac:dyDescent="0.25">
      <c r="A236"/>
      <c r="B236"/>
      <c r="C236"/>
      <c r="D236"/>
      <c r="E236"/>
      <c r="F236"/>
      <c r="G236"/>
      <c r="H236" s="66">
        <v>0</v>
      </c>
      <c r="I236"/>
      <c r="J236"/>
      <c r="K236" s="66">
        <v>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 spans="1:54" x14ac:dyDescent="0.25">
      <c r="A237"/>
      <c r="B237"/>
      <c r="C237"/>
      <c r="D237"/>
      <c r="E237"/>
      <c r="F237"/>
      <c r="G237"/>
      <c r="H237" s="66">
        <v>0</v>
      </c>
      <c r="I237"/>
      <c r="J237"/>
      <c r="K237" s="66">
        <v>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 spans="1:54" x14ac:dyDescent="0.25">
      <c r="A238"/>
      <c r="B238"/>
      <c r="C238"/>
      <c r="D238"/>
      <c r="E238"/>
      <c r="F238"/>
      <c r="G238"/>
      <c r="H238" s="66">
        <v>0</v>
      </c>
      <c r="I238"/>
      <c r="J238"/>
      <c r="K238" s="66">
        <v>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 spans="1:54" x14ac:dyDescent="0.25">
      <c r="A239"/>
      <c r="B239"/>
      <c r="C239"/>
      <c r="D239"/>
      <c r="E239"/>
      <c r="F239"/>
      <c r="G239"/>
      <c r="H239" s="66">
        <v>0</v>
      </c>
      <c r="I239"/>
      <c r="J239"/>
      <c r="K239" s="66">
        <v>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 spans="1:54" x14ac:dyDescent="0.25">
      <c r="A240"/>
      <c r="B240"/>
      <c r="C240"/>
      <c r="D240"/>
      <c r="E240"/>
      <c r="F240"/>
      <c r="G240"/>
      <c r="H240" s="66">
        <v>0</v>
      </c>
      <c r="I240"/>
      <c r="J240"/>
      <c r="K240" s="66">
        <v>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 spans="1:54" x14ac:dyDescent="0.25">
      <c r="A241"/>
      <c r="B241"/>
      <c r="C241"/>
      <c r="D241"/>
      <c r="E241"/>
      <c r="F241"/>
      <c r="G241"/>
      <c r="H241" s="66">
        <v>0</v>
      </c>
      <c r="I241"/>
      <c r="J241"/>
      <c r="K241" s="66">
        <v>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 spans="1:54" x14ac:dyDescent="0.25">
      <c r="A242"/>
      <c r="B242"/>
      <c r="C242"/>
      <c r="D242"/>
      <c r="E242"/>
      <c r="F242"/>
      <c r="G242"/>
      <c r="H242" s="66">
        <v>0</v>
      </c>
      <c r="I242"/>
      <c r="J242"/>
      <c r="K242" s="66">
        <v>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 spans="1:54" x14ac:dyDescent="0.25">
      <c r="A243"/>
      <c r="B243"/>
      <c r="C243"/>
      <c r="D243"/>
      <c r="E243"/>
      <c r="F243"/>
      <c r="G243"/>
      <c r="H243" s="66">
        <v>0</v>
      </c>
      <c r="I243"/>
      <c r="J243"/>
      <c r="K243" s="66">
        <v>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 spans="1:54" x14ac:dyDescent="0.25">
      <c r="A244"/>
      <c r="B244"/>
      <c r="C244"/>
      <c r="D244"/>
      <c r="E244"/>
      <c r="F244"/>
      <c r="G244"/>
      <c r="H244" s="66">
        <v>0</v>
      </c>
      <c r="I244"/>
      <c r="J244"/>
      <c r="K244" s="66">
        <v>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 spans="1:54" x14ac:dyDescent="0.25">
      <c r="A245"/>
      <c r="B245"/>
      <c r="C245"/>
      <c r="D245"/>
      <c r="E245"/>
      <c r="F245"/>
      <c r="G245"/>
      <c r="H245" s="66">
        <v>0</v>
      </c>
      <c r="I245"/>
      <c r="J245"/>
      <c r="K245" s="66">
        <v>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 spans="1:54" x14ac:dyDescent="0.25">
      <c r="A246"/>
      <c r="B246"/>
      <c r="C246"/>
      <c r="D246"/>
      <c r="E246"/>
      <c r="F246"/>
      <c r="G246"/>
      <c r="H246" s="66">
        <v>0</v>
      </c>
      <c r="I246"/>
      <c r="J246"/>
      <c r="K246" s="66">
        <v>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 spans="1:54" x14ac:dyDescent="0.25">
      <c r="A247"/>
      <c r="B247"/>
      <c r="C247"/>
      <c r="D247"/>
      <c r="E247"/>
      <c r="F247"/>
      <c r="G247"/>
      <c r="H247" s="66">
        <v>0</v>
      </c>
      <c r="I247"/>
      <c r="J247"/>
      <c r="K247" s="66">
        <v>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 spans="1:54" x14ac:dyDescent="0.25">
      <c r="A248"/>
      <c r="B248"/>
      <c r="C248"/>
      <c r="D248"/>
      <c r="E248"/>
      <c r="F248"/>
      <c r="G248"/>
      <c r="H248" s="66">
        <v>0</v>
      </c>
      <c r="I248"/>
      <c r="J248"/>
      <c r="K248" s="66">
        <v>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 spans="1:54" x14ac:dyDescent="0.25">
      <c r="A249"/>
      <c r="B249"/>
      <c r="C249"/>
      <c r="D249"/>
      <c r="E249"/>
      <c r="F249"/>
      <c r="G249"/>
      <c r="H249" s="66">
        <v>0</v>
      </c>
      <c r="I249"/>
      <c r="J249"/>
      <c r="K249" s="66">
        <v>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 spans="1:54" x14ac:dyDescent="0.25">
      <c r="A250"/>
      <c r="B250"/>
      <c r="C250"/>
      <c r="D250"/>
      <c r="E250"/>
      <c r="F250"/>
      <c r="G250"/>
      <c r="H250" s="66">
        <v>0</v>
      </c>
      <c r="I250"/>
      <c r="J250"/>
      <c r="K250" s="66">
        <v>0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 spans="1:54" x14ac:dyDescent="0.25">
      <c r="A251"/>
      <c r="B251"/>
      <c r="C251"/>
      <c r="D251"/>
      <c r="E251"/>
      <c r="F251"/>
      <c r="G251"/>
      <c r="H251" s="66">
        <v>0</v>
      </c>
      <c r="I251"/>
      <c r="J251"/>
      <c r="K251" s="66">
        <v>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 spans="1:54" x14ac:dyDescent="0.25">
      <c r="A252"/>
      <c r="B252"/>
      <c r="C252"/>
      <c r="D252"/>
      <c r="E252"/>
      <c r="F252"/>
      <c r="G252"/>
      <c r="H252" s="66">
        <v>0</v>
      </c>
      <c r="I252"/>
      <c r="J252"/>
      <c r="K252" s="66">
        <v>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 spans="1:54" x14ac:dyDescent="0.25">
      <c r="A253"/>
      <c r="B253"/>
      <c r="C253"/>
      <c r="D253"/>
      <c r="E253"/>
      <c r="F253"/>
      <c r="G253"/>
      <c r="H253" s="66">
        <v>0</v>
      </c>
      <c r="I253"/>
      <c r="J253"/>
      <c r="K253" s="66">
        <v>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 spans="1:54" x14ac:dyDescent="0.25">
      <c r="A254"/>
      <c r="B254"/>
      <c r="C254"/>
      <c r="D254"/>
      <c r="E254"/>
      <c r="F254"/>
      <c r="G254"/>
      <c r="H254" s="66">
        <v>0</v>
      </c>
      <c r="I254"/>
      <c r="J254"/>
      <c r="K254" s="66">
        <v>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 spans="1:54" x14ac:dyDescent="0.25">
      <c r="A255"/>
      <c r="B255"/>
      <c r="C255"/>
      <c r="D255"/>
      <c r="E255"/>
      <c r="F255"/>
      <c r="G255"/>
      <c r="H255" s="66">
        <v>0</v>
      </c>
      <c r="I255"/>
      <c r="J255"/>
      <c r="K255" s="66">
        <v>0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 spans="1:54" x14ac:dyDescent="0.25">
      <c r="A256"/>
      <c r="B256"/>
      <c r="C256"/>
      <c r="D256"/>
      <c r="E256"/>
      <c r="F256"/>
      <c r="G256"/>
      <c r="H256" s="66">
        <v>0</v>
      </c>
      <c r="I256"/>
      <c r="J256"/>
      <c r="K256" s="66">
        <v>0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 spans="1:54" x14ac:dyDescent="0.25">
      <c r="A257"/>
      <c r="B257"/>
      <c r="C257"/>
      <c r="D257"/>
      <c r="E257"/>
      <c r="F257"/>
      <c r="G257"/>
      <c r="H257" s="66">
        <v>0</v>
      </c>
      <c r="I257"/>
      <c r="J257"/>
      <c r="K257" s="66">
        <v>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 spans="1:54" x14ac:dyDescent="0.25">
      <c r="A258"/>
      <c r="B258"/>
      <c r="C258"/>
      <c r="D258"/>
      <c r="E258"/>
      <c r="F258"/>
      <c r="G258"/>
      <c r="H258" s="66">
        <v>0</v>
      </c>
      <c r="I258"/>
      <c r="J258"/>
      <c r="K258" s="66">
        <v>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 spans="1:54" x14ac:dyDescent="0.25">
      <c r="A259"/>
      <c r="B259"/>
      <c r="C259"/>
      <c r="D259"/>
      <c r="E259"/>
      <c r="F259"/>
      <c r="G259"/>
      <c r="H259" s="66">
        <v>0</v>
      </c>
      <c r="I259"/>
      <c r="J259"/>
      <c r="K259" s="66">
        <v>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 spans="1:54" x14ac:dyDescent="0.25">
      <c r="A260"/>
      <c r="B260"/>
      <c r="C260"/>
      <c r="D260"/>
      <c r="E260"/>
      <c r="F260"/>
      <c r="G260"/>
      <c r="H260" s="66">
        <v>0</v>
      </c>
      <c r="I260"/>
      <c r="J260"/>
      <c r="K260" s="66">
        <v>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 spans="1:54" x14ac:dyDescent="0.25">
      <c r="A261"/>
      <c r="B261"/>
      <c r="C261"/>
      <c r="D261"/>
      <c r="E261"/>
      <c r="F261"/>
      <c r="G261"/>
      <c r="H261" s="66">
        <v>0</v>
      </c>
      <c r="I261"/>
      <c r="J261"/>
      <c r="K261" s="66">
        <v>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 spans="1:54" x14ac:dyDescent="0.25">
      <c r="A262"/>
      <c r="B262"/>
      <c r="C262"/>
      <c r="D262"/>
      <c r="E262"/>
      <c r="F262"/>
      <c r="G262"/>
      <c r="H262" s="66">
        <v>0</v>
      </c>
      <c r="I262"/>
      <c r="J262"/>
      <c r="K262" s="66">
        <v>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 spans="1:54" x14ac:dyDescent="0.25">
      <c r="A263"/>
      <c r="B263"/>
      <c r="C263"/>
      <c r="D263"/>
      <c r="E263"/>
      <c r="F263"/>
      <c r="G263"/>
      <c r="H263" s="66">
        <v>0</v>
      </c>
      <c r="I263"/>
      <c r="J263"/>
      <c r="K263" s="66">
        <v>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 spans="1:54" x14ac:dyDescent="0.25">
      <c r="A264"/>
      <c r="B264"/>
      <c r="C264"/>
      <c r="D264"/>
      <c r="E264"/>
      <c r="F264"/>
      <c r="G264"/>
      <c r="H264" s="66">
        <v>0</v>
      </c>
      <c r="I264"/>
      <c r="J264"/>
      <c r="K264" s="66">
        <v>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 spans="1:54" x14ac:dyDescent="0.25">
      <c r="A265"/>
      <c r="B265"/>
      <c r="C265"/>
      <c r="D265"/>
      <c r="E265"/>
      <c r="F265"/>
      <c r="G265"/>
      <c r="H265" s="66">
        <v>0</v>
      </c>
      <c r="I265"/>
      <c r="J265"/>
      <c r="K265" s="66">
        <v>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 spans="1:54" x14ac:dyDescent="0.25">
      <c r="A266"/>
      <c r="B266"/>
      <c r="C266"/>
      <c r="D266"/>
      <c r="E266"/>
      <c r="F266"/>
      <c r="G266"/>
      <c r="H266" s="66">
        <v>0</v>
      </c>
      <c r="I266"/>
      <c r="J266"/>
      <c r="K266" s="66">
        <v>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 spans="1:54" x14ac:dyDescent="0.25">
      <c r="A267"/>
      <c r="B267"/>
      <c r="C267"/>
      <c r="D267"/>
      <c r="E267"/>
      <c r="F267"/>
      <c r="G267"/>
      <c r="H267" s="66">
        <v>0</v>
      </c>
      <c r="I267"/>
      <c r="J267"/>
      <c r="K267" s="66">
        <v>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 spans="1:54" x14ac:dyDescent="0.25">
      <c r="A268"/>
      <c r="B268"/>
      <c r="C268"/>
      <c r="D268"/>
      <c r="E268"/>
      <c r="F268"/>
      <c r="G268"/>
      <c r="H268" s="66">
        <v>0</v>
      </c>
      <c r="I268"/>
      <c r="J268"/>
      <c r="K268" s="66">
        <v>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 spans="1:54" x14ac:dyDescent="0.25">
      <c r="A269"/>
      <c r="B269"/>
      <c r="C269"/>
      <c r="D269"/>
      <c r="E269"/>
      <c r="F269"/>
      <c r="G269"/>
      <c r="H269" s="66">
        <v>0</v>
      </c>
      <c r="I269"/>
      <c r="J269"/>
      <c r="K269" s="66">
        <v>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 spans="1:54" x14ac:dyDescent="0.25">
      <c r="A270"/>
      <c r="B270"/>
      <c r="C270"/>
      <c r="D270"/>
      <c r="E270"/>
      <c r="F270"/>
      <c r="G270"/>
      <c r="H270" s="66">
        <v>0</v>
      </c>
      <c r="I270"/>
      <c r="J270"/>
      <c r="K270" s="66">
        <v>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 spans="1:54" x14ac:dyDescent="0.25">
      <c r="A271"/>
      <c r="B271"/>
      <c r="C271"/>
      <c r="D271"/>
      <c r="E271"/>
      <c r="F271"/>
      <c r="G271"/>
      <c r="H271" s="66">
        <v>0</v>
      </c>
      <c r="I271"/>
      <c r="J271"/>
      <c r="K271" s="66">
        <v>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 spans="1:54" x14ac:dyDescent="0.25">
      <c r="A272"/>
      <c r="B272"/>
      <c r="C272"/>
      <c r="D272"/>
      <c r="E272"/>
      <c r="F272"/>
      <c r="G272"/>
      <c r="H272" s="66">
        <v>0</v>
      </c>
      <c r="I272"/>
      <c r="J272"/>
      <c r="K272" s="66">
        <v>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 spans="1:54" x14ac:dyDescent="0.25">
      <c r="A273"/>
      <c r="B273"/>
      <c r="C273"/>
      <c r="D273"/>
      <c r="E273"/>
      <c r="F273"/>
      <c r="G273"/>
      <c r="H273" s="66">
        <v>0</v>
      </c>
      <c r="I273"/>
      <c r="J273"/>
      <c r="K273" s="66">
        <v>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 spans="1:54" x14ac:dyDescent="0.25">
      <c r="A274"/>
      <c r="B274"/>
      <c r="C274"/>
      <c r="D274"/>
      <c r="E274"/>
      <c r="F274"/>
      <c r="G274"/>
      <c r="H274" s="66">
        <v>0</v>
      </c>
      <c r="I274"/>
      <c r="J274"/>
      <c r="K274" s="66">
        <v>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 spans="1:54" x14ac:dyDescent="0.25">
      <c r="A275"/>
      <c r="B275"/>
      <c r="C275"/>
      <c r="D275"/>
      <c r="E275"/>
      <c r="F275"/>
      <c r="G275"/>
      <c r="H275" s="66">
        <v>0</v>
      </c>
      <c r="I275"/>
      <c r="J275"/>
      <c r="K275" s="66">
        <v>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 spans="1:54" x14ac:dyDescent="0.25">
      <c r="A276"/>
      <c r="B276"/>
      <c r="C276"/>
      <c r="D276"/>
      <c r="E276"/>
      <c r="F276"/>
      <c r="G276"/>
      <c r="H276" s="66">
        <v>0</v>
      </c>
      <c r="I276"/>
      <c r="J276"/>
      <c r="K276" s="66">
        <v>0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 spans="1:54" x14ac:dyDescent="0.25">
      <c r="A277"/>
      <c r="B277"/>
      <c r="C277"/>
      <c r="D277"/>
      <c r="E277"/>
      <c r="F277"/>
      <c r="G277"/>
      <c r="H277" s="66">
        <v>0</v>
      </c>
      <c r="I277"/>
      <c r="J277"/>
      <c r="K277" s="66">
        <v>0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 spans="1:54" x14ac:dyDescent="0.25">
      <c r="A278"/>
      <c r="B278"/>
      <c r="C278"/>
      <c r="D278"/>
      <c r="E278"/>
      <c r="F278"/>
      <c r="G278"/>
      <c r="H278" s="66">
        <v>0</v>
      </c>
      <c r="I278"/>
      <c r="J278"/>
      <c r="K278" s="66">
        <v>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 spans="1:54" x14ac:dyDescent="0.25">
      <c r="A279"/>
      <c r="B279"/>
      <c r="C279"/>
      <c r="D279"/>
      <c r="E279"/>
      <c r="F279"/>
      <c r="G279"/>
      <c r="H279" s="66">
        <v>0</v>
      </c>
      <c r="I279"/>
      <c r="J279"/>
      <c r="K279" s="66">
        <v>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 spans="1:54" x14ac:dyDescent="0.25">
      <c r="A280"/>
      <c r="B280"/>
      <c r="C280"/>
      <c r="D280"/>
      <c r="E280"/>
      <c r="F280"/>
      <c r="G280"/>
      <c r="H280" s="66">
        <v>0</v>
      </c>
      <c r="I280"/>
      <c r="J280"/>
      <c r="K280" s="66">
        <v>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 spans="1:54" x14ac:dyDescent="0.25">
      <c r="A281"/>
      <c r="B281"/>
      <c r="C281"/>
      <c r="D281"/>
      <c r="E281"/>
      <c r="F281"/>
      <c r="G281"/>
      <c r="H281" s="66">
        <v>0</v>
      </c>
      <c r="I281"/>
      <c r="J281"/>
      <c r="K281" s="66">
        <v>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 spans="1:54" x14ac:dyDescent="0.25">
      <c r="A282"/>
      <c r="B282"/>
      <c r="C282"/>
      <c r="D282"/>
      <c r="E282"/>
      <c r="F282"/>
      <c r="G282"/>
      <c r="H282" s="66">
        <v>0</v>
      </c>
      <c r="I282"/>
      <c r="J282"/>
      <c r="K282" s="66">
        <v>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 spans="1:54" x14ac:dyDescent="0.25">
      <c r="A283"/>
      <c r="B283"/>
      <c r="C283"/>
      <c r="D283"/>
      <c r="E283"/>
      <c r="F283"/>
      <c r="G283"/>
      <c r="H283" s="66">
        <v>0</v>
      </c>
      <c r="I283"/>
      <c r="J283"/>
      <c r="K283" s="66">
        <v>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 spans="1:54" x14ac:dyDescent="0.25">
      <c r="A284"/>
      <c r="B284"/>
      <c r="C284"/>
      <c r="D284"/>
      <c r="E284"/>
      <c r="F284"/>
      <c r="G284"/>
      <c r="H284" s="66">
        <v>0</v>
      </c>
      <c r="I284"/>
      <c r="J284"/>
      <c r="K284" s="66">
        <v>0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 spans="1:54" x14ac:dyDescent="0.25">
      <c r="A285"/>
      <c r="B285"/>
      <c r="C285"/>
      <c r="D285"/>
      <c r="E285"/>
      <c r="F285"/>
      <c r="G285"/>
      <c r="H285" s="66">
        <v>0</v>
      </c>
      <c r="I285"/>
      <c r="J285"/>
      <c r="K285" s="66">
        <v>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 spans="1:54" x14ac:dyDescent="0.25">
      <c r="A286"/>
      <c r="B286"/>
      <c r="C286"/>
      <c r="D286"/>
      <c r="E286"/>
      <c r="F286"/>
      <c r="G286"/>
      <c r="H286" s="66">
        <v>0</v>
      </c>
      <c r="I286"/>
      <c r="J286"/>
      <c r="K286" s="66">
        <v>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 spans="1:54" x14ac:dyDescent="0.25">
      <c r="A287"/>
      <c r="B287"/>
      <c r="C287"/>
      <c r="D287"/>
      <c r="E287"/>
      <c r="F287"/>
      <c r="G287"/>
      <c r="H287" s="66">
        <v>0</v>
      </c>
      <c r="I287"/>
      <c r="J287"/>
      <c r="K287" s="66">
        <v>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 spans="1:54" x14ac:dyDescent="0.25">
      <c r="A288"/>
      <c r="B288"/>
      <c r="C288"/>
      <c r="D288"/>
      <c r="E288"/>
      <c r="F288"/>
      <c r="G288"/>
      <c r="H288" s="66">
        <v>0</v>
      </c>
      <c r="I288"/>
      <c r="J288"/>
      <c r="K288" s="66">
        <v>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 spans="1:54" x14ac:dyDescent="0.25">
      <c r="A289"/>
      <c r="B289"/>
      <c r="C289"/>
      <c r="D289"/>
      <c r="E289"/>
      <c r="F289"/>
      <c r="G289"/>
      <c r="H289" s="66">
        <v>0</v>
      </c>
      <c r="I289"/>
      <c r="J289"/>
      <c r="K289" s="66">
        <v>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 spans="1:54" x14ac:dyDescent="0.25">
      <c r="A290"/>
      <c r="B290"/>
      <c r="C290"/>
      <c r="D290"/>
      <c r="E290"/>
      <c r="F290"/>
      <c r="G290"/>
      <c r="H290" s="66">
        <v>0</v>
      </c>
      <c r="I290"/>
      <c r="J290"/>
      <c r="K290" s="66">
        <v>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 spans="1:54" x14ac:dyDescent="0.25">
      <c r="A291"/>
      <c r="B291"/>
      <c r="C291"/>
      <c r="D291"/>
      <c r="E291"/>
      <c r="F291"/>
      <c r="G291"/>
      <c r="H291" s="66">
        <v>0</v>
      </c>
      <c r="I291"/>
      <c r="J291"/>
      <c r="K291" s="66">
        <v>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 spans="1:54" x14ac:dyDescent="0.25">
      <c r="A292"/>
      <c r="B292"/>
      <c r="C292"/>
      <c r="D292"/>
      <c r="E292"/>
      <c r="F292"/>
      <c r="G292"/>
      <c r="H292" s="66">
        <v>0</v>
      </c>
      <c r="I292"/>
      <c r="J292"/>
      <c r="K292" s="66">
        <v>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 spans="1:54" x14ac:dyDescent="0.25">
      <c r="A293"/>
      <c r="B293"/>
      <c r="C293"/>
      <c r="D293"/>
      <c r="E293"/>
      <c r="F293"/>
      <c r="G293"/>
      <c r="H293" s="66">
        <v>0</v>
      </c>
      <c r="I293"/>
      <c r="J293"/>
      <c r="K293" s="66">
        <v>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 spans="1:54" x14ac:dyDescent="0.25">
      <c r="A294"/>
      <c r="B294"/>
      <c r="C294"/>
      <c r="D294"/>
      <c r="E294"/>
      <c r="F294"/>
      <c r="G294"/>
      <c r="H294" s="66">
        <v>0</v>
      </c>
      <c r="I294"/>
      <c r="J294"/>
      <c r="K294" s="66">
        <v>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 spans="1:54" x14ac:dyDescent="0.25">
      <c r="A295"/>
      <c r="B295"/>
      <c r="C295"/>
      <c r="D295"/>
      <c r="E295"/>
      <c r="F295"/>
      <c r="G295"/>
      <c r="H295" s="66">
        <v>0</v>
      </c>
      <c r="I295"/>
      <c r="J295"/>
      <c r="K295" s="66">
        <v>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 spans="1:54" x14ac:dyDescent="0.25">
      <c r="A296"/>
      <c r="B296"/>
      <c r="C296"/>
      <c r="D296"/>
      <c r="E296"/>
      <c r="F296"/>
      <c r="G296"/>
      <c r="H296" s="66">
        <v>0</v>
      </c>
      <c r="I296"/>
      <c r="J296"/>
      <c r="K296" s="66">
        <v>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 spans="1:54" x14ac:dyDescent="0.25">
      <c r="A297"/>
      <c r="B297"/>
      <c r="C297"/>
      <c r="D297"/>
      <c r="E297"/>
      <c r="F297"/>
      <c r="G297"/>
      <c r="H297" s="66">
        <v>0</v>
      </c>
      <c r="I297"/>
      <c r="J297"/>
      <c r="K297" s="66">
        <v>0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 spans="1:54" x14ac:dyDescent="0.25">
      <c r="A298"/>
      <c r="B298"/>
      <c r="C298"/>
      <c r="D298"/>
      <c r="E298"/>
      <c r="F298"/>
      <c r="G298"/>
      <c r="H298" s="66">
        <v>0</v>
      </c>
      <c r="I298"/>
      <c r="J298"/>
      <c r="K298" s="66">
        <v>0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 spans="1:54" x14ac:dyDescent="0.25">
      <c r="A299"/>
      <c r="B299"/>
      <c r="C299"/>
      <c r="D299"/>
      <c r="E299"/>
      <c r="F299"/>
      <c r="G299"/>
      <c r="H299" s="66">
        <v>0</v>
      </c>
      <c r="I299"/>
      <c r="J299"/>
      <c r="K299" s="66">
        <v>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 spans="1:54" x14ac:dyDescent="0.25">
      <c r="A300"/>
      <c r="B300"/>
      <c r="C300"/>
      <c r="D300"/>
      <c r="E300"/>
      <c r="F300"/>
      <c r="G300"/>
      <c r="H300" s="66">
        <v>0</v>
      </c>
      <c r="I300"/>
      <c r="J300"/>
      <c r="K300" s="66">
        <v>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 spans="1:54" x14ac:dyDescent="0.25">
      <c r="A301"/>
      <c r="B301"/>
      <c r="C301"/>
      <c r="D301"/>
      <c r="E301"/>
      <c r="F301"/>
      <c r="G301"/>
      <c r="H301" s="66">
        <v>0</v>
      </c>
      <c r="I301"/>
      <c r="J301"/>
      <c r="K301" s="66">
        <v>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 spans="1:54" x14ac:dyDescent="0.25">
      <c r="A302"/>
      <c r="B302"/>
      <c r="C302"/>
      <c r="D302"/>
      <c r="E302"/>
      <c r="F302"/>
      <c r="G302"/>
      <c r="H302" s="66">
        <v>0</v>
      </c>
      <c r="I302"/>
      <c r="J302"/>
      <c r="K302" s="66">
        <v>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 spans="1:54" x14ac:dyDescent="0.25">
      <c r="A303"/>
      <c r="B303"/>
      <c r="C303"/>
      <c r="D303"/>
      <c r="E303"/>
      <c r="F303"/>
      <c r="G303"/>
      <c r="H303" s="66">
        <v>0</v>
      </c>
      <c r="I303"/>
      <c r="J303"/>
      <c r="K303" s="66">
        <v>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 spans="1:54" x14ac:dyDescent="0.25">
      <c r="A304"/>
      <c r="B304"/>
      <c r="C304"/>
      <c r="D304"/>
      <c r="E304"/>
      <c r="F304"/>
      <c r="G304"/>
      <c r="H304" s="66">
        <v>0</v>
      </c>
      <c r="I304"/>
      <c r="J304"/>
      <c r="K304" s="66">
        <v>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 spans="1:54" x14ac:dyDescent="0.25">
      <c r="A305"/>
      <c r="B305"/>
      <c r="C305"/>
      <c r="D305"/>
      <c r="E305"/>
      <c r="F305"/>
      <c r="G305"/>
      <c r="H305" s="66">
        <v>0</v>
      </c>
      <c r="I305"/>
      <c r="J305"/>
      <c r="K305" s="66">
        <v>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 spans="1:54" x14ac:dyDescent="0.25">
      <c r="A306"/>
      <c r="B306"/>
      <c r="C306"/>
      <c r="D306"/>
      <c r="E306"/>
      <c r="F306"/>
      <c r="G306"/>
      <c r="H306" s="66">
        <v>0</v>
      </c>
      <c r="I306"/>
      <c r="J306"/>
      <c r="K306" s="66">
        <v>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 spans="1:54" x14ac:dyDescent="0.25">
      <c r="A307"/>
      <c r="B307"/>
      <c r="C307"/>
      <c r="D307"/>
      <c r="E307"/>
      <c r="F307"/>
      <c r="G307"/>
      <c r="H307" s="66">
        <v>0</v>
      </c>
      <c r="I307"/>
      <c r="J307"/>
      <c r="K307" s="66">
        <v>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 spans="1:54" x14ac:dyDescent="0.25">
      <c r="A308"/>
      <c r="B308"/>
      <c r="C308"/>
      <c r="D308"/>
      <c r="E308"/>
      <c r="F308"/>
      <c r="G308"/>
      <c r="H308" s="66">
        <v>0</v>
      </c>
      <c r="I308"/>
      <c r="J308"/>
      <c r="K308" s="66">
        <v>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 spans="1:54" x14ac:dyDescent="0.25">
      <c r="A309"/>
      <c r="B309"/>
      <c r="C309"/>
      <c r="D309"/>
      <c r="E309"/>
      <c r="F309"/>
      <c r="G309"/>
      <c r="H309" s="66">
        <v>0</v>
      </c>
      <c r="I309"/>
      <c r="J309"/>
      <c r="K309" s="66">
        <v>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 spans="1:54" x14ac:dyDescent="0.25">
      <c r="A310"/>
      <c r="B310"/>
      <c r="C310"/>
      <c r="D310"/>
      <c r="E310"/>
      <c r="F310"/>
      <c r="G310"/>
      <c r="H310" s="66">
        <v>0</v>
      </c>
      <c r="I310"/>
      <c r="J310"/>
      <c r="K310" s="66">
        <v>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 spans="1:54" x14ac:dyDescent="0.25">
      <c r="A311"/>
      <c r="B311"/>
      <c r="C311"/>
      <c r="D311"/>
      <c r="E311"/>
      <c r="F311"/>
      <c r="G311"/>
      <c r="H311" s="66">
        <v>0</v>
      </c>
      <c r="I311"/>
      <c r="J311"/>
      <c r="K311" s="66">
        <v>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 spans="1:54" x14ac:dyDescent="0.25">
      <c r="A312"/>
      <c r="B312"/>
      <c r="C312"/>
      <c r="D312"/>
      <c r="E312"/>
      <c r="F312"/>
      <c r="G312"/>
      <c r="H312" s="66">
        <v>0</v>
      </c>
      <c r="I312"/>
      <c r="J312"/>
      <c r="K312" s="66">
        <v>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 spans="1:54" x14ac:dyDescent="0.25">
      <c r="A313"/>
      <c r="B313"/>
      <c r="C313"/>
      <c r="D313"/>
      <c r="E313"/>
      <c r="F313"/>
      <c r="G313"/>
      <c r="H313" s="66">
        <v>0</v>
      </c>
      <c r="I313"/>
      <c r="J313"/>
      <c r="K313" s="66">
        <v>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 spans="1:54" x14ac:dyDescent="0.25">
      <c r="A314"/>
      <c r="B314"/>
      <c r="C314"/>
      <c r="D314"/>
      <c r="E314"/>
      <c r="F314"/>
      <c r="G314"/>
      <c r="H314" s="66">
        <v>0</v>
      </c>
      <c r="I314"/>
      <c r="J314"/>
      <c r="K314" s="66">
        <v>0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 spans="1:54" x14ac:dyDescent="0.25">
      <c r="A315"/>
      <c r="B315"/>
      <c r="C315"/>
      <c r="D315"/>
      <c r="E315"/>
      <c r="F315"/>
      <c r="G315"/>
      <c r="H315" s="66">
        <v>0</v>
      </c>
      <c r="I315"/>
      <c r="J315"/>
      <c r="K315" s="66">
        <v>0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 spans="1:54" x14ac:dyDescent="0.25">
      <c r="A316"/>
      <c r="B316"/>
      <c r="C316"/>
      <c r="D316"/>
      <c r="E316"/>
      <c r="F316"/>
      <c r="G316"/>
      <c r="H316" s="6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 spans="1:54" x14ac:dyDescent="0.25">
      <c r="A317"/>
      <c r="B317"/>
      <c r="C317"/>
      <c r="D317"/>
      <c r="E317"/>
      <c r="F317"/>
      <c r="G317"/>
      <c r="H317" s="66">
        <v>0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 spans="1:54" x14ac:dyDescent="0.25">
      <c r="A318"/>
      <c r="B318"/>
      <c r="C318"/>
      <c r="D318"/>
      <c r="E318"/>
      <c r="F318"/>
      <c r="G318"/>
      <c r="H318" s="66">
        <v>0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 spans="1:54" x14ac:dyDescent="0.25">
      <c r="A319"/>
      <c r="B319"/>
      <c r="C319"/>
      <c r="D319"/>
      <c r="E319"/>
      <c r="F319"/>
      <c r="G319"/>
      <c r="H319" s="66">
        <v>0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 spans="1:54" x14ac:dyDescent="0.25">
      <c r="A320"/>
      <c r="B320"/>
      <c r="C320"/>
      <c r="D320"/>
      <c r="E320"/>
      <c r="F320"/>
      <c r="G320"/>
      <c r="H320" s="66">
        <v>0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 spans="1:54" x14ac:dyDescent="0.25">
      <c r="A321"/>
      <c r="B321"/>
      <c r="C321"/>
      <c r="D321"/>
      <c r="E321"/>
      <c r="F321"/>
      <c r="G321"/>
      <c r="H321" s="66">
        <v>0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 spans="1:54" x14ac:dyDescent="0.25">
      <c r="A322"/>
      <c r="B322"/>
      <c r="C322"/>
      <c r="D322"/>
      <c r="E322"/>
      <c r="F322"/>
      <c r="G322"/>
      <c r="H322" s="66">
        <v>0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 spans="1:54" x14ac:dyDescent="0.25">
      <c r="A323"/>
      <c r="B323"/>
      <c r="C323"/>
      <c r="D323"/>
      <c r="E323"/>
      <c r="F323"/>
      <c r="G323"/>
      <c r="H323" s="66">
        <v>0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 spans="1:54" x14ac:dyDescent="0.25">
      <c r="A324"/>
      <c r="B324"/>
      <c r="C324"/>
      <c r="D324"/>
      <c r="E324"/>
      <c r="F324"/>
      <c r="G324"/>
      <c r="H324" s="66">
        <v>0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 spans="1:54" x14ac:dyDescent="0.25">
      <c r="A325"/>
      <c r="B325"/>
      <c r="C325"/>
      <c r="D325"/>
      <c r="E325"/>
      <c r="F325"/>
      <c r="G325"/>
      <c r="H325" s="66">
        <v>0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 spans="1:54" x14ac:dyDescent="0.25">
      <c r="A326"/>
      <c r="B326"/>
      <c r="C326"/>
      <c r="D326"/>
      <c r="E326"/>
      <c r="F326"/>
      <c r="G326"/>
      <c r="H326" s="66">
        <v>0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 spans="1:54" x14ac:dyDescent="0.25">
      <c r="A327"/>
      <c r="B327"/>
      <c r="C327"/>
      <c r="D327"/>
      <c r="E327"/>
      <c r="F327"/>
      <c r="G327"/>
      <c r="H327" s="66">
        <v>0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 spans="1:54" x14ac:dyDescent="0.25">
      <c r="A328"/>
      <c r="B328"/>
      <c r="C328"/>
      <c r="D328"/>
      <c r="E328"/>
      <c r="F328"/>
      <c r="G328"/>
      <c r="H328" s="66">
        <v>0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 spans="1:54" x14ac:dyDescent="0.25">
      <c r="A329"/>
      <c r="B329"/>
      <c r="C329"/>
      <c r="D329"/>
      <c r="E329"/>
      <c r="F329"/>
      <c r="G329"/>
      <c r="H329" s="66">
        <v>0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 spans="1:54" x14ac:dyDescent="0.25">
      <c r="A330"/>
      <c r="B330"/>
      <c r="C330"/>
      <c r="D330"/>
      <c r="E330"/>
      <c r="F330"/>
      <c r="G330"/>
      <c r="H330" s="66">
        <v>0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 spans="1:54" x14ac:dyDescent="0.25">
      <c r="A331"/>
      <c r="B331"/>
      <c r="C331"/>
      <c r="D331"/>
      <c r="E331"/>
      <c r="F331"/>
      <c r="G331"/>
      <c r="H331" s="66">
        <v>0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 spans="1:54" x14ac:dyDescent="0.25">
      <c r="A332"/>
      <c r="B332"/>
      <c r="C332"/>
      <c r="D332"/>
      <c r="E332"/>
      <c r="F332"/>
      <c r="G332"/>
      <c r="H332" s="66">
        <v>0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 spans="1:54" x14ac:dyDescent="0.25">
      <c r="A333"/>
      <c r="B333"/>
      <c r="C333"/>
      <c r="D333"/>
      <c r="E333"/>
      <c r="F333"/>
      <c r="G333"/>
      <c r="H333" s="66">
        <v>0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 spans="1:54" x14ac:dyDescent="0.25">
      <c r="A334"/>
      <c r="B334"/>
      <c r="C334"/>
      <c r="D334"/>
      <c r="E334"/>
      <c r="F334"/>
      <c r="G334"/>
      <c r="H334" s="66">
        <v>0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 spans="1:54" x14ac:dyDescent="0.25">
      <c r="A335"/>
      <c r="B335"/>
      <c r="C335"/>
      <c r="D335"/>
      <c r="E335"/>
      <c r="F335"/>
      <c r="G335"/>
      <c r="H335" s="66">
        <v>0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 spans="1:54" x14ac:dyDescent="0.25">
      <c r="A336"/>
      <c r="B336"/>
      <c r="C336"/>
      <c r="D336"/>
      <c r="E336"/>
      <c r="F336"/>
      <c r="G336"/>
      <c r="H336" s="66">
        <v>0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 spans="1:54" x14ac:dyDescent="0.25">
      <c r="A337"/>
      <c r="B337"/>
      <c r="C337"/>
      <c r="D337"/>
      <c r="E337"/>
      <c r="F337"/>
      <c r="G337"/>
      <c r="H337" s="66">
        <v>0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 spans="1:54" x14ac:dyDescent="0.25">
      <c r="A338"/>
      <c r="B338"/>
      <c r="C338"/>
      <c r="D338"/>
      <c r="E338"/>
      <c r="F338"/>
      <c r="G338"/>
      <c r="H338" s="66">
        <v>0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 spans="1:54" x14ac:dyDescent="0.25">
      <c r="A339"/>
      <c r="B339"/>
      <c r="C339"/>
      <c r="D339"/>
      <c r="E339"/>
      <c r="F339"/>
      <c r="G339"/>
      <c r="H339" s="66">
        <v>0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 spans="1:54" x14ac:dyDescent="0.25">
      <c r="A340"/>
      <c r="B340"/>
      <c r="C340"/>
      <c r="D340"/>
      <c r="E340"/>
      <c r="F340"/>
      <c r="G340"/>
      <c r="H340" s="66">
        <v>0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 spans="1:54" x14ac:dyDescent="0.25">
      <c r="A341"/>
      <c r="B341"/>
      <c r="C341"/>
      <c r="D341"/>
      <c r="E341"/>
      <c r="F341"/>
      <c r="G341"/>
      <c r="H341" s="66">
        <v>0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 spans="1:54" x14ac:dyDescent="0.25">
      <c r="A342"/>
      <c r="B342"/>
      <c r="C342"/>
      <c r="D342"/>
      <c r="E342"/>
      <c r="F342"/>
      <c r="G342"/>
      <c r="H342" s="66">
        <v>0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 spans="1:54" x14ac:dyDescent="0.25">
      <c r="A343"/>
      <c r="B343"/>
      <c r="C343"/>
      <c r="D343"/>
      <c r="E343"/>
      <c r="F343"/>
      <c r="G343"/>
      <c r="H343" s="66">
        <v>0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 spans="1:54" x14ac:dyDescent="0.25">
      <c r="A344"/>
      <c r="B344"/>
      <c r="C344"/>
      <c r="D344"/>
      <c r="E344"/>
      <c r="F344"/>
      <c r="G344"/>
      <c r="H344" s="66">
        <v>0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 spans="1:54" x14ac:dyDescent="0.25">
      <c r="A345"/>
      <c r="B345"/>
      <c r="C345"/>
      <c r="D345"/>
      <c r="E345"/>
      <c r="F345"/>
      <c r="G345"/>
      <c r="H345" s="66">
        <v>0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 spans="1:54" x14ac:dyDescent="0.25">
      <c r="A346"/>
      <c r="B346"/>
      <c r="C346"/>
      <c r="D346"/>
      <c r="E346"/>
      <c r="F346"/>
      <c r="G346"/>
      <c r="H346" s="66">
        <v>0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 spans="1:54" x14ac:dyDescent="0.25">
      <c r="A347"/>
      <c r="B347"/>
      <c r="C347"/>
      <c r="D347"/>
      <c r="E347"/>
      <c r="F347"/>
      <c r="G347"/>
      <c r="H347" s="66">
        <v>0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 spans="1:54" x14ac:dyDescent="0.25">
      <c r="A348"/>
      <c r="B348"/>
      <c r="C348"/>
      <c r="D348"/>
      <c r="E348"/>
      <c r="F348"/>
      <c r="G348"/>
      <c r="H348" s="66">
        <v>0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 spans="1:54" x14ac:dyDescent="0.25">
      <c r="A349"/>
      <c r="B349"/>
      <c r="C349"/>
      <c r="D349"/>
      <c r="E349"/>
      <c r="F349"/>
      <c r="G349"/>
      <c r="H349" s="66">
        <v>0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 spans="1:54" x14ac:dyDescent="0.25">
      <c r="A350"/>
      <c r="B350"/>
      <c r="C350"/>
      <c r="D350"/>
      <c r="E350"/>
      <c r="F350"/>
      <c r="G350"/>
      <c r="H350" s="66">
        <v>0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 spans="1:54" x14ac:dyDescent="0.25">
      <c r="A351"/>
      <c r="B351"/>
      <c r="C351"/>
      <c r="D351"/>
      <c r="E351"/>
      <c r="F351"/>
      <c r="G351"/>
      <c r="H351" s="66">
        <v>0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 spans="1:54" x14ac:dyDescent="0.25">
      <c r="A352"/>
      <c r="B352"/>
      <c r="C352"/>
      <c r="D352"/>
      <c r="E352"/>
      <c r="F352"/>
      <c r="G352"/>
      <c r="H352" s="66">
        <v>0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 spans="1:54" x14ac:dyDescent="0.25">
      <c r="A353"/>
      <c r="B353"/>
      <c r="C353"/>
      <c r="D353"/>
      <c r="E353"/>
      <c r="F353"/>
      <c r="G353"/>
      <c r="H353" s="66">
        <v>0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 spans="1:54" x14ac:dyDescent="0.25">
      <c r="A354"/>
      <c r="B354"/>
      <c r="C354"/>
      <c r="D354"/>
      <c r="E354"/>
      <c r="F354"/>
      <c r="G354"/>
      <c r="H354" s="66">
        <v>0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 spans="1:54" x14ac:dyDescent="0.25">
      <c r="A355"/>
      <c r="B355"/>
      <c r="C355"/>
      <c r="D355"/>
      <c r="E355"/>
      <c r="F355"/>
      <c r="G355"/>
      <c r="H355" s="66">
        <v>0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 spans="1:54" x14ac:dyDescent="0.25">
      <c r="A356"/>
      <c r="B356"/>
      <c r="C356"/>
      <c r="D356"/>
      <c r="E356"/>
      <c r="F356"/>
      <c r="G356"/>
      <c r="H356" s="66">
        <v>0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 spans="1:54" x14ac:dyDescent="0.25">
      <c r="A357"/>
      <c r="B357"/>
      <c r="C357"/>
      <c r="D357"/>
      <c r="E357"/>
      <c r="F357"/>
      <c r="G357"/>
      <c r="H357" s="66">
        <v>0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 spans="1:54" x14ac:dyDescent="0.25">
      <c r="A358"/>
      <c r="B358"/>
      <c r="C358"/>
      <c r="D358"/>
      <c r="E358"/>
      <c r="F358"/>
      <c r="G358"/>
      <c r="H358" s="66">
        <v>0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 spans="1:5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 spans="1:5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 spans="1:5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 spans="1:5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 spans="1:5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 spans="1:5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 spans="1:5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 spans="1:5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 spans="1:5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 spans="1:5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 spans="1:5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 spans="1:5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 spans="1:5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 spans="1:5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 spans="1:5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 spans="1:5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 spans="1:5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 spans="1:5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 spans="1:5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 spans="1:5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 spans="1:5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 spans="1:5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 spans="1:5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 spans="1:5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 spans="1:5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 spans="1:5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 spans="1:5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 spans="1:5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 spans="1:5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 spans="1:5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 spans="1:5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 spans="1:5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 spans="1:5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 spans="1:5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 spans="1:5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 spans="1:5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 spans="1:5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 spans="1:5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 spans="1:5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 spans="1:5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 spans="1:5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 spans="1:5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 spans="1:5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 spans="1:5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 spans="1:54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 spans="1:54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 spans="1:54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 spans="1:54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 spans="1:54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 spans="1:54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 spans="1:54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 spans="1:54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 spans="1:54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 spans="1:54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 spans="1:54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 spans="1:54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 spans="1:54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 spans="1:54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 spans="1:54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 spans="1:54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 spans="1:54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 spans="1:54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 spans="1:54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 spans="1:54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 spans="1:54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 spans="1:54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 spans="1:54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 spans="1:54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 spans="1:54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 spans="1:54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 spans="1:54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 spans="1:54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 spans="1:54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 spans="1:54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 spans="1:54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 spans="1:54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 spans="1:54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 spans="1:54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 spans="1:54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 spans="1:54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 spans="1:54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 spans="1:54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 spans="1:54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 spans="1:54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 spans="1:54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 spans="1:54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 spans="1:54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 spans="1:54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 spans="1:54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 spans="1:54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 spans="1:54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 spans="1:54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 spans="1:54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 spans="1:54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 spans="1:54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 spans="1:54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 spans="1:54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 spans="1:54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 spans="1:54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 spans="1:54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 spans="1:54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 spans="1:54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 spans="1:54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 spans="1:54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 spans="1:54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 spans="1:54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 spans="1:54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 spans="1:54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 spans="1:54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 spans="1:54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 spans="1:54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 spans="1:54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 spans="1:54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 spans="1:54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 spans="1:54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 spans="1:54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 spans="1:54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 spans="1:54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 spans="1:54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 spans="1:54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 spans="1:54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 spans="1:54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 spans="1:54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 spans="1:54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 spans="1:54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 spans="1:54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 spans="1:54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 spans="1:54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 spans="1:54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 spans="1:54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 spans="1:54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 spans="1:54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 spans="1:54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 spans="1:54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 spans="1:54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 spans="1:54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 spans="1:54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 spans="1:54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 spans="1:54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 spans="1:54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 spans="1:54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 spans="1:54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 spans="1:54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 spans="1:54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 spans="1:54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 spans="1:54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 spans="1:54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 spans="1:54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 spans="1:54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 spans="1:54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 spans="1:54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 spans="1:54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 spans="1:54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 spans="1:54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 spans="1:54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 spans="1:54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 spans="1:54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 spans="1:54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 spans="1:54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 spans="1:54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 spans="1:54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 spans="1:54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 spans="1:54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 spans="1:54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 spans="1:54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 spans="1:54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 spans="1:54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 spans="1:54" x14ac:dyDescent="0.25">
      <c r="A526" s="7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</row>
    <row r="527" spans="1:54" x14ac:dyDescent="0.25">
      <c r="A527" s="7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</row>
    <row r="528" spans="1:54" x14ac:dyDescent="0.25">
      <c r="A528" s="7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</row>
    <row r="529" spans="1:28" x14ac:dyDescent="0.25">
      <c r="A529" s="7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</row>
    <row r="530" spans="1:28" x14ac:dyDescent="0.25">
      <c r="A530" s="7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</row>
    <row r="531" spans="1:28" x14ac:dyDescent="0.25">
      <c r="A531" s="7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</row>
    <row r="532" spans="1:28" x14ac:dyDescent="0.25">
      <c r="A532" s="7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</row>
    <row r="533" spans="1:28" x14ac:dyDescent="0.25">
      <c r="A533" s="7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</row>
    <row r="534" spans="1:28" x14ac:dyDescent="0.25">
      <c r="A534" s="7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</row>
    <row r="535" spans="1:28" x14ac:dyDescent="0.25">
      <c r="A535" s="7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</row>
    <row r="536" spans="1:28" x14ac:dyDescent="0.25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</row>
  </sheetData>
  <phoneticPr fontId="7" type="noConversion"/>
  <printOptions headings="1" gridLines="1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0"/>
  <sheetViews>
    <sheetView workbookViewId="0">
      <selection activeCell="I21" sqref="I21"/>
    </sheetView>
  </sheetViews>
  <sheetFormatPr defaultRowHeight="13.2" x14ac:dyDescent="0.25"/>
  <cols>
    <col min="1" max="1" width="9.33203125" style="202" bestFit="1" customWidth="1"/>
    <col min="2" max="9" width="9.109375" style="202" customWidth="1"/>
    <col min="10" max="10" width="9.33203125" style="202" bestFit="1" customWidth="1"/>
    <col min="11" max="11" width="9.88671875" style="202" bestFit="1" customWidth="1"/>
    <col min="12" max="12" width="9.109375" style="202" customWidth="1"/>
    <col min="13" max="13" width="12" style="202" bestFit="1" customWidth="1"/>
    <col min="14" max="14" width="9.33203125" style="202" bestFit="1" customWidth="1"/>
    <col min="15" max="32" width="9.109375" style="202" customWidth="1"/>
  </cols>
  <sheetData>
    <row r="3" spans="1:20" x14ac:dyDescent="0.25">
      <c r="Q3" s="202" t="s">
        <v>208</v>
      </c>
      <c r="S3" s="202" t="s">
        <v>33</v>
      </c>
    </row>
    <row r="5" spans="1:20" x14ac:dyDescent="0.25">
      <c r="A5" s="202" t="s">
        <v>209</v>
      </c>
      <c r="B5" s="202" t="s">
        <v>175</v>
      </c>
      <c r="C5" s="202" t="s">
        <v>107</v>
      </c>
      <c r="D5" s="202" t="s">
        <v>21</v>
      </c>
      <c r="E5" s="202" t="s">
        <v>210</v>
      </c>
      <c r="F5" s="202" t="s">
        <v>22</v>
      </c>
      <c r="G5" s="202" t="s">
        <v>166</v>
      </c>
      <c r="H5" s="202" t="s">
        <v>163</v>
      </c>
      <c r="I5" s="202" t="s">
        <v>211</v>
      </c>
      <c r="J5" s="202" t="s">
        <v>37</v>
      </c>
      <c r="K5" s="202" t="s">
        <v>28</v>
      </c>
      <c r="M5" s="202" t="s">
        <v>37</v>
      </c>
    </row>
    <row r="6" spans="1:20" x14ac:dyDescent="0.25">
      <c r="A6" s="289">
        <v>1.07</v>
      </c>
      <c r="B6" s="289">
        <v>3.68</v>
      </c>
      <c r="C6" s="202">
        <v>4.75</v>
      </c>
      <c r="D6" s="202">
        <v>3.6999999999999998E-2</v>
      </c>
      <c r="E6" s="202">
        <v>3.6999999999999998E-2</v>
      </c>
      <c r="F6" s="202">
        <v>0.8</v>
      </c>
      <c r="G6" s="266">
        <f ca="1">H6-TODAY()</f>
        <v>84</v>
      </c>
      <c r="H6" s="287">
        <v>37343</v>
      </c>
      <c r="I6" s="202">
        <v>1</v>
      </c>
      <c r="J6" s="286">
        <f ca="1">_xll.DIGITAL($A6,$B6,$C6,$D6,$E6,$F6,$G6,$I6,0)</f>
        <v>0.20761963503440414</v>
      </c>
      <c r="K6" s="286">
        <f ca="1">_xll.DIGITAL($A6,$B6,$C6,$D6,$E6,$F6,$G6,$I6,1)</f>
        <v>0.20764527689211351</v>
      </c>
      <c r="M6" s="288">
        <f ca="1">J6*-1</f>
        <v>-0.20761963503440414</v>
      </c>
      <c r="N6" s="289">
        <f ca="1">_xll.DIGITAL($A6,$B6+0.01,$C6,$D6,$E6,$F6,$G6,$I6,0)</f>
        <v>0.20969942454142862</v>
      </c>
      <c r="O6" s="286">
        <f ca="1">N6-J6</f>
        <v>2.0797895070244765E-3</v>
      </c>
      <c r="Q6" s="289">
        <f ca="1">O6/100</f>
        <v>2.0797895070244767E-5</v>
      </c>
      <c r="S6" s="286">
        <f ca="1">T6-J6</f>
        <v>1.7089961360262917E-3</v>
      </c>
      <c r="T6" s="286">
        <f ca="1">_xll.DIGITAL($A6,$B6,$C6,$D6,$E6,$F6+0.01,$G6,$I6,0)</f>
        <v>0.20932863117043043</v>
      </c>
    </row>
    <row r="7" spans="1:20" x14ac:dyDescent="0.25">
      <c r="A7" s="286"/>
      <c r="G7" s="266"/>
      <c r="H7" s="287"/>
      <c r="J7" s="286"/>
      <c r="K7" s="286"/>
      <c r="M7" s="286"/>
      <c r="N7" s="286"/>
      <c r="O7" s="286"/>
      <c r="Q7" s="289"/>
      <c r="S7" s="286"/>
      <c r="T7" s="286"/>
    </row>
    <row r="8" spans="1:20" x14ac:dyDescent="0.25">
      <c r="A8" s="286"/>
      <c r="G8" s="266"/>
      <c r="H8" s="287"/>
      <c r="J8" s="286"/>
      <c r="K8" s="286"/>
      <c r="M8" s="286"/>
      <c r="N8" s="286"/>
      <c r="O8" s="286"/>
      <c r="Q8" s="289"/>
      <c r="S8" s="286"/>
      <c r="T8" s="286"/>
    </row>
    <row r="9" spans="1:20" x14ac:dyDescent="0.25">
      <c r="A9" s="286"/>
      <c r="G9" s="266"/>
      <c r="H9" s="287"/>
      <c r="J9" s="286"/>
      <c r="K9" s="286"/>
      <c r="M9" s="286"/>
      <c r="N9" s="286"/>
      <c r="O9" s="286"/>
      <c r="Q9" s="289"/>
      <c r="S9" s="286"/>
      <c r="T9" s="286"/>
    </row>
    <row r="10" spans="1:20" x14ac:dyDescent="0.25">
      <c r="A10" s="286"/>
      <c r="G10" s="266"/>
      <c r="H10" s="287"/>
      <c r="J10" s="286"/>
      <c r="K10" s="286"/>
      <c r="M10" s="286"/>
      <c r="N10" s="286"/>
      <c r="O10" s="286"/>
      <c r="Q10" s="289"/>
      <c r="S10" s="286"/>
      <c r="T10" s="286"/>
    </row>
    <row r="11" spans="1:20" x14ac:dyDescent="0.25">
      <c r="A11" s="286"/>
      <c r="G11" s="266"/>
      <c r="H11" s="287"/>
      <c r="J11" s="286"/>
      <c r="K11" s="286"/>
      <c r="M11" s="286"/>
      <c r="N11" s="286"/>
      <c r="O11" s="286"/>
      <c r="Q11" s="289"/>
      <c r="S11" s="286"/>
      <c r="T11" s="286"/>
    </row>
    <row r="12" spans="1:20" x14ac:dyDescent="0.25">
      <c r="A12" s="286"/>
      <c r="G12" s="266"/>
      <c r="H12" s="287"/>
      <c r="J12" s="286"/>
      <c r="K12" s="286"/>
      <c r="M12" s="286"/>
      <c r="N12" s="286"/>
      <c r="O12" s="286"/>
      <c r="Q12" s="289"/>
      <c r="S12" s="286"/>
      <c r="T12" s="286"/>
    </row>
    <row r="13" spans="1:20" x14ac:dyDescent="0.25">
      <c r="A13" s="286"/>
      <c r="E13" s="202">
        <v>0</v>
      </c>
    </row>
    <row r="14" spans="1:20" x14ac:dyDescent="0.25">
      <c r="A14" s="286"/>
    </row>
    <row r="15" spans="1:20" x14ac:dyDescent="0.25">
      <c r="A15" s="286"/>
      <c r="K15" s="286"/>
      <c r="M15" s="286"/>
      <c r="O15" s="286"/>
      <c r="Q15" s="289"/>
      <c r="S15" s="286"/>
    </row>
    <row r="16" spans="1:20" x14ac:dyDescent="0.25">
      <c r="A16" s="286"/>
    </row>
    <row r="17" spans="1:19" x14ac:dyDescent="0.25">
      <c r="A17" s="286"/>
      <c r="K17" s="286"/>
      <c r="M17" s="286"/>
      <c r="O17" s="286"/>
      <c r="Q17" s="289"/>
      <c r="S17" s="286"/>
    </row>
    <row r="18" spans="1:19" x14ac:dyDescent="0.25">
      <c r="A18" s="286"/>
    </row>
    <row r="19" spans="1:19" x14ac:dyDescent="0.25">
      <c r="A19" s="286"/>
    </row>
    <row r="20" spans="1:19" x14ac:dyDescent="0.25">
      <c r="A20" s="286"/>
    </row>
    <row r="21" spans="1:19" x14ac:dyDescent="0.25">
      <c r="A21" s="286"/>
    </row>
    <row r="22" spans="1:19" x14ac:dyDescent="0.25">
      <c r="A22" s="286">
        <v>1.07</v>
      </c>
    </row>
    <row r="23" spans="1:19" x14ac:dyDescent="0.25">
      <c r="A23" s="286"/>
    </row>
    <row r="24" spans="1:19" x14ac:dyDescent="0.25">
      <c r="A24" s="286"/>
    </row>
    <row r="25" spans="1:19" x14ac:dyDescent="0.25">
      <c r="A25" s="286"/>
    </row>
    <row r="26" spans="1:19" x14ac:dyDescent="0.25">
      <c r="A26" s="286"/>
    </row>
    <row r="27" spans="1:19" x14ac:dyDescent="0.25">
      <c r="A27" s="286"/>
    </row>
    <row r="28" spans="1:19" x14ac:dyDescent="0.25">
      <c r="A28" s="286"/>
    </row>
    <row r="29" spans="1:19" x14ac:dyDescent="0.25">
      <c r="A29" s="286"/>
    </row>
    <row r="30" spans="1:19" x14ac:dyDescent="0.25">
      <c r="A30" s="286"/>
    </row>
    <row r="31" spans="1:19" x14ac:dyDescent="0.25">
      <c r="A31" s="286"/>
    </row>
    <row r="32" spans="1:19" x14ac:dyDescent="0.25">
      <c r="A32" s="286"/>
    </row>
    <row r="33" spans="1:1" x14ac:dyDescent="0.25">
      <c r="A33" s="286"/>
    </row>
    <row r="34" spans="1:1" x14ac:dyDescent="0.25">
      <c r="A34" s="286"/>
    </row>
    <row r="35" spans="1:1" x14ac:dyDescent="0.25">
      <c r="A35" s="286"/>
    </row>
    <row r="36" spans="1:1" x14ac:dyDescent="0.25">
      <c r="A36" s="286"/>
    </row>
    <row r="37" spans="1:1" x14ac:dyDescent="0.25">
      <c r="A37" s="286"/>
    </row>
    <row r="38" spans="1:1" x14ac:dyDescent="0.25">
      <c r="A38" s="286"/>
    </row>
    <row r="39" spans="1:1" x14ac:dyDescent="0.25">
      <c r="A39" s="286"/>
    </row>
    <row r="40" spans="1:1" x14ac:dyDescent="0.25">
      <c r="A40" s="286"/>
    </row>
    <row r="41" spans="1:1" x14ac:dyDescent="0.25">
      <c r="A41" s="286"/>
    </row>
    <row r="42" spans="1:1" x14ac:dyDescent="0.25">
      <c r="A42" s="286"/>
    </row>
    <row r="43" spans="1:1" x14ac:dyDescent="0.25">
      <c r="A43" s="286"/>
    </row>
    <row r="44" spans="1:1" x14ac:dyDescent="0.25">
      <c r="A44" s="286"/>
    </row>
    <row r="45" spans="1:1" x14ac:dyDescent="0.25">
      <c r="A45" s="286"/>
    </row>
    <row r="46" spans="1:1" x14ac:dyDescent="0.25">
      <c r="A46" s="286"/>
    </row>
    <row r="47" spans="1:1" x14ac:dyDescent="0.25">
      <c r="A47" s="286"/>
    </row>
    <row r="48" spans="1:1" x14ac:dyDescent="0.25">
      <c r="A48" s="286"/>
    </row>
    <row r="49" spans="1:1" x14ac:dyDescent="0.25">
      <c r="A49" s="286"/>
    </row>
    <row r="50" spans="1:1" x14ac:dyDescent="0.25">
      <c r="A50" s="286"/>
    </row>
    <row r="51" spans="1:1" x14ac:dyDescent="0.25">
      <c r="A51" s="286"/>
    </row>
    <row r="52" spans="1:1" x14ac:dyDescent="0.25">
      <c r="A52" s="286"/>
    </row>
    <row r="53" spans="1:1" x14ac:dyDescent="0.25">
      <c r="A53" s="286"/>
    </row>
    <row r="54" spans="1:1" x14ac:dyDescent="0.25">
      <c r="A54" s="286"/>
    </row>
    <row r="55" spans="1:1" x14ac:dyDescent="0.25">
      <c r="A55" s="286"/>
    </row>
    <row r="56" spans="1:1" x14ac:dyDescent="0.25">
      <c r="A56" s="286"/>
    </row>
    <row r="57" spans="1:1" x14ac:dyDescent="0.25">
      <c r="A57" s="286"/>
    </row>
    <row r="58" spans="1:1" x14ac:dyDescent="0.25">
      <c r="A58" s="286"/>
    </row>
    <row r="59" spans="1:1" x14ac:dyDescent="0.25">
      <c r="A59" s="286"/>
    </row>
    <row r="60" spans="1:1" x14ac:dyDescent="0.25">
      <c r="A60" s="286"/>
    </row>
    <row r="61" spans="1:1" x14ac:dyDescent="0.25">
      <c r="A61" s="286"/>
    </row>
    <row r="62" spans="1:1" x14ac:dyDescent="0.25">
      <c r="A62" s="286"/>
    </row>
    <row r="63" spans="1:1" x14ac:dyDescent="0.25">
      <c r="A63" s="286"/>
    </row>
    <row r="64" spans="1:1" x14ac:dyDescent="0.25">
      <c r="A64" s="286"/>
    </row>
    <row r="65" spans="1:1" x14ac:dyDescent="0.25">
      <c r="A65" s="286"/>
    </row>
    <row r="66" spans="1:1" x14ac:dyDescent="0.25">
      <c r="A66" s="286"/>
    </row>
    <row r="67" spans="1:1" x14ac:dyDescent="0.25">
      <c r="A67" s="286"/>
    </row>
    <row r="68" spans="1:1" x14ac:dyDescent="0.25">
      <c r="A68" s="286"/>
    </row>
    <row r="69" spans="1:1" x14ac:dyDescent="0.25">
      <c r="A69" s="286"/>
    </row>
    <row r="70" spans="1:1" x14ac:dyDescent="0.25">
      <c r="A70" s="286"/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0"/>
  <sheetViews>
    <sheetView workbookViewId="0">
      <selection activeCell="G13" sqref="G13"/>
    </sheetView>
  </sheetViews>
  <sheetFormatPr defaultRowHeight="13.2" x14ac:dyDescent="0.25"/>
  <sheetData>
    <row r="1" spans="1:16" x14ac:dyDescent="0.25">
      <c r="A1" s="146"/>
      <c r="B1" s="146"/>
      <c r="C1" s="146"/>
      <c r="D1" s="146"/>
    </row>
    <row r="2" spans="1:16" ht="15.6" x14ac:dyDescent="0.3">
      <c r="A2" s="265"/>
      <c r="B2" s="265"/>
      <c r="C2" s="265"/>
      <c r="D2" s="265"/>
    </row>
    <row r="3" spans="1:16" ht="16.2" thickBot="1" x14ac:dyDescent="0.35">
      <c r="A3" s="265"/>
      <c r="B3" s="265"/>
      <c r="C3" s="265"/>
      <c r="D3" s="265"/>
      <c r="G3" t="e">
        <f>STRADDLES!AC31</f>
        <v>#REF!</v>
      </c>
      <c r="I3" t="s">
        <v>200</v>
      </c>
      <c r="K3" t="s">
        <v>194</v>
      </c>
      <c r="L3" t="s">
        <v>196</v>
      </c>
      <c r="M3" t="s">
        <v>198</v>
      </c>
      <c r="N3" s="101"/>
      <c r="O3" s="101"/>
      <c r="P3" s="101"/>
    </row>
    <row r="4" spans="1:16" ht="13.8" thickTop="1" x14ac:dyDescent="0.25">
      <c r="A4" s="191"/>
      <c r="B4" s="191"/>
      <c r="C4" s="191"/>
      <c r="D4" s="191"/>
      <c r="H4" t="s">
        <v>193</v>
      </c>
      <c r="I4" t="s">
        <v>201</v>
      </c>
      <c r="K4" t="s">
        <v>195</v>
      </c>
      <c r="L4" t="s">
        <v>197</v>
      </c>
      <c r="M4" t="s">
        <v>199</v>
      </c>
      <c r="N4" s="101"/>
      <c r="O4" s="101"/>
      <c r="P4" s="101"/>
    </row>
    <row r="5" spans="1:16" x14ac:dyDescent="0.25">
      <c r="A5" s="188"/>
      <c r="B5" s="188"/>
      <c r="C5" s="188"/>
      <c r="D5" s="188"/>
      <c r="E5" s="271"/>
      <c r="F5" t="s">
        <v>191</v>
      </c>
      <c r="G5">
        <v>-0.84</v>
      </c>
      <c r="H5" s="279" t="e">
        <f>G5+G$3</f>
        <v>#REF!</v>
      </c>
      <c r="I5">
        <f>((K5*(1-M5))+(L5*M5))</f>
        <v>2.266</v>
      </c>
      <c r="J5" s="279" t="e">
        <f>H5-I5</f>
        <v>#REF!</v>
      </c>
      <c r="K5">
        <v>2.27</v>
      </c>
      <c r="L5">
        <v>2.266</v>
      </c>
      <c r="M5">
        <v>1</v>
      </c>
      <c r="N5" s="101"/>
      <c r="O5" s="101"/>
      <c r="P5" s="101"/>
    </row>
    <row r="6" spans="1:16" x14ac:dyDescent="0.25">
      <c r="A6" s="188"/>
      <c r="B6" s="188"/>
      <c r="C6" s="188"/>
      <c r="D6" s="188"/>
      <c r="E6" s="271"/>
      <c r="F6" t="s">
        <v>192</v>
      </c>
      <c r="G6">
        <v>-0.65500000000000003</v>
      </c>
      <c r="H6" s="279" t="e">
        <f>G6+G$3</f>
        <v>#REF!</v>
      </c>
      <c r="I6">
        <f>((K6*(1-M6))+(L6*M6))</f>
        <v>2.419</v>
      </c>
      <c r="J6" s="279" t="e">
        <f>H6-I6</f>
        <v>#REF!</v>
      </c>
      <c r="K6">
        <v>2.5099999999999998</v>
      </c>
      <c r="L6">
        <v>2.419</v>
      </c>
      <c r="M6">
        <v>1</v>
      </c>
      <c r="N6" s="101"/>
      <c r="O6" s="101"/>
      <c r="P6" s="101"/>
    </row>
    <row r="7" spans="1:16" x14ac:dyDescent="0.25">
      <c r="A7" s="123"/>
      <c r="B7" s="123"/>
      <c r="C7" s="123"/>
      <c r="D7" s="123"/>
      <c r="E7" s="189"/>
      <c r="F7" t="s">
        <v>169</v>
      </c>
      <c r="G7">
        <v>0.55000000000000004</v>
      </c>
      <c r="H7" s="279" t="e">
        <f>G7+G$3</f>
        <v>#REF!</v>
      </c>
      <c r="I7">
        <f>((K7*(1-M7))+(L7*M7))</f>
        <v>3.7</v>
      </c>
      <c r="J7" s="279" t="e">
        <f>H7-I7</f>
        <v>#REF!</v>
      </c>
      <c r="K7">
        <v>3.73</v>
      </c>
      <c r="L7">
        <v>3.7</v>
      </c>
      <c r="M7">
        <v>1</v>
      </c>
      <c r="N7" s="101"/>
      <c r="O7" s="101"/>
      <c r="P7" s="101"/>
    </row>
    <row r="8" spans="1:16" x14ac:dyDescent="0.25">
      <c r="A8" s="123"/>
      <c r="B8" s="123"/>
      <c r="C8" s="123"/>
      <c r="D8" s="123"/>
      <c r="E8" s="272"/>
      <c r="F8" t="s">
        <v>202</v>
      </c>
      <c r="G8">
        <v>-0.03</v>
      </c>
      <c r="H8" s="279" t="e">
        <f>G8+G$3</f>
        <v>#REF!</v>
      </c>
      <c r="I8">
        <f>((K8*(1-M8))+(L8*M8))</f>
        <v>3.097</v>
      </c>
      <c r="J8" s="279" t="e">
        <f>H8-I8</f>
        <v>#REF!</v>
      </c>
      <c r="K8">
        <v>3.09</v>
      </c>
      <c r="L8">
        <v>3.097</v>
      </c>
      <c r="M8">
        <v>1</v>
      </c>
      <c r="N8" s="101"/>
      <c r="O8" s="101"/>
      <c r="P8" s="101"/>
    </row>
    <row r="9" spans="1:16" x14ac:dyDescent="0.25">
      <c r="A9" s="123"/>
      <c r="B9" s="123"/>
      <c r="C9" s="123"/>
      <c r="D9" s="123"/>
      <c r="E9" s="272"/>
      <c r="N9" s="101"/>
      <c r="O9" s="101"/>
      <c r="P9" s="101"/>
    </row>
    <row r="10" spans="1:16" x14ac:dyDescent="0.25">
      <c r="A10" s="55"/>
      <c r="B10" s="55"/>
      <c r="C10" s="55"/>
      <c r="D10" s="55"/>
      <c r="E10" s="272"/>
      <c r="N10" s="101"/>
      <c r="O10" s="101"/>
      <c r="P10" s="101"/>
    </row>
    <row r="11" spans="1:16" x14ac:dyDescent="0.25">
      <c r="A11" s="55"/>
      <c r="B11" s="55"/>
      <c r="C11" s="55"/>
      <c r="D11" s="55"/>
      <c r="E11" s="272"/>
      <c r="N11" s="101"/>
      <c r="O11" s="101"/>
      <c r="P11" s="101"/>
    </row>
    <row r="12" spans="1:16" ht="13.8" thickBot="1" x14ac:dyDescent="0.3">
      <c r="A12" s="55"/>
      <c r="B12" s="55"/>
      <c r="C12" s="55"/>
      <c r="D12" s="55"/>
      <c r="E12" s="272"/>
      <c r="N12" s="101"/>
      <c r="O12" s="101"/>
      <c r="P12" s="101"/>
    </row>
    <row r="13" spans="1:16" ht="13.8" thickTop="1" x14ac:dyDescent="0.25">
      <c r="A13" s="191"/>
      <c r="B13" s="200"/>
      <c r="C13" s="200"/>
      <c r="D13" s="207"/>
      <c r="E13" s="272"/>
      <c r="N13" s="101"/>
      <c r="O13" s="101"/>
      <c r="P13" s="101"/>
    </row>
    <row r="14" spans="1:16" x14ac:dyDescent="0.25">
      <c r="A14" s="189"/>
      <c r="B14" s="189"/>
      <c r="C14" s="189"/>
      <c r="D14" s="189"/>
      <c r="E14" s="272"/>
      <c r="N14" s="101"/>
      <c r="O14" s="101"/>
      <c r="P14" s="101"/>
    </row>
    <row r="15" spans="1:16" x14ac:dyDescent="0.25">
      <c r="A15" s="142"/>
      <c r="B15" s="142"/>
      <c r="C15" s="142"/>
      <c r="D15" s="142"/>
      <c r="E15" s="272"/>
    </row>
    <row r="16" spans="1:16" x14ac:dyDescent="0.25">
      <c r="A16" s="142"/>
      <c r="B16" s="142"/>
      <c r="C16" s="142"/>
      <c r="D16" s="142"/>
    </row>
    <row r="20" spans="8:8" x14ac:dyDescent="0.25">
      <c r="H20" s="270"/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D221"/>
  <sheetViews>
    <sheetView tabSelected="1" workbookViewId="0">
      <selection activeCell="B15" sqref="B15"/>
    </sheetView>
  </sheetViews>
  <sheetFormatPr defaultRowHeight="13.2" x14ac:dyDescent="0.25"/>
  <cols>
    <col min="1" max="1" width="12.6640625" style="75" customWidth="1"/>
    <col min="2" max="2" width="9.5546875" style="75" customWidth="1"/>
    <col min="3" max="4" width="9.109375" style="75" customWidth="1"/>
    <col min="5" max="5" width="10.109375" style="75" customWidth="1"/>
    <col min="6" max="10" width="9.109375" style="75" customWidth="1"/>
    <col min="11" max="11" width="10.44140625" style="75" customWidth="1"/>
    <col min="12" max="13" width="9.109375" style="75" customWidth="1"/>
    <col min="14" max="14" width="10.109375" style="75" customWidth="1"/>
    <col min="15" max="30" width="10" style="75" customWidth="1"/>
    <col min="31" max="40" width="9.109375" style="75" customWidth="1"/>
    <col min="41" max="41" width="9.109375" style="300" customWidth="1"/>
    <col min="42" max="49" width="9.109375" style="75" customWidth="1"/>
    <col min="51" max="51" width="9.109375" style="75" customWidth="1"/>
    <col min="52" max="52" width="9.109375" style="300" customWidth="1"/>
    <col min="53" max="60" width="9.109375" style="75" customWidth="1"/>
    <col min="62" max="62" width="9.109375" style="75" customWidth="1"/>
    <col min="63" max="63" width="9.109375" style="300" customWidth="1"/>
    <col min="64" max="71" width="9.109375" style="75" customWidth="1"/>
    <col min="73" max="73" width="9.109375" style="75" customWidth="1"/>
    <col min="74" max="74" width="9.109375" style="300" customWidth="1"/>
    <col min="75" max="82" width="9.109375" style="75" customWidth="1"/>
  </cols>
  <sheetData>
    <row r="1" spans="1:74" x14ac:dyDescent="0.25">
      <c r="A1" s="74"/>
      <c r="B1" s="144"/>
      <c r="C1" s="77"/>
      <c r="D1" s="55" t="s">
        <v>120</v>
      </c>
      <c r="E1" s="55">
        <f>summerstrip</f>
        <v>0</v>
      </c>
      <c r="F1" s="55"/>
      <c r="G1" s="158" t="s">
        <v>33</v>
      </c>
      <c r="I1"/>
      <c r="J1"/>
      <c r="K1" t="s">
        <v>151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5">
      <c r="A2" s="74" t="s">
        <v>17</v>
      </c>
      <c r="B2" s="145">
        <f ca="1">TODAY()</f>
        <v>37259</v>
      </c>
      <c r="C2" s="77"/>
      <c r="D2" s="55" t="s">
        <v>121</v>
      </c>
      <c r="E2" s="55">
        <f>winterstrip</f>
        <v>0</v>
      </c>
      <c r="F2" s="55"/>
      <c r="G2" s="55"/>
      <c r="I2"/>
      <c r="J2"/>
      <c r="L2" t="s">
        <v>147</v>
      </c>
      <c r="M2" t="s">
        <v>148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79"/>
      <c r="AL2" s="79"/>
      <c r="AM2" s="80"/>
      <c r="AN2" s="79"/>
      <c r="AO2" s="301"/>
      <c r="AY2" s="79"/>
      <c r="AZ2" s="301"/>
      <c r="BJ2" s="79"/>
      <c r="BK2" s="301"/>
      <c r="BU2" s="79"/>
      <c r="BV2" s="301"/>
    </row>
    <row r="3" spans="1:74" x14ac:dyDescent="0.25">
      <c r="A3" s="74"/>
      <c r="B3" s="144"/>
      <c r="D3" s="55"/>
      <c r="E3" s="55"/>
      <c r="F3" s="146" t="s">
        <v>87</v>
      </c>
      <c r="G3" s="55"/>
      <c r="I3"/>
      <c r="J3"/>
      <c r="K3" s="75">
        <v>1</v>
      </c>
      <c r="L3" s="186">
        <f ca="1">B21</f>
        <v>1.1898563529585233</v>
      </c>
      <c r="M3" s="186">
        <f ca="1">B22</f>
        <v>-0.61587286560421717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79"/>
      <c r="AL3" s="79"/>
      <c r="AM3" s="80"/>
      <c r="AN3" s="79"/>
      <c r="AO3" s="301"/>
      <c r="AY3" s="79"/>
      <c r="AZ3" s="301"/>
      <c r="BJ3" s="79"/>
      <c r="BK3" s="301"/>
      <c r="BU3" s="79"/>
      <c r="BV3" s="301"/>
    </row>
    <row r="4" spans="1:74" x14ac:dyDescent="0.25">
      <c r="A4" s="55" t="s">
        <v>106</v>
      </c>
      <c r="B4" s="146" t="str">
        <f>STRADDLES!$B3</f>
        <v>nymex</v>
      </c>
      <c r="C4" s="125"/>
      <c r="D4" s="146" t="str">
        <f>STRADDLES!$C3</f>
        <v>IF-HPL/SHPCHAN</v>
      </c>
      <c r="E4" s="55"/>
      <c r="F4" s="146" t="str">
        <f>STRADDLES!$D3</f>
        <v>IF-HPL/SHPCHAN</v>
      </c>
      <c r="G4" s="125"/>
      <c r="H4" s="146" t="str">
        <f>STRADDLES!$E3</f>
        <v>IF-HPL/SHPCHAN</v>
      </c>
      <c r="I4" s="131"/>
      <c r="J4" s="134"/>
      <c r="K4" s="75">
        <v>-1</v>
      </c>
      <c r="L4" s="186">
        <f ca="1">D21</f>
        <v>0.24634509271668414</v>
      </c>
      <c r="M4" s="186">
        <f ca="1">D22</f>
        <v>-0.2389869565123395</v>
      </c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1"/>
      <c r="AF4" s="131"/>
      <c r="AG4" s="131"/>
      <c r="AK4" s="79"/>
      <c r="AL4" s="79"/>
      <c r="AM4" s="80"/>
      <c r="AN4" s="79"/>
      <c r="AO4" s="301"/>
      <c r="AY4" s="79"/>
      <c r="AZ4" s="301"/>
      <c r="BJ4" s="79"/>
      <c r="BK4" s="301"/>
      <c r="BU4" s="79"/>
      <c r="BV4" s="301"/>
    </row>
    <row r="5" spans="1:74" x14ac:dyDescent="0.25">
      <c r="A5" s="55"/>
      <c r="B5" s="55" t="s">
        <v>47</v>
      </c>
      <c r="D5" s="55" t="s">
        <v>48</v>
      </c>
      <c r="F5" s="55" t="s">
        <v>123</v>
      </c>
      <c r="H5" s="55" t="s">
        <v>122</v>
      </c>
      <c r="L5" s="186">
        <f ca="1">F21</f>
        <v>0.24634509271668414</v>
      </c>
      <c r="M5" s="186">
        <f ca="1">F22</f>
        <v>-0.2389869565123395</v>
      </c>
      <c r="AK5" s="79"/>
      <c r="AL5" s="79"/>
      <c r="AM5" s="80"/>
      <c r="AN5" s="79"/>
      <c r="AO5" s="301"/>
      <c r="AY5" s="79"/>
      <c r="AZ5" s="301"/>
      <c r="BJ5" s="79"/>
      <c r="BK5" s="301"/>
      <c r="BU5" s="79"/>
      <c r="BV5" s="301"/>
    </row>
    <row r="6" spans="1:74" x14ac:dyDescent="0.25">
      <c r="A6" s="55" t="s">
        <v>34</v>
      </c>
      <c r="B6" s="184">
        <f>STRADDLES!$B4</f>
        <v>37257</v>
      </c>
      <c r="C6" s="185"/>
      <c r="D6" s="184">
        <f>STRADDLES!$C4</f>
        <v>37257</v>
      </c>
      <c r="E6" s="185"/>
      <c r="F6" s="184">
        <f>STRADDLES!$D4</f>
        <v>37257</v>
      </c>
      <c r="G6" s="185"/>
      <c r="H6" s="184">
        <f>STRADDLES!$E4</f>
        <v>37257</v>
      </c>
      <c r="L6" s="186">
        <f ca="1">H21</f>
        <v>0.2423777604356856</v>
      </c>
      <c r="M6" s="186">
        <f ca="1">H22</f>
        <v>-0.23609888758021999</v>
      </c>
      <c r="AK6" s="79"/>
      <c r="AL6" s="79"/>
      <c r="AM6" s="80"/>
      <c r="AN6" s="79"/>
      <c r="AO6" s="301"/>
      <c r="AY6" s="79"/>
      <c r="AZ6" s="301"/>
      <c r="BJ6" s="79"/>
      <c r="BK6" s="301"/>
      <c r="BU6" s="79"/>
      <c r="BV6" s="301"/>
    </row>
    <row r="7" spans="1:74" x14ac:dyDescent="0.25">
      <c r="A7" s="74" t="s">
        <v>49</v>
      </c>
      <c r="B7" s="184">
        <f>STRADDLES!$B5</f>
        <v>37956</v>
      </c>
      <c r="C7" s="185"/>
      <c r="D7" s="184">
        <f>STRADDLES!$C5</f>
        <v>37956</v>
      </c>
      <c r="E7" s="185"/>
      <c r="F7" s="184">
        <f>STRADDLES!$D5</f>
        <v>37956</v>
      </c>
      <c r="G7" s="185"/>
      <c r="H7" s="184">
        <f>STRADDLES!$E5</f>
        <v>37956</v>
      </c>
      <c r="J7" s="153"/>
      <c r="L7" s="155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F7" s="146" t="s">
        <v>87</v>
      </c>
      <c r="AG7" s="146"/>
      <c r="AK7" s="79"/>
      <c r="AL7" s="79"/>
      <c r="AM7" s="80"/>
      <c r="AN7" s="79"/>
      <c r="AO7" s="301"/>
      <c r="AY7" s="79"/>
      <c r="AZ7" s="301"/>
      <c r="BJ7" s="79"/>
      <c r="BK7" s="301"/>
      <c r="BU7" s="79"/>
      <c r="BV7" s="301"/>
    </row>
    <row r="8" spans="1:74" x14ac:dyDescent="0.25">
      <c r="I8" s="166"/>
      <c r="K8" s="146"/>
      <c r="L8" s="75">
        <f ca="1">(L3*$K3)+(L4*$K4)+(L5*$K5)+(L6*$K6)</f>
        <v>0.94351126024183918</v>
      </c>
      <c r="M8" s="75">
        <f ca="1">(M3*$K3)+(M4*$K4)+(M5*$K5)+(M6*$K6)</f>
        <v>-0.37688590909187769</v>
      </c>
      <c r="AF8" s="146"/>
      <c r="AG8" s="146"/>
      <c r="AK8" s="79"/>
      <c r="AL8" s="79"/>
      <c r="AM8" s="80"/>
      <c r="AN8" s="79"/>
      <c r="AO8" s="301"/>
      <c r="AY8" s="79"/>
      <c r="AZ8" s="301"/>
      <c r="BJ8" s="79"/>
      <c r="BK8" s="301"/>
      <c r="BU8" s="79"/>
      <c r="BV8" s="301"/>
    </row>
    <row r="9" spans="1:74" x14ac:dyDescent="0.25">
      <c r="A9" s="73" t="s">
        <v>109</v>
      </c>
      <c r="B9" s="165">
        <f>AP24</f>
        <v>3.1077525035765383</v>
      </c>
      <c r="C9" s="166"/>
      <c r="D9" s="165">
        <f>BA24</f>
        <v>3.1077525035765383</v>
      </c>
      <c r="E9" s="166"/>
      <c r="F9" s="165">
        <f>BL24</f>
        <v>3.1077525035765383</v>
      </c>
      <c r="G9" s="166"/>
      <c r="H9" s="165">
        <f>BW24</f>
        <v>3.1077525035765383</v>
      </c>
      <c r="I9" s="166"/>
      <c r="AF9" s="146" t="s">
        <v>70</v>
      </c>
      <c r="AG9" s="146"/>
      <c r="AK9" s="79"/>
      <c r="AL9" s="79"/>
      <c r="AM9" s="80"/>
      <c r="AN9" s="79"/>
      <c r="AO9" s="301"/>
      <c r="AY9" s="79"/>
      <c r="AZ9" s="301"/>
      <c r="BJ9" s="79"/>
      <c r="BK9" s="301"/>
      <c r="BU9" s="79"/>
      <c r="BV9" s="301"/>
    </row>
    <row r="10" spans="1:74" x14ac:dyDescent="0.25">
      <c r="A10" s="73" t="s">
        <v>39</v>
      </c>
      <c r="B10" s="165">
        <f>AQ24</f>
        <v>3.1077525035765383</v>
      </c>
      <c r="C10" s="166"/>
      <c r="D10" s="165">
        <f>BB24</f>
        <v>3.1140329041487829</v>
      </c>
      <c r="E10" s="166"/>
      <c r="F10" s="165">
        <f>BM24</f>
        <v>3.1140329041487829</v>
      </c>
      <c r="G10" s="166"/>
      <c r="H10" s="165">
        <f>BX24</f>
        <v>3.1140329041487829</v>
      </c>
      <c r="I10" s="166"/>
      <c r="K10" s="146"/>
      <c r="M10" s="146"/>
      <c r="N10" s="173"/>
      <c r="O10" s="146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G10" s="146"/>
      <c r="AK10" s="79"/>
      <c r="AL10" s="79"/>
      <c r="AM10" s="80"/>
      <c r="AN10" s="79"/>
      <c r="AO10" s="301"/>
      <c r="AY10" s="79"/>
      <c r="AZ10" s="301"/>
      <c r="BJ10" s="79"/>
      <c r="BK10" s="301"/>
      <c r="BU10" s="79"/>
      <c r="BV10" s="301"/>
    </row>
    <row r="11" spans="1:74" x14ac:dyDescent="0.25">
      <c r="A11" s="73" t="s">
        <v>35</v>
      </c>
      <c r="B11" s="165">
        <f>B10-B9</f>
        <v>0</v>
      </c>
      <c r="C11" s="165"/>
      <c r="D11" s="165">
        <f>D10-D9</f>
        <v>6.2804005722445488E-3</v>
      </c>
      <c r="E11" s="165"/>
      <c r="F11" s="165">
        <f>F10-F9</f>
        <v>6.2804005722445488E-3</v>
      </c>
      <c r="G11" s="165"/>
      <c r="H11" s="165">
        <f>H10-H9</f>
        <v>6.2804005722445488E-3</v>
      </c>
      <c r="I11" s="166"/>
      <c r="AF11" s="146"/>
      <c r="AG11" s="146"/>
      <c r="AK11" s="79"/>
      <c r="AL11" s="79"/>
      <c r="AM11" s="80"/>
      <c r="AN11" s="79"/>
      <c r="AO11" s="301"/>
      <c r="AY11" s="79"/>
      <c r="AZ11" s="301"/>
      <c r="BJ11" s="79"/>
      <c r="BK11" s="301"/>
      <c r="BU11" s="79"/>
      <c r="BV11" s="301"/>
    </row>
    <row r="12" spans="1:74" x14ac:dyDescent="0.25">
      <c r="A12" s="73"/>
      <c r="B12" s="165"/>
      <c r="C12" s="166"/>
      <c r="D12" s="165"/>
      <c r="E12" s="166"/>
      <c r="F12" s="165"/>
      <c r="G12" s="166"/>
      <c r="H12" s="165"/>
      <c r="I12" s="166"/>
      <c r="K12" s="146"/>
      <c r="L12" s="146" t="s">
        <v>87</v>
      </c>
      <c r="M12" s="146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F12" s="146"/>
      <c r="AG12" s="146"/>
      <c r="AK12" s="79"/>
      <c r="AL12" s="79"/>
      <c r="AM12" s="80"/>
      <c r="AN12" s="79"/>
      <c r="AO12" s="301"/>
      <c r="AY12" s="79"/>
      <c r="AZ12" s="301"/>
      <c r="BJ12" s="79"/>
      <c r="BK12" s="301"/>
      <c r="BU12" s="79"/>
      <c r="BV12" s="301"/>
    </row>
    <row r="13" spans="1:74" x14ac:dyDescent="0.25">
      <c r="A13" s="73" t="s">
        <v>134</v>
      </c>
      <c r="B13" s="176">
        <f>STRADDLES!$B8</f>
        <v>0</v>
      </c>
      <c r="C13" s="177"/>
      <c r="D13" s="176">
        <f>STRADDLES!$C8</f>
        <v>0</v>
      </c>
      <c r="E13" s="177"/>
      <c r="F13" s="176">
        <f>STRADDLES!$D8</f>
        <v>0</v>
      </c>
      <c r="G13" s="177"/>
      <c r="H13" s="176">
        <f>STRADDLES!$E8</f>
        <v>0</v>
      </c>
      <c r="I13" s="166"/>
      <c r="K13" s="146"/>
      <c r="L13" s="146" t="s">
        <v>74</v>
      </c>
      <c r="M13" s="146"/>
      <c r="N13" s="173"/>
      <c r="O13" s="146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G13" s="146"/>
      <c r="AK13" s="79"/>
      <c r="AL13" s="79"/>
      <c r="AM13" s="80"/>
      <c r="AN13" s="79"/>
      <c r="AO13" s="301"/>
      <c r="AY13" s="79"/>
      <c r="AZ13" s="301"/>
      <c r="BJ13" s="79"/>
      <c r="BK13" s="301"/>
      <c r="BU13" s="79"/>
      <c r="BV13" s="301"/>
    </row>
    <row r="14" spans="1:74" x14ac:dyDescent="0.25">
      <c r="A14" s="73" t="s">
        <v>108</v>
      </c>
      <c r="B14" s="176">
        <v>0</v>
      </c>
      <c r="C14" s="177"/>
      <c r="D14" s="176">
        <v>0</v>
      </c>
      <c r="E14" s="177"/>
      <c r="F14" s="176">
        <v>0</v>
      </c>
      <c r="G14" s="177"/>
      <c r="H14" s="176">
        <v>0</v>
      </c>
      <c r="I14" s="167"/>
      <c r="J14" s="79"/>
      <c r="K14" s="146"/>
      <c r="L14" s="146" t="s">
        <v>87</v>
      </c>
      <c r="M14" s="146"/>
      <c r="N14" s="79"/>
      <c r="O14" s="146"/>
      <c r="AG14" s="146"/>
      <c r="AJ14" s="131"/>
      <c r="AK14" s="79"/>
      <c r="AL14" s="79"/>
      <c r="AM14" s="80"/>
      <c r="AN14" s="79"/>
      <c r="AO14" s="301"/>
      <c r="AY14" s="79"/>
      <c r="AZ14" s="301"/>
      <c r="BJ14" s="79"/>
      <c r="BK14" s="301"/>
      <c r="BU14" s="79"/>
      <c r="BV14" s="301"/>
    </row>
    <row r="15" spans="1:74" x14ac:dyDescent="0.25">
      <c r="A15" s="60" t="s">
        <v>52</v>
      </c>
      <c r="B15" s="178">
        <f>STRADDLES!$B9</f>
        <v>0</v>
      </c>
      <c r="C15" s="178"/>
      <c r="D15" s="178">
        <f>STRADDLES!$C9</f>
        <v>0</v>
      </c>
      <c r="E15" s="178"/>
      <c r="F15" s="178">
        <f>STRADDLES!$D9</f>
        <v>0</v>
      </c>
      <c r="G15" s="178"/>
      <c r="H15" s="178">
        <f>STRADDLES!$E9</f>
        <v>0</v>
      </c>
      <c r="I15" s="168"/>
      <c r="J15" s="79"/>
      <c r="K15" s="79"/>
      <c r="L15" s="146" t="s">
        <v>70</v>
      </c>
      <c r="M15" s="146"/>
      <c r="N15" s="79"/>
      <c r="O15" s="146"/>
      <c r="AG15" s="146"/>
      <c r="AJ15" s="131"/>
      <c r="AK15" s="79"/>
      <c r="AL15" s="79"/>
      <c r="AM15" s="80"/>
      <c r="AN15" s="79"/>
      <c r="AO15" s="301"/>
      <c r="AY15" s="79"/>
      <c r="AZ15" s="301"/>
      <c r="BJ15" s="79"/>
      <c r="BK15" s="301"/>
      <c r="BU15" s="79"/>
      <c r="BV15" s="301"/>
    </row>
    <row r="16" spans="1:74" x14ac:dyDescent="0.25">
      <c r="A16" s="54" t="s">
        <v>125</v>
      </c>
      <c r="B16" s="179">
        <f>STRADDLES!$B10</f>
        <v>1</v>
      </c>
      <c r="C16" s="180"/>
      <c r="D16" s="179">
        <f>STRADDLES!$C10</f>
        <v>1</v>
      </c>
      <c r="E16" s="181"/>
      <c r="F16" s="179">
        <f>STRADDLES!$D10</f>
        <v>1</v>
      </c>
      <c r="G16" s="181"/>
      <c r="H16" s="179">
        <f>STRADDLES!$E10</f>
        <v>1</v>
      </c>
      <c r="I16" s="166"/>
      <c r="L16" s="146" t="s">
        <v>90</v>
      </c>
      <c r="AF16" s="146"/>
      <c r="AG16" s="146"/>
      <c r="AK16" s="79"/>
      <c r="AL16" s="79"/>
      <c r="AM16" s="80"/>
      <c r="AN16" s="79"/>
      <c r="AO16" s="301"/>
      <c r="AY16" s="79"/>
      <c r="AZ16" s="301"/>
      <c r="BJ16" s="79"/>
      <c r="BK16" s="301"/>
      <c r="BU16" s="79"/>
      <c r="BV16" s="301"/>
    </row>
    <row r="17" spans="1:82" x14ac:dyDescent="0.25">
      <c r="A17" s="73"/>
      <c r="B17" s="176"/>
      <c r="C17" s="177"/>
      <c r="D17" s="176"/>
      <c r="E17" s="177"/>
      <c r="F17" s="176"/>
      <c r="G17" s="177"/>
      <c r="H17" s="176"/>
      <c r="I17" s="167"/>
      <c r="L17" s="146" t="s">
        <v>62</v>
      </c>
      <c r="M17" s="146"/>
      <c r="N17" s="173"/>
      <c r="O17" s="146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G17" s="146"/>
      <c r="AK17" s="79"/>
      <c r="AL17" s="79"/>
      <c r="AM17" s="80"/>
      <c r="AN17" s="79"/>
      <c r="AO17" s="301"/>
      <c r="AY17" s="79"/>
      <c r="AZ17" s="301"/>
      <c r="BJ17" s="79"/>
      <c r="BK17" s="301"/>
      <c r="BU17" s="79"/>
      <c r="BV17" s="301"/>
    </row>
    <row r="18" spans="1:82" x14ac:dyDescent="0.25">
      <c r="A18" s="60" t="s">
        <v>107</v>
      </c>
      <c r="B18" s="182">
        <f>STRADDLES!$B12</f>
        <v>4</v>
      </c>
      <c r="C18" s="181"/>
      <c r="D18" s="182">
        <f>STRADDLES!$C12</f>
        <v>2.5</v>
      </c>
      <c r="E18" s="181"/>
      <c r="F18" s="182">
        <f>STRADDLES!$D12</f>
        <v>2.5</v>
      </c>
      <c r="G18" s="181"/>
      <c r="H18" s="182">
        <f>STRADDLES!$E12</f>
        <v>2.4900000000000002</v>
      </c>
      <c r="I18" s="167"/>
      <c r="J18" s="79"/>
      <c r="K18" s="146"/>
      <c r="L18" s="146" t="s">
        <v>92</v>
      </c>
      <c r="M18" s="146"/>
      <c r="N18" s="79"/>
      <c r="O18" s="146"/>
      <c r="AG18" s="146"/>
      <c r="AK18" s="79"/>
      <c r="AL18" s="79"/>
      <c r="AM18" s="80"/>
      <c r="AN18" s="79"/>
      <c r="AO18" s="301"/>
      <c r="AY18" s="79"/>
      <c r="AZ18" s="301"/>
      <c r="BJ18" s="79"/>
      <c r="BK18" s="301"/>
      <c r="BU18" s="79"/>
      <c r="BV18" s="301"/>
    </row>
    <row r="19" spans="1:82" x14ac:dyDescent="0.25">
      <c r="A19" s="60" t="s">
        <v>112</v>
      </c>
      <c r="B19" s="183">
        <f>STRADDLES!$B11</f>
        <v>2</v>
      </c>
      <c r="C19" s="181"/>
      <c r="D19" s="183">
        <f>STRADDLES!$C11</f>
        <v>2</v>
      </c>
      <c r="E19" s="181"/>
      <c r="F19" s="183">
        <f>STRADDLES!$D11</f>
        <v>2</v>
      </c>
      <c r="G19" s="181"/>
      <c r="H19" s="183">
        <f>STRADDLES!$E11</f>
        <v>2</v>
      </c>
      <c r="L19" s="146" t="s">
        <v>68</v>
      </c>
    </row>
    <row r="20" spans="1:82" x14ac:dyDescent="0.25">
      <c r="A20" s="125" t="s">
        <v>153</v>
      </c>
      <c r="L20" s="146" t="s">
        <v>94</v>
      </c>
      <c r="AF20" s="75">
        <f>500000/(300*10000)</f>
        <v>0.16666666666666666</v>
      </c>
    </row>
    <row r="21" spans="1:82" x14ac:dyDescent="0.25">
      <c r="A21" s="60" t="s">
        <v>37</v>
      </c>
      <c r="B21" s="164">
        <f ca="1">AU24</f>
        <v>1.1898563529585233</v>
      </c>
      <c r="C21" s="167"/>
      <c r="D21" s="164">
        <f ca="1">BF24</f>
        <v>0.24634509271668414</v>
      </c>
      <c r="E21" s="167"/>
      <c r="F21" s="164">
        <f ca="1">BQ24</f>
        <v>0.24634509271668414</v>
      </c>
      <c r="G21" s="167"/>
      <c r="H21" s="164">
        <f ca="1">CB24</f>
        <v>0.2423777604356856</v>
      </c>
      <c r="L21" s="146" t="s">
        <v>66</v>
      </c>
      <c r="AI21" s="75">
        <f>500000/181</f>
        <v>2762.4309392265195</v>
      </c>
    </row>
    <row r="22" spans="1:82" x14ac:dyDescent="0.25">
      <c r="A22" s="60" t="s">
        <v>28</v>
      </c>
      <c r="B22" s="164">
        <f ca="1">AV24</f>
        <v>-0.61587286560421717</v>
      </c>
      <c r="C22" s="167"/>
      <c r="D22" s="164">
        <f ca="1">BG24</f>
        <v>-0.2389869565123395</v>
      </c>
      <c r="E22" s="167"/>
      <c r="F22" s="164">
        <f ca="1">BR24</f>
        <v>-0.2389869565123395</v>
      </c>
      <c r="G22" s="167"/>
      <c r="H22" s="164">
        <f ca="1">CC24</f>
        <v>-0.23609888758021999</v>
      </c>
      <c r="L22" s="146" t="s">
        <v>86</v>
      </c>
    </row>
    <row r="23" spans="1:82" x14ac:dyDescent="0.25">
      <c r="A23" s="60" t="str">
        <f>G1</f>
        <v>VEGA</v>
      </c>
      <c r="B23" s="164">
        <f ca="1">AW24</f>
        <v>1.087095674779083E-2</v>
      </c>
      <c r="C23" s="167"/>
      <c r="D23" s="164">
        <f ca="1">BH24</f>
        <v>8.7903055059085806E-3</v>
      </c>
      <c r="E23" s="167"/>
      <c r="F23" s="164">
        <f ca="1">BS24</f>
        <v>8.7903055059085806E-3</v>
      </c>
      <c r="G23" s="167"/>
      <c r="H23" s="164">
        <f ca="1">CD24</f>
        <v>8.7363448210908551E-3</v>
      </c>
      <c r="L23" s="146" t="s">
        <v>60</v>
      </c>
      <c r="AH23" s="77" t="e">
        <f>VLOOKUP($A23,STRADDLE,14,FALSE)</f>
        <v>#N/A</v>
      </c>
    </row>
    <row r="24" spans="1:82" x14ac:dyDescent="0.25">
      <c r="A24" s="79"/>
      <c r="B24" s="169"/>
      <c r="C24" s="79"/>
      <c r="D24" s="169"/>
      <c r="E24" s="79"/>
      <c r="F24" s="169"/>
      <c r="G24" s="79"/>
      <c r="H24" s="79"/>
      <c r="I24" s="79"/>
      <c r="J24" s="79"/>
      <c r="K24" s="146"/>
      <c r="L24" s="146" t="s">
        <v>81</v>
      </c>
      <c r="M24" s="79"/>
      <c r="N24" s="79"/>
      <c r="O24" s="146"/>
      <c r="AG24" s="146"/>
      <c r="AK24" s="79"/>
      <c r="AL24" s="79"/>
      <c r="AM24" s="80"/>
      <c r="AN24" s="79"/>
      <c r="AP24" s="75">
        <f>AP26/AN28</f>
        <v>3.1077525035765383</v>
      </c>
      <c r="AQ24" s="75">
        <f>AQ26/AN28</f>
        <v>3.1077525035765383</v>
      </c>
      <c r="AU24" s="126">
        <f ca="1">AU26/AN28</f>
        <v>1.1898563529585233</v>
      </c>
      <c r="AV24" s="126">
        <f ca="1">AV26/AN28</f>
        <v>-0.61587286560421717</v>
      </c>
      <c r="AW24" s="126">
        <f ca="1">AW26/AN28</f>
        <v>1.087095674779083E-2</v>
      </c>
      <c r="AY24" s="79"/>
      <c r="BA24" s="75">
        <f>BA26/AY28</f>
        <v>3.1077525035765383</v>
      </c>
      <c r="BB24" s="75">
        <f>BB26/AY28</f>
        <v>3.1140329041487829</v>
      </c>
      <c r="BF24" s="126">
        <f ca="1">BF26/AY28</f>
        <v>0.24634509271668414</v>
      </c>
      <c r="BG24" s="126">
        <f ca="1">BG26/AY28</f>
        <v>-0.2389869565123395</v>
      </c>
      <c r="BH24" s="126">
        <f ca="1">BH26/AY28</f>
        <v>8.7903055059085806E-3</v>
      </c>
      <c r="BJ24" s="79"/>
      <c r="BL24" s="75">
        <f>BL26/BJ28</f>
        <v>3.1077525035765383</v>
      </c>
      <c r="BM24" s="75">
        <f>BM26/BJ28</f>
        <v>3.1140329041487829</v>
      </c>
      <c r="BQ24" s="126">
        <f ca="1">BQ26/BJ28</f>
        <v>0.24634509271668414</v>
      </c>
      <c r="BR24" s="126">
        <f ca="1">BR26/BJ28</f>
        <v>-0.2389869565123395</v>
      </c>
      <c r="BS24" s="126">
        <f ca="1">BS26/BJ28</f>
        <v>8.7903055059085806E-3</v>
      </c>
      <c r="BU24" s="79"/>
      <c r="BW24" s="75">
        <f>BW26/BU28</f>
        <v>3.1077525035765383</v>
      </c>
      <c r="BX24" s="75">
        <f>BX26/BU28</f>
        <v>3.1140329041487829</v>
      </c>
      <c r="CB24" s="126">
        <f ca="1">CB26/BU28</f>
        <v>0.2423777604356856</v>
      </c>
      <c r="CC24" s="126">
        <f ca="1">CC26/BU28</f>
        <v>-0.23609888758021999</v>
      </c>
      <c r="CD24" s="126">
        <f ca="1">CD26/BU28</f>
        <v>8.7363448210908551E-3</v>
      </c>
    </row>
    <row r="25" spans="1:82" x14ac:dyDescent="0.25">
      <c r="A25" s="79"/>
      <c r="B25" s="169">
        <f ca="1">B21-D21</f>
        <v>0.94351126024183918</v>
      </c>
      <c r="C25" s="79"/>
      <c r="D25" s="79"/>
      <c r="E25" s="79"/>
      <c r="F25" s="169">
        <f ca="1">F21-H21</f>
        <v>3.9673322809985478E-3</v>
      </c>
      <c r="G25" s="79"/>
      <c r="H25" s="79"/>
      <c r="I25" s="79"/>
      <c r="J25" s="79"/>
      <c r="K25" s="146"/>
      <c r="L25" s="79"/>
      <c r="M25" s="79"/>
      <c r="N25" s="79"/>
      <c r="O25" s="146"/>
      <c r="AG25" s="146"/>
      <c r="AH25" s="83"/>
      <c r="AK25" s="79"/>
      <c r="AL25" s="79"/>
      <c r="AM25" s="80"/>
      <c r="AN25" s="79"/>
      <c r="AO25" s="302">
        <f>B6</f>
        <v>37257</v>
      </c>
      <c r="AW25"/>
      <c r="AY25" s="79"/>
      <c r="AZ25" s="302">
        <f>D6</f>
        <v>37257</v>
      </c>
      <c r="BH25"/>
      <c r="BJ25" s="79"/>
      <c r="BK25" s="302">
        <f>F6</f>
        <v>37257</v>
      </c>
      <c r="BS25"/>
      <c r="BU25" s="79"/>
      <c r="BV25" s="302">
        <f>H6</f>
        <v>37257</v>
      </c>
      <c r="CD25"/>
    </row>
    <row r="26" spans="1:82" x14ac:dyDescent="0.25">
      <c r="A26" s="79"/>
      <c r="B26" s="174"/>
      <c r="C26" s="79"/>
      <c r="D26" s="174"/>
      <c r="E26" s="79"/>
      <c r="F26" s="79"/>
      <c r="G26" s="79"/>
      <c r="H26" s="79"/>
      <c r="I26" s="79"/>
      <c r="J26" s="127"/>
      <c r="K26" s="127"/>
      <c r="L26" s="127"/>
      <c r="M26" s="127"/>
      <c r="N26" s="127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81"/>
      <c r="AF26" s="82"/>
      <c r="AG26" s="82"/>
      <c r="AH26" s="82"/>
      <c r="AI26" s="85"/>
      <c r="AJ26" s="86"/>
      <c r="AK26" s="79"/>
      <c r="AL26" s="79"/>
      <c r="AM26" s="80"/>
      <c r="AN26" s="79" t="s">
        <v>124</v>
      </c>
      <c r="AO26" s="302">
        <f>B7</f>
        <v>37956</v>
      </c>
      <c r="AP26" s="102">
        <f>SUM(AP31:AP149)</f>
        <v>2172.3190000000004</v>
      </c>
      <c r="AQ26" s="102">
        <f>SUM(AQ31:AQ149)</f>
        <v>2172.3190000000004</v>
      </c>
      <c r="AR26" s="102"/>
      <c r="AS26" s="102"/>
      <c r="AT26" s="102"/>
      <c r="AU26" s="102">
        <f ca="1">SUM(AU31:AU149)</f>
        <v>831.7095907180078</v>
      </c>
      <c r="AV26" s="102">
        <f ca="1">SUM(AV31:AV149)</f>
        <v>-430.4951330573478</v>
      </c>
      <c r="AW26" s="102">
        <f ca="1">SUM(AW31:AW149)</f>
        <v>7.5987987667057908</v>
      </c>
      <c r="AY26" s="79" t="s">
        <v>137</v>
      </c>
      <c r="AZ26" s="302">
        <f>D7</f>
        <v>37956</v>
      </c>
      <c r="BA26" s="102">
        <f>SUM(BA31:BA149)</f>
        <v>2172.3190000000004</v>
      </c>
      <c r="BB26" s="102">
        <f>SUM(BB31:BB149)</f>
        <v>2176.7089999999994</v>
      </c>
      <c r="BC26" s="102"/>
      <c r="BD26" s="102"/>
      <c r="BE26" s="102"/>
      <c r="BF26" s="102">
        <f ca="1">SUM(BF31:BF149)</f>
        <v>172.19521980896221</v>
      </c>
      <c r="BG26" s="102">
        <f ca="1">SUM(BG31:BG149)</f>
        <v>-167.05188260212532</v>
      </c>
      <c r="BH26" s="102">
        <f ca="1">SUM(BH31:BH149)</f>
        <v>6.1444235486300975</v>
      </c>
      <c r="BJ26" s="79" t="s">
        <v>138</v>
      </c>
      <c r="BK26" s="302">
        <f>F7</f>
        <v>37956</v>
      </c>
      <c r="BL26" s="102">
        <f>SUM(BL31:BL149)</f>
        <v>2172.3190000000004</v>
      </c>
      <c r="BM26" s="102">
        <f>SUM(BM31:BM149)</f>
        <v>2176.7089999999994</v>
      </c>
      <c r="BN26" s="102"/>
      <c r="BO26" s="102"/>
      <c r="BP26" s="102"/>
      <c r="BQ26" s="102">
        <f ca="1">SUM(BQ31:BQ149)</f>
        <v>172.19521980896221</v>
      </c>
      <c r="BR26" s="102">
        <f ca="1">SUM(BR31:BR149)</f>
        <v>-167.05188260212532</v>
      </c>
      <c r="BS26" s="102">
        <f ca="1">SUM(BS31:BS149)</f>
        <v>6.1444235486300975</v>
      </c>
      <c r="BU26" s="79" t="s">
        <v>139</v>
      </c>
      <c r="BV26" s="302">
        <f>H7</f>
        <v>37956</v>
      </c>
      <c r="BW26" s="102">
        <f>SUM(BW31:BW149)</f>
        <v>2172.3190000000004</v>
      </c>
      <c r="BX26" s="102">
        <f>SUM(BX31:BX149)</f>
        <v>2176.7089999999994</v>
      </c>
      <c r="BY26" s="102"/>
      <c r="BZ26" s="102"/>
      <c r="CA26" s="102"/>
      <c r="CB26" s="102">
        <f ca="1">SUM(CB31:CB149)</f>
        <v>169.42205454454424</v>
      </c>
      <c r="CC26" s="102">
        <f ca="1">SUM(CC31:CC149)</f>
        <v>-165.03312241857378</v>
      </c>
      <c r="CD26" s="102">
        <f ca="1">SUM(CD31:CD149)</f>
        <v>6.1067050299425079</v>
      </c>
    </row>
    <row r="27" spans="1:82" x14ac:dyDescent="0.25">
      <c r="A27" s="79"/>
      <c r="B27" s="173"/>
      <c r="C27" s="79"/>
      <c r="D27" s="55" t="s">
        <v>47</v>
      </c>
      <c r="E27" s="79"/>
      <c r="F27" s="173"/>
      <c r="G27" s="79"/>
      <c r="H27" s="173"/>
      <c r="I27" s="79"/>
      <c r="J27" s="100"/>
      <c r="K27" s="55" t="s">
        <v>48</v>
      </c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F27" s="100"/>
      <c r="AG27" s="100"/>
      <c r="AH27" s="77" t="e">
        <f>VLOOKUP($A27,STRADDLE,14,FALSE)</f>
        <v>#N/A</v>
      </c>
      <c r="AK27" s="79"/>
      <c r="AL27" s="79"/>
      <c r="AM27" s="80"/>
      <c r="AN27" s="79"/>
      <c r="AR27" s="75" t="s">
        <v>112</v>
      </c>
      <c r="AS27" s="75">
        <f>IF(B19=4,3,B19)</f>
        <v>2</v>
      </c>
      <c r="AW27"/>
      <c r="AY27" s="79"/>
      <c r="BC27" s="75" t="s">
        <v>112</v>
      </c>
      <c r="BD27" s="75">
        <f>IF(D19=4,3,D19)</f>
        <v>2</v>
      </c>
      <c r="BH27"/>
      <c r="BJ27" s="79"/>
      <c r="BN27" s="75" t="s">
        <v>112</v>
      </c>
      <c r="BO27" s="75">
        <f>IF(F19=4,3,F19)</f>
        <v>2</v>
      </c>
      <c r="BS27"/>
      <c r="BU27" s="79"/>
      <c r="BY27" s="75" t="s">
        <v>112</v>
      </c>
      <c r="BZ27" s="75">
        <f>IF(H19=4,3,H19)</f>
        <v>2</v>
      </c>
      <c r="CD27"/>
    </row>
    <row r="28" spans="1:82" x14ac:dyDescent="0.25">
      <c r="A28" s="79"/>
      <c r="B28" s="133"/>
      <c r="C28" s="133"/>
      <c r="D28" s="146" t="str">
        <f>B4</f>
        <v>nymex</v>
      </c>
      <c r="E28" s="75" t="s">
        <v>53</v>
      </c>
      <c r="K28" s="146" t="str">
        <f>D4</f>
        <v>IF-HPL/SHPCHAN</v>
      </c>
      <c r="Q28" s="89"/>
      <c r="R28" s="146" t="str">
        <f>F4</f>
        <v>IF-HPL/SHPCHAN</v>
      </c>
      <c r="Y28" s="146" t="str">
        <f>H4</f>
        <v>IF-HPL/SHPCHAN</v>
      </c>
      <c r="AF28" s="290">
        <v>37173</v>
      </c>
      <c r="AG28" s="127"/>
      <c r="AH28" s="77" t="e">
        <f>VLOOKUP($A28,STRADDLE,14,FALSE)</f>
        <v>#N/A</v>
      </c>
      <c r="AM28" s="80"/>
      <c r="AN28" s="130">
        <f>SUM(AN31:AN149)</f>
        <v>699</v>
      </c>
      <c r="AR28" s="75" t="s">
        <v>130</v>
      </c>
      <c r="AS28" s="75">
        <f>IF($G$1="GAMMA",3,IF($G$1="THETA",4,5))</f>
        <v>5</v>
      </c>
      <c r="AW28"/>
      <c r="AY28" s="130">
        <f>SUM(AY31:AY149)</f>
        <v>699</v>
      </c>
      <c r="BC28" s="75" t="s">
        <v>130</v>
      </c>
      <c r="BD28" s="75">
        <f>IF($G$1="GAMMA",3,IF($G$1="THETA",4,5))</f>
        <v>5</v>
      </c>
      <c r="BH28"/>
      <c r="BJ28" s="130">
        <f>SUM(BJ31:BJ149)</f>
        <v>699</v>
      </c>
      <c r="BN28" s="75" t="s">
        <v>130</v>
      </c>
      <c r="BO28" s="75">
        <f>IF($G$1="GAMMA",3,IF($G$1="THETA",4,5))</f>
        <v>5</v>
      </c>
      <c r="BS28"/>
      <c r="BU28" s="130">
        <f>SUM(BU31:BU149)</f>
        <v>699</v>
      </c>
      <c r="BY28" s="75" t="s">
        <v>130</v>
      </c>
      <c r="BZ28" s="75">
        <f>IF($G$1="GAMMA",3,IF($G$1="THETA",4,5))</f>
        <v>5</v>
      </c>
      <c r="CD28"/>
    </row>
    <row r="29" spans="1:82" ht="13.8" thickBot="1" x14ac:dyDescent="0.3">
      <c r="B29" s="157"/>
      <c r="C29" s="157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81"/>
      <c r="AF29" s="75" t="s">
        <v>43</v>
      </c>
      <c r="AI29" s="154" t="e">
        <f t="shared" ref="AI29:AI94" si="0">A30-A29</f>
        <v>#VALUE!</v>
      </c>
      <c r="AJ29" s="79"/>
      <c r="AL29" s="79"/>
      <c r="AO29" s="300" t="s">
        <v>40</v>
      </c>
      <c r="AP29" s="91" t="s">
        <v>36</v>
      </c>
      <c r="AQ29" s="91" t="s">
        <v>131</v>
      </c>
      <c r="AR29" s="91" t="s">
        <v>37</v>
      </c>
      <c r="AS29" s="91" t="s">
        <v>28</v>
      </c>
      <c r="AT29" s="91" t="str">
        <f>$G1</f>
        <v>VEGA</v>
      </c>
      <c r="AU29" s="77" t="s">
        <v>37</v>
      </c>
      <c r="AV29" s="77" t="s">
        <v>28</v>
      </c>
      <c r="AW29" s="77" t="str">
        <f>AT29</f>
        <v>VEGA</v>
      </c>
      <c r="AZ29" s="300" t="s">
        <v>40</v>
      </c>
      <c r="BA29" s="91" t="s">
        <v>36</v>
      </c>
      <c r="BB29" s="91" t="s">
        <v>131</v>
      </c>
      <c r="BC29" s="91" t="s">
        <v>37</v>
      </c>
      <c r="BD29" s="91" t="s">
        <v>28</v>
      </c>
      <c r="BE29" s="91" t="str">
        <f>$G1</f>
        <v>VEGA</v>
      </c>
      <c r="BF29" s="77" t="s">
        <v>37</v>
      </c>
      <c r="BG29" s="77" t="s">
        <v>28</v>
      </c>
      <c r="BH29" s="77" t="str">
        <f>BE29</f>
        <v>VEGA</v>
      </c>
      <c r="BK29" s="300" t="s">
        <v>40</v>
      </c>
      <c r="BL29" s="91" t="s">
        <v>36</v>
      </c>
      <c r="BM29" s="91" t="s">
        <v>131</v>
      </c>
      <c r="BN29" s="91" t="s">
        <v>37</v>
      </c>
      <c r="BO29" s="91" t="s">
        <v>28</v>
      </c>
      <c r="BP29" s="91" t="str">
        <f>$G1</f>
        <v>VEGA</v>
      </c>
      <c r="BQ29" s="77" t="s">
        <v>37</v>
      </c>
      <c r="BR29" s="77" t="s">
        <v>28</v>
      </c>
      <c r="BS29" s="77" t="str">
        <f>BP29</f>
        <v>VEGA</v>
      </c>
      <c r="BV29" s="300" t="s">
        <v>40</v>
      </c>
      <c r="BW29" s="91" t="s">
        <v>36</v>
      </c>
      <c r="BX29" s="91" t="s">
        <v>131</v>
      </c>
      <c r="BY29" s="91" t="s">
        <v>37</v>
      </c>
      <c r="BZ29" s="91" t="s">
        <v>28</v>
      </c>
      <c r="CA29" s="91" t="str">
        <f>$G1</f>
        <v>VEGA</v>
      </c>
      <c r="CB29" s="77" t="s">
        <v>37</v>
      </c>
      <c r="CC29" s="77" t="s">
        <v>28</v>
      </c>
      <c r="CD29" s="77" t="str">
        <f>CA29</f>
        <v>VEGA</v>
      </c>
    </row>
    <row r="30" spans="1:82" ht="14.4" thickTop="1" thickBot="1" x14ac:dyDescent="0.3">
      <c r="A30" s="95" t="s">
        <v>24</v>
      </c>
      <c r="B30" s="95" t="s">
        <v>53</v>
      </c>
      <c r="C30" s="95" t="s">
        <v>27</v>
      </c>
      <c r="D30" s="95" t="s">
        <v>35</v>
      </c>
      <c r="E30" s="95" t="s">
        <v>52</v>
      </c>
      <c r="F30" s="95" t="s">
        <v>25</v>
      </c>
      <c r="G30" s="95" t="s">
        <v>50</v>
      </c>
      <c r="H30" s="95" t="s">
        <v>110</v>
      </c>
      <c r="I30" s="95" t="s">
        <v>45</v>
      </c>
      <c r="K30" s="95" t="s">
        <v>35</v>
      </c>
      <c r="L30" s="95" t="s">
        <v>52</v>
      </c>
      <c r="M30" s="95" t="s">
        <v>25</v>
      </c>
      <c r="N30" s="95" t="s">
        <v>51</v>
      </c>
      <c r="O30" s="95" t="s">
        <v>111</v>
      </c>
      <c r="P30" s="95" t="s">
        <v>46</v>
      </c>
      <c r="R30" s="95" t="s">
        <v>35</v>
      </c>
      <c r="S30" s="95" t="s">
        <v>52</v>
      </c>
      <c r="T30" s="95" t="s">
        <v>25</v>
      </c>
      <c r="U30" s="95" t="s">
        <v>128</v>
      </c>
      <c r="V30" s="95" t="s">
        <v>132</v>
      </c>
      <c r="W30" s="95" t="s">
        <v>126</v>
      </c>
      <c r="X30" s="163"/>
      <c r="Y30" s="95" t="s">
        <v>35</v>
      </c>
      <c r="Z30" s="95" t="s">
        <v>52</v>
      </c>
      <c r="AA30" s="95" t="s">
        <v>25</v>
      </c>
      <c r="AB30" s="95" t="s">
        <v>129</v>
      </c>
      <c r="AC30" s="95" t="s">
        <v>133</v>
      </c>
      <c r="AD30" s="95" t="s">
        <v>127</v>
      </c>
      <c r="AF30" s="75" t="s">
        <v>149</v>
      </c>
      <c r="AG30" s="95" t="s">
        <v>150</v>
      </c>
      <c r="AH30" s="95" t="s">
        <v>26</v>
      </c>
      <c r="AI30" s="79"/>
      <c r="AL30" s="163"/>
      <c r="AN30" s="75" t="s">
        <v>44</v>
      </c>
      <c r="AQ30" s="80"/>
      <c r="AR30" s="79"/>
      <c r="AS30" s="79"/>
      <c r="AT30" s="79"/>
      <c r="AW30" t="s">
        <v>136</v>
      </c>
      <c r="AY30" s="75" t="s">
        <v>44</v>
      </c>
      <c r="BB30" s="80"/>
      <c r="BC30" s="79"/>
      <c r="BD30" s="79"/>
      <c r="BE30" s="79"/>
      <c r="BH30" t="s">
        <v>136</v>
      </c>
      <c r="BJ30" s="75" t="s">
        <v>44</v>
      </c>
      <c r="BM30" s="80"/>
      <c r="BN30" s="79"/>
      <c r="BO30" s="79"/>
      <c r="BP30" s="79"/>
      <c r="BS30" t="s">
        <v>136</v>
      </c>
      <c r="BU30" s="75" t="s">
        <v>44</v>
      </c>
      <c r="BX30" s="80"/>
      <c r="BY30" s="79"/>
      <c r="BZ30" s="79"/>
      <c r="CA30" s="79"/>
      <c r="CD30" t="s">
        <v>136</v>
      </c>
    </row>
    <row r="31" spans="1:82" ht="13.8" thickTop="1" x14ac:dyDescent="0.25">
      <c r="A31" s="96">
        <v>37288</v>
      </c>
      <c r="B31" s="97">
        <f>VLOOKUP(A31,STRADDLE,5,FALSE)</f>
        <v>2.786</v>
      </c>
      <c r="C31" s="77">
        <f>VLOOKUP(A31,STRADDLE,8,FALSE)</f>
        <v>0.92</v>
      </c>
      <c r="D31" s="97">
        <f t="shared" ref="D31:D94" si="1">IF(D$28="nymex",0,VLOOKUP($A31,curvesettle,HLOOKUP(D$28,curvesettle,2,FALSE)))</f>
        <v>0</v>
      </c>
      <c r="E31" s="100">
        <f t="shared" ref="E31:E94" si="2">IF(ISNUMBER(VLOOKUP($A31,VOLCURVES,HLOOKUP(D$28,VOLCURVES,2,FALSE),FALSE)),VLOOKUP($A31,VOLCURVES,HLOOKUP(D$28,VOLCURVES,2,FALSE),FALSE),1)</f>
        <v>1</v>
      </c>
      <c r="F31" s="99">
        <f t="shared" ref="F31:F95" ca="1" si="3">IF(D$28="NYMEX",$AG31,$AF31)</f>
        <v>25</v>
      </c>
      <c r="G31" s="77">
        <f t="shared" ref="G31:G94" si="4">(($C31+H31)*$E31)+B$15</f>
        <v>0.97463</v>
      </c>
      <c r="H31" s="77">
        <f>IF(B$16=1,_xll.xCalcSkew(A31,I31-AO31,b)/100,0)</f>
        <v>5.4629999999999998E-2</v>
      </c>
      <c r="I31" s="98">
        <f t="shared" ref="I31:I62" si="5">IF($B$19=4,$AO31,$B$18)</f>
        <v>4</v>
      </c>
      <c r="K31" s="97">
        <f t="shared" ref="K31:K94" si="6">IF(K$28="nymex",0,VLOOKUP($A31,curvesettle,HLOOKUP(K$28,curvesettle,2,FALSE)))</f>
        <v>-2.75E-2</v>
      </c>
      <c r="L31" s="100">
        <f t="shared" ref="L31:L94" si="7">IF(ISNUMBER(VLOOKUP($A31,VOLCURVES,HLOOKUP(K$28,VOLCURVES,2,FALSE),FALSE)),VLOOKUP($A31,VOLCURVES,HLOOKUP(K$28,VOLCURVES,2,FALSE),FALSE),1)</f>
        <v>1</v>
      </c>
      <c r="M31" s="99">
        <f t="shared" ref="M31:M94" ca="1" si="8">IF(K$28="NYMEX",$AG31,$AF31)</f>
        <v>26</v>
      </c>
      <c r="N31" s="175">
        <f t="shared" ref="N31:N94" si="9">(($C31+O31)*$L31)+D$15</f>
        <v>0.91612250000000006</v>
      </c>
      <c r="O31" s="77">
        <f>IF(D$16=1,_xll.xCalcSkew($A31,P31-AZ31,b)/100,0)</f>
        <v>-3.8775000000000025E-3</v>
      </c>
      <c r="P31" s="98">
        <f t="shared" ref="P31:P62" si="10">IF($D$19=4,$AZ31,$D$18)</f>
        <v>2.5</v>
      </c>
      <c r="R31" s="97">
        <f t="shared" ref="R31:R94" si="11">IF(R$28="nymex",0,VLOOKUP($A31,curvesettle,HLOOKUP(R$28,curvesettle,2,FALSE)))</f>
        <v>-2.75E-2</v>
      </c>
      <c r="S31" s="100">
        <f t="shared" ref="S31:S94" si="12">IF(ISNUMBER(VLOOKUP($A31,VOLCURVES,HLOOKUP(R$28,VOLCURVES,2,FALSE),FALSE)),VLOOKUP($A31,VOLCURVES,HLOOKUP(R$28,VOLCURVES,2,FALSE),FALSE),1)</f>
        <v>1</v>
      </c>
      <c r="T31" s="99">
        <f t="shared" ref="T31:T94" ca="1" si="13">IF(R$28="NYMEX",$AG31,$AF31)</f>
        <v>26</v>
      </c>
      <c r="U31" s="175">
        <f t="shared" ref="U31:U94" si="14">(($C31+V31)*$S31)+F$15</f>
        <v>0.91612250000000006</v>
      </c>
      <c r="V31" s="77">
        <f>IF(F$16=1,_xll.xCalcSkew($A31,W31-BK31,b)/100,0)</f>
        <v>-3.8775000000000025E-3</v>
      </c>
      <c r="W31" s="98">
        <f t="shared" ref="W31:W62" si="15">IF($F$19=4,$BK31,$F$18)</f>
        <v>2.5</v>
      </c>
      <c r="X31" s="99"/>
      <c r="Y31" s="97">
        <f t="shared" ref="Y31:Y94" si="16">IF(Y$28="nymex",0,VLOOKUP($A31,curvesettle,HLOOKUP(Y$28,curvesettle,2,FALSE)))</f>
        <v>-2.75E-2</v>
      </c>
      <c r="Z31" s="100">
        <f t="shared" ref="Z31:Z94" si="17">IF(ISNUMBER(VLOOKUP($A31,VOLCURVES,HLOOKUP(Y$28,VOLCURVES,2,FALSE),FALSE)),VLOOKUP($A31,VOLCURVES,HLOOKUP(Y$28,VOLCURVES,2,FALSE),FALSE),1)</f>
        <v>1</v>
      </c>
      <c r="AA31" s="99">
        <f t="shared" ref="AA31:AA94" ca="1" si="18">IF(Y$28="NYMEX",$AG31,$AF31)</f>
        <v>26</v>
      </c>
      <c r="AB31" s="77">
        <f t="shared" ref="AB31:AB94" si="19">(($C31+AC31)*$Z31)+H$15</f>
        <v>0.91597250000000008</v>
      </c>
      <c r="AC31" s="77">
        <f>IF(H$16=1,_xll.xCalcSkew($A31,AD31-BV31,b)/100,0)</f>
        <v>-4.0274999999999998E-3</v>
      </c>
      <c r="AD31" s="98">
        <f t="shared" ref="AD31:AD62" si="20">IF($H$19=4,$BV31,$H$18)</f>
        <v>2.4900000000000002</v>
      </c>
      <c r="AF31" s="99">
        <f t="shared" ref="AF31:AF95" ca="1" si="21">VLOOKUP($A31,expiration,2,FALSE)-$B$2</f>
        <v>26</v>
      </c>
      <c r="AG31" s="99">
        <f t="shared" ref="AG31:AG95" ca="1" si="22">VLOOKUP($A31,expiration,3,FALSE)-$B$2</f>
        <v>25</v>
      </c>
      <c r="AH31" s="77">
        <f t="shared" ref="AH31:AH39" si="23">VLOOKUP($A31,STRADDLE,14,FALSE)</f>
        <v>2.1145658071011701E-2</v>
      </c>
      <c r="AI31" s="154">
        <f t="shared" si="0"/>
        <v>28</v>
      </c>
      <c r="AJ31" s="101"/>
      <c r="AK31" s="101"/>
      <c r="AL31" s="101"/>
      <c r="AM31" s="101"/>
      <c r="AN31" s="78">
        <f>IF($A31&gt;=AO$25,IF($A31&lt;=AO$26,$AI31,0),0)</f>
        <v>28</v>
      </c>
      <c r="AO31" s="303">
        <f>AQ31/AN31</f>
        <v>2.786</v>
      </c>
      <c r="AP31" s="75">
        <f t="shared" ref="AP31:AP62" si="24">AN31*($B31+B$13)</f>
        <v>78.007999999999996</v>
      </c>
      <c r="AQ31" s="102">
        <f t="shared" ref="AQ31:AQ62" si="25">IF(ISNUMBER(((AP31/AN31)+B$14+$D31)*AN31),((AP31/AN31)+B$14+$D31)*AN31,0)</f>
        <v>78.007999999999996</v>
      </c>
      <c r="AR31" s="101">
        <f t="shared" ref="AR31:AR94" ca="1" si="26">IF(AN31=0,0,bsd(1,AS$27,AO31,$I31,$F31,$G31,$AH31,0.1))</f>
        <v>1.2420341701560691</v>
      </c>
      <c r="AS31" s="101">
        <f ca="1">IF(AN31=0,0,bsd(2,AS$27,AO31,$I31,$F31,$G31,$AH31,0.1))</f>
        <v>-0.90024698489214283</v>
      </c>
      <c r="AT31" s="101">
        <f t="shared" ref="AT31:AT94" ca="1" si="27">IF(AN31=0,0,bsd(AS$28,AS$27,AO31,$I31,$F31,$G31,$AH31,0.1))</f>
        <v>1.2760939001986993E-3</v>
      </c>
      <c r="AU31" s="103">
        <f ca="1">AN31*AR31</f>
        <v>34.776956764369935</v>
      </c>
      <c r="AV31" s="103">
        <f ca="1">AN31*AS31</f>
        <v>-25.206915576979998</v>
      </c>
      <c r="AW31" s="103">
        <f ca="1">AN31*AT31</f>
        <v>3.573062920556358E-2</v>
      </c>
      <c r="AY31" s="78">
        <f t="shared" ref="AY31:AY94" si="28">IF($A31&gt;=AZ$25,IF($A31&lt;=AZ$26,$AI31,0),0)</f>
        <v>28</v>
      </c>
      <c r="AZ31" s="303">
        <f>BB31/AY31</f>
        <v>2.7585000000000002</v>
      </c>
      <c r="BA31" s="75">
        <f t="shared" ref="BA31:BA62" si="29">AY31*($B31+D$13)</f>
        <v>78.007999999999996</v>
      </c>
      <c r="BB31" s="102">
        <f t="shared" ref="BB31:BB62" si="30">IF(ISNUMBER(((BA31/AY31)+D$14+$K31)*AY31),((BA31/AY31)+D$14+$K31)*AY31,0)</f>
        <v>77.238</v>
      </c>
      <c r="BC31" s="101">
        <f t="shared" ref="BC31:BC94" ca="1" si="31">IF(AY31=0,0,bsd(1,BD$27,AZ31,$P31,$M31,$N31,$AH31,0.1))</f>
        <v>0.14667948673376308</v>
      </c>
      <c r="BD31" s="101">
        <f t="shared" ref="BD31:BD94" ca="1" si="32">IF(AY31=0,0,bsd(2,BD$27,AZ31,$P31,$M31,$N31,$AH31,0.1))</f>
        <v>-0.29945170391827552</v>
      </c>
      <c r="BE31" s="101">
        <f t="shared" ref="BE31:BE94" ca="1" si="33">IF(AY31=0,0,bsd(BD$28,BD$27,AZ31,$P31,$M31,$N31,$AH31,0.1))</f>
        <v>2.5576080168931981E-3</v>
      </c>
      <c r="BF31" s="103">
        <f ca="1">AY31*BC31</f>
        <v>4.1070256285453661</v>
      </c>
      <c r="BG31" s="103">
        <f ca="1">AY31*BD31</f>
        <v>-8.3846477097117145</v>
      </c>
      <c r="BH31" s="103">
        <f ca="1">AY31*BE31</f>
        <v>7.1613024473009546E-2</v>
      </c>
      <c r="BJ31" s="78">
        <f t="shared" ref="BJ31:BJ94" si="34">IF($A31&gt;=BK$25,IF($A31&lt;=BK$26,$AI31,0),0)</f>
        <v>28</v>
      </c>
      <c r="BK31" s="303">
        <f>BM31/BJ31</f>
        <v>2.7585000000000002</v>
      </c>
      <c r="BL31" s="75">
        <f t="shared" ref="BL31:BL62" si="35">BJ31*($B31+F$13)</f>
        <v>78.007999999999996</v>
      </c>
      <c r="BM31" s="102">
        <f t="shared" ref="BM31:BM62" si="36">IF(ISNUMBER(((BL31/BJ31)+F$14+$R31)*BJ31),((BL31/BJ31)+F$14+$R31)*BJ31,0)</f>
        <v>77.238</v>
      </c>
      <c r="BN31" s="101">
        <f t="shared" ref="BN31:BN94" ca="1" si="37">IF(BJ31=0,0,bsd(1,BO$27,BK31,$W31,$T31,$U31,$AH31,0.1))</f>
        <v>0.14667948673376308</v>
      </c>
      <c r="BO31" s="101">
        <f t="shared" ref="BO31:BO94" ca="1" si="38">IF(BJ31=0,0,bsd(2,BO$27,BK31,$W31,$T31,$U31,$AH31,0.1))</f>
        <v>-0.29945170391827552</v>
      </c>
      <c r="BP31" s="101">
        <f t="shared" ref="BP31:BP94" ca="1" si="39">IF(BJ31=0,0,bsd(BO$28,BO$27,BK31,$W31,$T31,$U31,$AH31,0.1))</f>
        <v>2.5576080168931981E-3</v>
      </c>
      <c r="BQ31" s="103">
        <f ca="1">BJ31*BN31</f>
        <v>4.1070256285453661</v>
      </c>
      <c r="BR31" s="103">
        <f ca="1">BJ31*BO31</f>
        <v>-8.3846477097117145</v>
      </c>
      <c r="BS31" s="103">
        <f ca="1">BJ31*BP31</f>
        <v>7.1613024473009546E-2</v>
      </c>
      <c r="BU31" s="78">
        <f t="shared" ref="BU31:BU94" si="40">IF($A31&gt;=BV$25,IF($A31&lt;=BV$26,$AI31,0),0)</f>
        <v>28</v>
      </c>
      <c r="BV31" s="303">
        <f>BX31/BU31</f>
        <v>2.7585000000000002</v>
      </c>
      <c r="BW31" s="75">
        <f t="shared" ref="BW31:BW62" si="41">BU31*($B31+H$13)</f>
        <v>78.007999999999996</v>
      </c>
      <c r="BX31" s="102">
        <f t="shared" ref="BX31:BX62" si="42">IF(ISNUMBER(((BW31/BU31)+H$14+$Y31)*BU31),((BW31/BU31)+H$14+$Y31)*BU31,0)</f>
        <v>77.238</v>
      </c>
      <c r="BY31" s="101">
        <f t="shared" ref="BY31:BY94" ca="1" si="43">IF(BU31=0,0,bsd(1,BZ$27,BV31,$AD31,$AA31,$AB31,$AH31,0.1))</f>
        <v>0.14278197051880903</v>
      </c>
      <c r="BZ31" s="101">
        <f t="shared" ref="BZ31:BZ94" ca="1" si="44">IF(BU31=0,0,bsd(2,BZ$27,BV31,$AD31,$AA31,$AB31,$AH31,0.1))</f>
        <v>-0.29376961148965852</v>
      </c>
      <c r="CA31" s="101">
        <f t="shared" ref="CA31:CA94" ca="1" si="45">IF(BU31=0,0,bsd(BZ$28,BZ$27,BV31,$AD31,$AA31,$AB31,$AH31,0.1))</f>
        <v>2.5354849833312265E-3</v>
      </c>
      <c r="CB31" s="103">
        <f ca="1">BU31*BY31</f>
        <v>3.9978951745266529</v>
      </c>
      <c r="CC31" s="103">
        <f ca="1">BU31*BZ31</f>
        <v>-8.2255491217104382</v>
      </c>
      <c r="CD31" s="103">
        <f ca="1">BU31*CA31</f>
        <v>7.0993579533274342E-2</v>
      </c>
    </row>
    <row r="32" spans="1:82" x14ac:dyDescent="0.25">
      <c r="A32" s="96">
        <f t="shared" ref="A32:A95" si="46">DATE(YEAR(A31),MONTH(A31)+1,1)</f>
        <v>37316</v>
      </c>
      <c r="B32" s="97">
        <f t="shared" ref="B32:B95" si="47">VLOOKUP(A32,STRADDLE,5,FALSE)</f>
        <v>2.7989999999999999</v>
      </c>
      <c r="C32" s="77">
        <f t="shared" ref="C32:C95" si="48">VLOOKUP(A32,STRADDLE,8,FALSE)</f>
        <v>0.80300000000000005</v>
      </c>
      <c r="D32" s="97">
        <f t="shared" si="1"/>
        <v>0</v>
      </c>
      <c r="E32" s="100">
        <f t="shared" si="2"/>
        <v>1</v>
      </c>
      <c r="F32" s="99">
        <f t="shared" ca="1" si="3"/>
        <v>53</v>
      </c>
      <c r="G32" s="77">
        <f t="shared" si="4"/>
        <v>0.85704500000000006</v>
      </c>
      <c r="H32" s="77">
        <f>IF(B$16=1,_xll.xCalcSkew(A32,I32-AO32,b)/100,0)</f>
        <v>5.4045000000000003E-2</v>
      </c>
      <c r="I32" s="98">
        <f t="shared" si="5"/>
        <v>4</v>
      </c>
      <c r="K32" s="97">
        <f t="shared" si="6"/>
        <v>-2.2499999999999999E-2</v>
      </c>
      <c r="L32" s="100">
        <f t="shared" si="7"/>
        <v>1</v>
      </c>
      <c r="M32" s="99">
        <f t="shared" ca="1" si="8"/>
        <v>54</v>
      </c>
      <c r="N32" s="175">
        <f t="shared" si="9"/>
        <v>0.79885250000000008</v>
      </c>
      <c r="O32" s="77">
        <f>IF(D$16=1,_xll.xCalcSkew($A32,P32-AZ32,b)/100,0)</f>
        <v>-4.1474999999999993E-3</v>
      </c>
      <c r="P32" s="98">
        <f t="shared" si="10"/>
        <v>2.5</v>
      </c>
      <c r="Q32" s="175">
        <f>N32-O32</f>
        <v>0.80300000000000005</v>
      </c>
      <c r="R32" s="97">
        <f t="shared" si="11"/>
        <v>-2.2499999999999999E-2</v>
      </c>
      <c r="S32" s="100">
        <f t="shared" si="12"/>
        <v>1</v>
      </c>
      <c r="T32" s="99">
        <f t="shared" ca="1" si="13"/>
        <v>54</v>
      </c>
      <c r="U32" s="175">
        <f t="shared" si="14"/>
        <v>0.79885250000000008</v>
      </c>
      <c r="V32" s="77">
        <f>IF(F$16=1,_xll.xCalcSkew($A32,W32-BK32,b)/100,0)</f>
        <v>-4.1474999999999993E-3</v>
      </c>
      <c r="W32" s="98">
        <f t="shared" si="15"/>
        <v>2.5</v>
      </c>
      <c r="X32" s="99"/>
      <c r="Y32" s="97">
        <f t="shared" si="16"/>
        <v>-2.2499999999999999E-2</v>
      </c>
      <c r="Z32" s="100">
        <f t="shared" si="17"/>
        <v>1</v>
      </c>
      <c r="AA32" s="99">
        <f t="shared" ca="1" si="18"/>
        <v>54</v>
      </c>
      <c r="AB32" s="77">
        <f t="shared" si="19"/>
        <v>0.79870250000000009</v>
      </c>
      <c r="AC32" s="77">
        <f>IF(H$16=1,_xll.xCalcSkew($A32,AD32-BV32,b)/100,0)</f>
        <v>-4.2974999999999966E-3</v>
      </c>
      <c r="AD32" s="98">
        <f t="shared" si="20"/>
        <v>2.4900000000000002</v>
      </c>
      <c r="AF32" s="99">
        <f t="shared" ca="1" si="21"/>
        <v>54</v>
      </c>
      <c r="AG32" s="99">
        <f t="shared" ca="1" si="22"/>
        <v>53</v>
      </c>
      <c r="AH32" s="77">
        <f t="shared" si="23"/>
        <v>2.07759939054513E-2</v>
      </c>
      <c r="AI32" s="154">
        <f t="shared" si="0"/>
        <v>31</v>
      </c>
      <c r="AJ32" s="101"/>
      <c r="AK32" s="101"/>
      <c r="AL32" s="101"/>
      <c r="AM32" s="101"/>
      <c r="AN32" s="78">
        <f t="shared" ref="AN32:AN94" si="49">IF($A32&gt;=AO$25,IF($A32&lt;=AO$26,$AI32,0),0)</f>
        <v>31</v>
      </c>
      <c r="AO32" s="303">
        <f t="shared" ref="AO32:AO95" si="50">AQ32/AN32</f>
        <v>2.7989999999999999</v>
      </c>
      <c r="AP32" s="75">
        <f t="shared" si="24"/>
        <v>86.768999999999991</v>
      </c>
      <c r="AQ32" s="102">
        <f t="shared" si="25"/>
        <v>86.768999999999991</v>
      </c>
      <c r="AR32" s="101">
        <f t="shared" ca="1" si="26"/>
        <v>1.2724902776984925</v>
      </c>
      <c r="AS32" s="101">
        <f t="shared" ref="AS32:AS95" ca="1" si="51">IF(AN32=0,0,bsd(2,AS$27,AO32,$I32,$F32,$G32,$AH32,0.1))</f>
        <v>-0.82131761023523997</v>
      </c>
      <c r="AT32" s="101">
        <f t="shared" ca="1" si="27"/>
        <v>2.7716254891857472E-3</v>
      </c>
      <c r="AU32" s="103">
        <f t="shared" ref="AU32:AU95" ca="1" si="52">AN32*AR32</f>
        <v>39.447198608653267</v>
      </c>
      <c r="AV32" s="103">
        <f t="shared" ref="AV32:AV95" ca="1" si="53">AN32*AS32</f>
        <v>-25.460845917292438</v>
      </c>
      <c r="AW32" s="103">
        <f t="shared" ref="AW32:AW95" ca="1" si="54">AN32*AT32</f>
        <v>8.5920390164758165E-2</v>
      </c>
      <c r="AY32" s="78">
        <f t="shared" si="28"/>
        <v>31</v>
      </c>
      <c r="AZ32" s="303">
        <f t="shared" ref="AZ32:AZ95" si="55">BB32/AY32</f>
        <v>2.7765</v>
      </c>
      <c r="BA32" s="75">
        <f t="shared" si="29"/>
        <v>86.768999999999991</v>
      </c>
      <c r="BB32" s="102">
        <f t="shared" si="30"/>
        <v>86.0715</v>
      </c>
      <c r="BC32" s="101">
        <f t="shared" ca="1" si="31"/>
        <v>0.20168933163146052</v>
      </c>
      <c r="BD32" s="101">
        <f t="shared" ca="1" si="32"/>
        <v>-0.30933685480232792</v>
      </c>
      <c r="BE32" s="101">
        <f t="shared" ca="1" si="33"/>
        <v>3.7597319677469265E-3</v>
      </c>
      <c r="BF32" s="103">
        <f t="shared" ref="BF32:BF95" ca="1" si="56">AY32*BC32</f>
        <v>6.2523692805752766</v>
      </c>
      <c r="BG32" s="103">
        <f t="shared" ref="BG32:BG95" ca="1" si="57">AY32*BD32</f>
        <v>-9.5894424988721649</v>
      </c>
      <c r="BH32" s="103">
        <f t="shared" ref="BH32:BH95" ca="1" si="58">AY32*BE32</f>
        <v>0.11655169100015472</v>
      </c>
      <c r="BJ32" s="78">
        <f t="shared" si="34"/>
        <v>31</v>
      </c>
      <c r="BK32" s="303">
        <f t="shared" ref="BK32:BK95" si="59">BM32/BJ32</f>
        <v>2.7765</v>
      </c>
      <c r="BL32" s="75">
        <f t="shared" si="35"/>
        <v>86.768999999999991</v>
      </c>
      <c r="BM32" s="102">
        <f t="shared" si="36"/>
        <v>86.0715</v>
      </c>
      <c r="BN32" s="101">
        <f t="shared" ca="1" si="37"/>
        <v>0.20168933163146052</v>
      </c>
      <c r="BO32" s="101">
        <f t="shared" ca="1" si="38"/>
        <v>-0.30933685480232792</v>
      </c>
      <c r="BP32" s="101">
        <f t="shared" ca="1" si="39"/>
        <v>3.7597319677469265E-3</v>
      </c>
      <c r="BQ32" s="103">
        <f t="shared" ref="BQ32:BQ95" ca="1" si="60">BJ32*BN32</f>
        <v>6.2523692805752766</v>
      </c>
      <c r="BR32" s="103">
        <f t="shared" ref="BR32:BR95" ca="1" si="61">BJ32*BO32</f>
        <v>-9.5894424988721649</v>
      </c>
      <c r="BS32" s="103">
        <f t="shared" ref="BS32:BS95" ca="1" si="62">BJ32*BP32</f>
        <v>0.11655169100015472</v>
      </c>
      <c r="BU32" s="78">
        <f t="shared" si="40"/>
        <v>31</v>
      </c>
      <c r="BV32" s="303">
        <f t="shared" ref="BV32:BV95" si="63">BX32/BU32</f>
        <v>2.7765</v>
      </c>
      <c r="BW32" s="75">
        <f t="shared" si="41"/>
        <v>86.768999999999991</v>
      </c>
      <c r="BX32" s="102">
        <f t="shared" si="42"/>
        <v>86.0715</v>
      </c>
      <c r="BY32" s="101">
        <f t="shared" ca="1" si="43"/>
        <v>0.19741657572000715</v>
      </c>
      <c r="BZ32" s="101">
        <f t="shared" ca="1" si="44"/>
        <v>-0.3047489764259243</v>
      </c>
      <c r="CA32" s="101">
        <f t="shared" ca="1" si="45"/>
        <v>3.7353550631908927E-3</v>
      </c>
      <c r="CB32" s="103">
        <f t="shared" ref="CB32:CB95" ca="1" si="64">BU32*BY32</f>
        <v>6.1199138473202215</v>
      </c>
      <c r="CC32" s="103">
        <f t="shared" ref="CC32:CC95" ca="1" si="65">BU32*BZ32</f>
        <v>-9.4472182692036526</v>
      </c>
      <c r="CD32" s="103">
        <f t="shared" ref="CD32:CD95" ca="1" si="66">BU32*CA32</f>
        <v>0.11579600695891767</v>
      </c>
    </row>
    <row r="33" spans="1:82" x14ac:dyDescent="0.25">
      <c r="A33" s="96">
        <f t="shared" si="46"/>
        <v>37347</v>
      </c>
      <c r="B33" s="97">
        <f t="shared" si="47"/>
        <v>2.7589999999999999</v>
      </c>
      <c r="C33" s="77">
        <f t="shared" si="48"/>
        <v>0.66</v>
      </c>
      <c r="D33" s="97">
        <f t="shared" si="1"/>
        <v>0</v>
      </c>
      <c r="E33" s="100">
        <f t="shared" si="2"/>
        <v>1</v>
      </c>
      <c r="F33" s="99">
        <f t="shared" ca="1" si="3"/>
        <v>81</v>
      </c>
      <c r="G33" s="77">
        <f t="shared" si="4"/>
        <v>0.69111500000000003</v>
      </c>
      <c r="H33" s="77">
        <f>IF(B$16=1,_xll.xCalcSkew(A33,I33-AO33,b)/100,0)</f>
        <v>3.1115000000000004E-2</v>
      </c>
      <c r="I33" s="98">
        <f t="shared" si="5"/>
        <v>4</v>
      </c>
      <c r="K33" s="97">
        <f t="shared" si="6"/>
        <v>1.4999999999999999E-2</v>
      </c>
      <c r="L33" s="100">
        <f t="shared" si="7"/>
        <v>1</v>
      </c>
      <c r="M33" s="99">
        <f t="shared" ca="1" si="8"/>
        <v>82</v>
      </c>
      <c r="N33" s="175">
        <f t="shared" si="9"/>
        <v>0.65589000000000008</v>
      </c>
      <c r="O33" s="77">
        <f>IF(D$16=1,_xll.xCalcSkew($A33,P33-AZ33,b)/100,0)</f>
        <v>-4.1099999999999999E-3</v>
      </c>
      <c r="P33" s="98">
        <f t="shared" si="10"/>
        <v>2.5</v>
      </c>
      <c r="Q33" s="175">
        <f>N33-O33</f>
        <v>0.66</v>
      </c>
      <c r="R33" s="97">
        <f t="shared" si="11"/>
        <v>1.4999999999999999E-2</v>
      </c>
      <c r="S33" s="100">
        <f t="shared" si="12"/>
        <v>1</v>
      </c>
      <c r="T33" s="99">
        <f t="shared" ca="1" si="13"/>
        <v>82</v>
      </c>
      <c r="U33" s="175">
        <f t="shared" si="14"/>
        <v>0.65589000000000008</v>
      </c>
      <c r="V33" s="77">
        <f>IF(F$16=1,_xll.xCalcSkew($A33,W33-BK33,b)/100,0)</f>
        <v>-4.1099999999999999E-3</v>
      </c>
      <c r="W33" s="98">
        <f t="shared" si="15"/>
        <v>2.5</v>
      </c>
      <c r="X33" s="99"/>
      <c r="Y33" s="97">
        <f t="shared" si="16"/>
        <v>1.4999999999999999E-2</v>
      </c>
      <c r="Z33" s="100">
        <f t="shared" si="17"/>
        <v>1</v>
      </c>
      <c r="AA33" s="99">
        <f t="shared" ca="1" si="18"/>
        <v>82</v>
      </c>
      <c r="AB33" s="77">
        <f t="shared" si="19"/>
        <v>0.65573999999999999</v>
      </c>
      <c r="AC33" s="77">
        <f>IF(H$16=1,_xll.xCalcSkew($A33,AD33-BV33,b)/100,0)</f>
        <v>-4.2599999999999973E-3</v>
      </c>
      <c r="AD33" s="98">
        <f t="shared" si="20"/>
        <v>2.4900000000000002</v>
      </c>
      <c r="AF33" s="99">
        <f t="shared" ca="1" si="21"/>
        <v>82</v>
      </c>
      <c r="AG33" s="99">
        <f t="shared" ca="1" si="22"/>
        <v>81</v>
      </c>
      <c r="AH33" s="77">
        <f t="shared" si="23"/>
        <v>2.0033459902157401E-2</v>
      </c>
      <c r="AI33" s="154">
        <f t="shared" si="0"/>
        <v>30</v>
      </c>
      <c r="AJ33" s="101"/>
      <c r="AK33" s="101"/>
      <c r="AL33" s="101"/>
      <c r="AM33" s="101"/>
      <c r="AN33" s="78">
        <f t="shared" si="49"/>
        <v>30</v>
      </c>
      <c r="AO33" s="303">
        <f t="shared" si="50"/>
        <v>2.7589999999999999</v>
      </c>
      <c r="AP33" s="75">
        <f t="shared" si="24"/>
        <v>82.77</v>
      </c>
      <c r="AQ33" s="102">
        <f t="shared" si="25"/>
        <v>82.77</v>
      </c>
      <c r="AR33" s="101">
        <f t="shared" ca="1" si="26"/>
        <v>1.3030136187920327</v>
      </c>
      <c r="AS33" s="101">
        <f t="shared" ca="1" si="51"/>
        <v>-0.83226912307062029</v>
      </c>
      <c r="AT33" s="101">
        <f t="shared" ca="1" si="27"/>
        <v>3.2289040671176772E-3</v>
      </c>
      <c r="AU33" s="103">
        <f t="shared" ca="1" si="52"/>
        <v>39.090408563760981</v>
      </c>
      <c r="AV33" s="103">
        <f t="shared" ca="1" si="53"/>
        <v>-24.968073692118608</v>
      </c>
      <c r="AW33" s="103">
        <f t="shared" ca="1" si="54"/>
        <v>9.6867122013530316E-2</v>
      </c>
      <c r="AY33" s="78">
        <f t="shared" si="28"/>
        <v>30</v>
      </c>
      <c r="AZ33" s="303">
        <f t="shared" si="55"/>
        <v>2.774</v>
      </c>
      <c r="BA33" s="75">
        <f t="shared" si="29"/>
        <v>82.77</v>
      </c>
      <c r="BB33" s="102">
        <f t="shared" si="30"/>
        <v>83.22</v>
      </c>
      <c r="BC33" s="101">
        <f t="shared" ca="1" si="31"/>
        <v>0.20570196124550644</v>
      </c>
      <c r="BD33" s="101">
        <f t="shared" ca="1" si="32"/>
        <v>-0.31067509706941038</v>
      </c>
      <c r="BE33" s="101">
        <f t="shared" ca="1" si="33"/>
        <v>4.6341913954992542E-3</v>
      </c>
      <c r="BF33" s="103">
        <f t="shared" ca="1" si="56"/>
        <v>6.1710588373651927</v>
      </c>
      <c r="BG33" s="103">
        <f t="shared" ca="1" si="57"/>
        <v>-9.3202529120823119</v>
      </c>
      <c r="BH33" s="103">
        <f t="shared" ca="1" si="58"/>
        <v>0.13902574186497763</v>
      </c>
      <c r="BJ33" s="78">
        <f t="shared" si="34"/>
        <v>30</v>
      </c>
      <c r="BK33" s="303">
        <f t="shared" si="59"/>
        <v>2.774</v>
      </c>
      <c r="BL33" s="75">
        <f t="shared" si="35"/>
        <v>82.77</v>
      </c>
      <c r="BM33" s="102">
        <f t="shared" si="36"/>
        <v>83.22</v>
      </c>
      <c r="BN33" s="101">
        <f t="shared" ca="1" si="37"/>
        <v>0.20570196124550644</v>
      </c>
      <c r="BO33" s="101">
        <f t="shared" ca="1" si="38"/>
        <v>-0.31067509706941038</v>
      </c>
      <c r="BP33" s="101">
        <f t="shared" ca="1" si="39"/>
        <v>4.6341913954992542E-3</v>
      </c>
      <c r="BQ33" s="103">
        <f t="shared" ca="1" si="60"/>
        <v>6.1710588373651927</v>
      </c>
      <c r="BR33" s="103">
        <f t="shared" ca="1" si="61"/>
        <v>-9.3202529120823119</v>
      </c>
      <c r="BS33" s="103">
        <f t="shared" ca="1" si="62"/>
        <v>0.13902574186497763</v>
      </c>
      <c r="BU33" s="78">
        <f t="shared" si="40"/>
        <v>30</v>
      </c>
      <c r="BV33" s="303">
        <f t="shared" si="63"/>
        <v>2.774</v>
      </c>
      <c r="BW33" s="75">
        <f t="shared" si="41"/>
        <v>82.77</v>
      </c>
      <c r="BX33" s="102">
        <f t="shared" si="42"/>
        <v>83.22</v>
      </c>
      <c r="BY33" s="101">
        <f t="shared" ca="1" si="43"/>
        <v>0.20138808166196198</v>
      </c>
      <c r="BZ33" s="101">
        <f t="shared" ca="1" si="44"/>
        <v>-0.30613303758179317</v>
      </c>
      <c r="CA33" s="101">
        <f t="shared" ca="1" si="45"/>
        <v>4.6048322884533199E-3</v>
      </c>
      <c r="CB33" s="103">
        <f t="shared" ca="1" si="64"/>
        <v>6.041642449858859</v>
      </c>
      <c r="CC33" s="103">
        <f t="shared" ca="1" si="65"/>
        <v>-9.1839911274537958</v>
      </c>
      <c r="CD33" s="103">
        <f t="shared" ca="1" si="66"/>
        <v>0.1381449686535996</v>
      </c>
    </row>
    <row r="34" spans="1:82" x14ac:dyDescent="0.25">
      <c r="A34" s="96">
        <f t="shared" si="46"/>
        <v>37377</v>
      </c>
      <c r="B34" s="97">
        <f t="shared" si="47"/>
        <v>2.7989999999999999</v>
      </c>
      <c r="C34" s="77">
        <f t="shared" si="48"/>
        <v>0.59299999999999997</v>
      </c>
      <c r="D34" s="97">
        <f t="shared" si="1"/>
        <v>0</v>
      </c>
      <c r="E34" s="100">
        <f t="shared" si="2"/>
        <v>1</v>
      </c>
      <c r="F34" s="99">
        <f t="shared" ca="1" si="3"/>
        <v>112</v>
      </c>
      <c r="G34" s="77">
        <f t="shared" si="4"/>
        <v>0.62101499999999998</v>
      </c>
      <c r="H34" s="77">
        <f>IF(B$16=1,_xll.xCalcSkew(A34,I34-AO34,b)/100,0)</f>
        <v>2.8014999999999998E-2</v>
      </c>
      <c r="I34" s="98">
        <f t="shared" si="5"/>
        <v>4</v>
      </c>
      <c r="K34" s="97">
        <f t="shared" si="6"/>
        <v>0.02</v>
      </c>
      <c r="L34" s="100">
        <f t="shared" si="7"/>
        <v>1</v>
      </c>
      <c r="M34" s="99">
        <f t="shared" ca="1" si="8"/>
        <v>113</v>
      </c>
      <c r="N34" s="175">
        <f t="shared" si="9"/>
        <v>0.588534</v>
      </c>
      <c r="O34" s="77">
        <f>IF(D$16=1,_xll.xCalcSkew($A34,P34-AZ34,b)/100,0)</f>
        <v>-4.4659999999999986E-3</v>
      </c>
      <c r="P34" s="98">
        <f t="shared" si="10"/>
        <v>2.5</v>
      </c>
      <c r="Q34" s="175">
        <f>N34-O34</f>
        <v>0.59299999999999997</v>
      </c>
      <c r="R34" s="97">
        <f t="shared" si="11"/>
        <v>0.02</v>
      </c>
      <c r="S34" s="100">
        <f t="shared" si="12"/>
        <v>1</v>
      </c>
      <c r="T34" s="99">
        <f t="shared" ca="1" si="13"/>
        <v>113</v>
      </c>
      <c r="U34" s="175">
        <f t="shared" si="14"/>
        <v>0.588534</v>
      </c>
      <c r="V34" s="77">
        <f>IF(F$16=1,_xll.xCalcSkew($A34,W34-BK34,b)/100,0)</f>
        <v>-4.4659999999999986E-3</v>
      </c>
      <c r="W34" s="98">
        <f t="shared" si="15"/>
        <v>2.5</v>
      </c>
      <c r="X34" s="99"/>
      <c r="Y34" s="97">
        <f t="shared" si="16"/>
        <v>0.02</v>
      </c>
      <c r="Z34" s="100">
        <f t="shared" si="17"/>
        <v>1</v>
      </c>
      <c r="AA34" s="99">
        <f t="shared" ca="1" si="18"/>
        <v>113</v>
      </c>
      <c r="AB34" s="77">
        <f t="shared" si="19"/>
        <v>0.58839399999999997</v>
      </c>
      <c r="AC34" s="77">
        <f>IF(H$16=1,_xll.xCalcSkew($A34,AD34-BV34,b)/100,0)</f>
        <v>-4.6059999999999964E-3</v>
      </c>
      <c r="AD34" s="98">
        <f t="shared" si="20"/>
        <v>2.4900000000000002</v>
      </c>
      <c r="AF34" s="99">
        <f t="shared" ca="1" si="21"/>
        <v>113</v>
      </c>
      <c r="AG34" s="99">
        <f t="shared" ca="1" si="22"/>
        <v>112</v>
      </c>
      <c r="AH34" s="77">
        <f t="shared" si="23"/>
        <v>2.0156242730434901E-2</v>
      </c>
      <c r="AI34" s="154">
        <f t="shared" si="0"/>
        <v>31</v>
      </c>
      <c r="AJ34" s="101"/>
      <c r="AK34" s="101"/>
      <c r="AL34" s="101"/>
      <c r="AM34" s="101"/>
      <c r="AN34" s="78">
        <f t="shared" si="49"/>
        <v>31</v>
      </c>
      <c r="AO34" s="303">
        <f t="shared" si="50"/>
        <v>2.7989999999999999</v>
      </c>
      <c r="AP34" s="75">
        <f t="shared" si="24"/>
        <v>86.768999999999991</v>
      </c>
      <c r="AQ34" s="102">
        <f t="shared" si="25"/>
        <v>86.768999999999991</v>
      </c>
      <c r="AR34" s="101">
        <f t="shared" ca="1" si="26"/>
        <v>1.281389567896388</v>
      </c>
      <c r="AS34" s="101">
        <f t="shared" ca="1" si="51"/>
        <v>-0.8017448590659223</v>
      </c>
      <c r="AT34" s="101">
        <f t="shared" ca="1" si="27"/>
        <v>4.2608430440888578E-3</v>
      </c>
      <c r="AU34" s="103">
        <f t="shared" ca="1" si="52"/>
        <v>39.723076604788027</v>
      </c>
      <c r="AV34" s="103">
        <f t="shared" ca="1" si="53"/>
        <v>-24.85409063104359</v>
      </c>
      <c r="AW34" s="103">
        <f t="shared" ca="1" si="54"/>
        <v>0.13208613436675459</v>
      </c>
      <c r="AY34" s="78">
        <f t="shared" si="28"/>
        <v>31</v>
      </c>
      <c r="AZ34" s="303">
        <f t="shared" si="55"/>
        <v>2.819</v>
      </c>
      <c r="BA34" s="75">
        <f t="shared" si="29"/>
        <v>86.768999999999991</v>
      </c>
      <c r="BB34" s="102">
        <f t="shared" si="30"/>
        <v>87.388999999999996</v>
      </c>
      <c r="BC34" s="101">
        <f t="shared" ca="1" si="31"/>
        <v>0.20785216737631484</v>
      </c>
      <c r="BD34" s="101">
        <f t="shared" ca="1" si="32"/>
        <v>-0.29604235407974472</v>
      </c>
      <c r="BE34" s="101">
        <f t="shared" ca="1" si="33"/>
        <v>5.4071891769458258E-3</v>
      </c>
      <c r="BF34" s="103">
        <f t="shared" ca="1" si="56"/>
        <v>6.4434171886657605</v>
      </c>
      <c r="BG34" s="103">
        <f t="shared" ca="1" si="57"/>
        <v>-9.177312976472086</v>
      </c>
      <c r="BH34" s="103">
        <f t="shared" ca="1" si="58"/>
        <v>0.1676228644853206</v>
      </c>
      <c r="BJ34" s="78">
        <f t="shared" si="34"/>
        <v>31</v>
      </c>
      <c r="BK34" s="303">
        <f t="shared" si="59"/>
        <v>2.819</v>
      </c>
      <c r="BL34" s="75">
        <f t="shared" si="35"/>
        <v>86.768999999999991</v>
      </c>
      <c r="BM34" s="102">
        <f t="shared" si="36"/>
        <v>87.388999999999996</v>
      </c>
      <c r="BN34" s="101">
        <f t="shared" ca="1" si="37"/>
        <v>0.20785216737631484</v>
      </c>
      <c r="BO34" s="101">
        <f t="shared" ca="1" si="38"/>
        <v>-0.29604235407974472</v>
      </c>
      <c r="BP34" s="101">
        <f t="shared" ca="1" si="39"/>
        <v>5.4071891769458258E-3</v>
      </c>
      <c r="BQ34" s="103">
        <f t="shared" ca="1" si="60"/>
        <v>6.4434171886657605</v>
      </c>
      <c r="BR34" s="103">
        <f t="shared" ca="1" si="61"/>
        <v>-9.177312976472086</v>
      </c>
      <c r="BS34" s="103">
        <f t="shared" ca="1" si="62"/>
        <v>0.1676228644853206</v>
      </c>
      <c r="BU34" s="78">
        <f t="shared" si="40"/>
        <v>31</v>
      </c>
      <c r="BV34" s="303">
        <f t="shared" si="63"/>
        <v>2.819</v>
      </c>
      <c r="BW34" s="75">
        <f t="shared" si="41"/>
        <v>86.768999999999991</v>
      </c>
      <c r="BX34" s="102">
        <f t="shared" si="42"/>
        <v>87.388999999999996</v>
      </c>
      <c r="BY34" s="101">
        <f t="shared" ca="1" si="43"/>
        <v>0.20363121823714458</v>
      </c>
      <c r="BZ34" s="101">
        <f t="shared" ca="1" si="44"/>
        <v>-0.29182295098699318</v>
      </c>
      <c r="CA34" s="101">
        <f t="shared" ca="1" si="45"/>
        <v>5.372059735234691E-3</v>
      </c>
      <c r="CB34" s="103">
        <f t="shared" ca="1" si="64"/>
        <v>6.3125677653514822</v>
      </c>
      <c r="CC34" s="103">
        <f t="shared" ca="1" si="65"/>
        <v>-9.0465114805967879</v>
      </c>
      <c r="CD34" s="103">
        <f t="shared" ca="1" si="66"/>
        <v>0.16653385179227542</v>
      </c>
    </row>
    <row r="35" spans="1:82" x14ac:dyDescent="0.25">
      <c r="A35" s="96">
        <f t="shared" si="46"/>
        <v>37408</v>
      </c>
      <c r="B35" s="97">
        <f t="shared" si="47"/>
        <v>2.8490000000000002</v>
      </c>
      <c r="C35" s="77">
        <f t="shared" si="48"/>
        <v>0.57299999999999995</v>
      </c>
      <c r="D35" s="97">
        <f t="shared" si="1"/>
        <v>0</v>
      </c>
      <c r="E35" s="100">
        <f t="shared" si="2"/>
        <v>1</v>
      </c>
      <c r="F35" s="99">
        <f t="shared" ca="1" si="3"/>
        <v>145</v>
      </c>
      <c r="G35" s="77">
        <f t="shared" si="4"/>
        <v>0.60026499999999994</v>
      </c>
      <c r="H35" s="77">
        <f>IF(B$16=1,_xll.xCalcSkew(A35,I35-AO35,b)/100,0)</f>
        <v>2.7265000000000005E-2</v>
      </c>
      <c r="I35" s="98">
        <f t="shared" si="5"/>
        <v>4</v>
      </c>
      <c r="K35" s="97">
        <f t="shared" si="6"/>
        <v>3.2500000000000001E-2</v>
      </c>
      <c r="L35" s="100">
        <f t="shared" si="7"/>
        <v>1</v>
      </c>
      <c r="M35" s="99">
        <f t="shared" ca="1" si="8"/>
        <v>146</v>
      </c>
      <c r="N35" s="175">
        <f t="shared" si="9"/>
        <v>0.56765899999999991</v>
      </c>
      <c r="O35" s="77">
        <f>IF(D$16=1,_xll.xCalcSkew($A35,P35-AZ35,b)/100,0)</f>
        <v>-5.3409999999999994E-3</v>
      </c>
      <c r="P35" s="98">
        <f t="shared" si="10"/>
        <v>2.5</v>
      </c>
      <c r="Q35" s="175">
        <f>N35-O35</f>
        <v>0.57299999999999995</v>
      </c>
      <c r="R35" s="97">
        <f t="shared" si="11"/>
        <v>3.2500000000000001E-2</v>
      </c>
      <c r="S35" s="100">
        <f t="shared" si="12"/>
        <v>1</v>
      </c>
      <c r="T35" s="99">
        <f t="shared" ca="1" si="13"/>
        <v>146</v>
      </c>
      <c r="U35" s="175">
        <f t="shared" si="14"/>
        <v>0.56765899999999991</v>
      </c>
      <c r="V35" s="77">
        <f>IF(F$16=1,_xll.xCalcSkew($A35,W35-BK35,b)/100,0)</f>
        <v>-5.3409999999999994E-3</v>
      </c>
      <c r="W35" s="98">
        <f t="shared" si="15"/>
        <v>2.5</v>
      </c>
      <c r="X35" s="99"/>
      <c r="Y35" s="97">
        <f t="shared" si="16"/>
        <v>3.2500000000000001E-2</v>
      </c>
      <c r="Z35" s="100">
        <f t="shared" si="17"/>
        <v>1</v>
      </c>
      <c r="AA35" s="99">
        <f t="shared" ca="1" si="18"/>
        <v>146</v>
      </c>
      <c r="AB35" s="77">
        <f t="shared" si="19"/>
        <v>0.567519</v>
      </c>
      <c r="AC35" s="77">
        <f>IF(H$16=1,_xll.xCalcSkew($A35,AD35-BV35,b)/100,0)</f>
        <v>-5.4809999999999963E-3</v>
      </c>
      <c r="AD35" s="98">
        <f t="shared" si="20"/>
        <v>2.4900000000000002</v>
      </c>
      <c r="AF35" s="99">
        <f t="shared" ca="1" si="21"/>
        <v>146</v>
      </c>
      <c r="AG35" s="99">
        <f t="shared" ca="1" si="22"/>
        <v>145</v>
      </c>
      <c r="AH35" s="77">
        <f t="shared" si="23"/>
        <v>2.0283118325021401E-2</v>
      </c>
      <c r="AI35" s="154">
        <f t="shared" si="0"/>
        <v>30</v>
      </c>
      <c r="AJ35" s="101"/>
      <c r="AK35" s="101"/>
      <c r="AL35" s="101"/>
      <c r="AM35" s="101"/>
      <c r="AN35" s="78">
        <f t="shared" si="49"/>
        <v>30</v>
      </c>
      <c r="AO35" s="303">
        <f t="shared" si="50"/>
        <v>2.8489999999999998</v>
      </c>
      <c r="AP35" s="75">
        <f t="shared" si="24"/>
        <v>85.47</v>
      </c>
      <c r="AQ35" s="102">
        <f t="shared" si="25"/>
        <v>85.47</v>
      </c>
      <c r="AR35" s="101">
        <f t="shared" ca="1" si="26"/>
        <v>1.2683386175794795</v>
      </c>
      <c r="AS35" s="101">
        <f t="shared" ca="1" si="51"/>
        <v>-0.75433715963408243</v>
      </c>
      <c r="AT35" s="101">
        <f t="shared" ca="1" si="27"/>
        <v>5.5669393202748552E-3</v>
      </c>
      <c r="AU35" s="103">
        <f t="shared" ca="1" si="52"/>
        <v>38.050158527384383</v>
      </c>
      <c r="AV35" s="103">
        <f t="shared" ca="1" si="53"/>
        <v>-22.630114789022471</v>
      </c>
      <c r="AW35" s="103">
        <f t="shared" ca="1" si="54"/>
        <v>0.16700817960824565</v>
      </c>
      <c r="AY35" s="78">
        <f t="shared" si="28"/>
        <v>30</v>
      </c>
      <c r="AZ35" s="303">
        <f t="shared" si="55"/>
        <v>2.8815</v>
      </c>
      <c r="BA35" s="75">
        <f t="shared" si="29"/>
        <v>85.47</v>
      </c>
      <c r="BB35" s="102">
        <f t="shared" si="30"/>
        <v>86.444999999999993</v>
      </c>
      <c r="BC35" s="101">
        <f t="shared" ca="1" si="31"/>
        <v>0.22001790914858166</v>
      </c>
      <c r="BD35" s="101">
        <f t="shared" ca="1" si="32"/>
        <v>-0.2803323852468908</v>
      </c>
      <c r="BE35" s="101">
        <f t="shared" ca="1" si="33"/>
        <v>6.1190218225346538E-3</v>
      </c>
      <c r="BF35" s="103">
        <f t="shared" ca="1" si="56"/>
        <v>6.6005372744574498</v>
      </c>
      <c r="BG35" s="103">
        <f t="shared" ca="1" si="57"/>
        <v>-8.409971557406724</v>
      </c>
      <c r="BH35" s="103">
        <f t="shared" ca="1" si="58"/>
        <v>0.18357065467603961</v>
      </c>
      <c r="BJ35" s="78">
        <f t="shared" si="34"/>
        <v>30</v>
      </c>
      <c r="BK35" s="303">
        <f t="shared" si="59"/>
        <v>2.8815</v>
      </c>
      <c r="BL35" s="75">
        <f t="shared" si="35"/>
        <v>85.47</v>
      </c>
      <c r="BM35" s="102">
        <f t="shared" si="36"/>
        <v>86.444999999999993</v>
      </c>
      <c r="BN35" s="101">
        <f t="shared" ca="1" si="37"/>
        <v>0.22001790914858166</v>
      </c>
      <c r="BO35" s="101">
        <f t="shared" ca="1" si="38"/>
        <v>-0.2803323852468908</v>
      </c>
      <c r="BP35" s="101">
        <f t="shared" ca="1" si="39"/>
        <v>6.1190218225346538E-3</v>
      </c>
      <c r="BQ35" s="103">
        <f t="shared" ca="1" si="60"/>
        <v>6.6005372744574498</v>
      </c>
      <c r="BR35" s="103">
        <f t="shared" ca="1" si="61"/>
        <v>-8.409971557406724</v>
      </c>
      <c r="BS35" s="103">
        <f t="shared" ca="1" si="62"/>
        <v>0.18357065467603961</v>
      </c>
      <c r="BU35" s="78">
        <f t="shared" si="40"/>
        <v>30</v>
      </c>
      <c r="BV35" s="303">
        <f t="shared" si="63"/>
        <v>2.8815</v>
      </c>
      <c r="BW35" s="75">
        <f t="shared" si="41"/>
        <v>85.47</v>
      </c>
      <c r="BX35" s="102">
        <f t="shared" si="42"/>
        <v>86.444999999999993</v>
      </c>
      <c r="BY35" s="101">
        <f t="shared" ca="1" si="43"/>
        <v>0.21584328311481205</v>
      </c>
      <c r="BZ35" s="101">
        <f t="shared" ca="1" si="44"/>
        <v>-0.27658136176992737</v>
      </c>
      <c r="CA35" s="101">
        <f t="shared" ca="1" si="45"/>
        <v>6.0797634574656367E-3</v>
      </c>
      <c r="CB35" s="103">
        <f t="shared" ca="1" si="64"/>
        <v>6.4752984934443614</v>
      </c>
      <c r="CC35" s="103">
        <f t="shared" ca="1" si="65"/>
        <v>-8.2974408530978216</v>
      </c>
      <c r="CD35" s="103">
        <f t="shared" ca="1" si="66"/>
        <v>0.1823929037239691</v>
      </c>
    </row>
    <row r="36" spans="1:82" x14ac:dyDescent="0.25">
      <c r="A36" s="96">
        <f t="shared" si="46"/>
        <v>37438</v>
      </c>
      <c r="B36" s="97">
        <f t="shared" si="47"/>
        <v>2.8839999999999999</v>
      </c>
      <c r="C36" s="77">
        <f t="shared" si="48"/>
        <v>0.56799999999999995</v>
      </c>
      <c r="D36" s="97">
        <f t="shared" si="1"/>
        <v>0</v>
      </c>
      <c r="E36" s="100">
        <f t="shared" si="2"/>
        <v>1</v>
      </c>
      <c r="F36" s="99">
        <f t="shared" ca="1" si="3"/>
        <v>173</v>
      </c>
      <c r="G36" s="77">
        <f t="shared" si="4"/>
        <v>0.59473999999999994</v>
      </c>
      <c r="H36" s="77">
        <f>IF(B$16=1,_xll.xCalcSkew(A36,I36-AO36,b)/100,0)</f>
        <v>2.6740000000000003E-2</v>
      </c>
      <c r="I36" s="98">
        <f t="shared" si="5"/>
        <v>4</v>
      </c>
      <c r="J36" s="126">
        <f>ROUND(I36-B36,1)</f>
        <v>1.1000000000000001</v>
      </c>
      <c r="K36" s="97">
        <f t="shared" si="6"/>
        <v>4.4999999999999998E-2</v>
      </c>
      <c r="L36" s="100">
        <f t="shared" si="7"/>
        <v>1</v>
      </c>
      <c r="M36" s="99">
        <f t="shared" ca="1" si="8"/>
        <v>174</v>
      </c>
      <c r="N36" s="175">
        <f t="shared" si="9"/>
        <v>0.56199399999999999</v>
      </c>
      <c r="O36" s="77">
        <f>IF(D$16=1,_xll.xCalcSkew($A36,P36-AZ36,b)/100,0)</f>
        <v>-6.0059999999999966E-3</v>
      </c>
      <c r="P36" s="98">
        <f t="shared" si="10"/>
        <v>2.5</v>
      </c>
      <c r="Q36" s="175">
        <f>N36-O36</f>
        <v>0.56799999999999995</v>
      </c>
      <c r="R36" s="97">
        <f t="shared" si="11"/>
        <v>4.4999999999999998E-2</v>
      </c>
      <c r="S36" s="100">
        <f t="shared" si="12"/>
        <v>1</v>
      </c>
      <c r="T36" s="99">
        <f t="shared" ca="1" si="13"/>
        <v>174</v>
      </c>
      <c r="U36" s="175">
        <f t="shared" si="14"/>
        <v>0.56199399999999999</v>
      </c>
      <c r="V36" s="77">
        <f>IF(F$16=1,_xll.xCalcSkew($A36,W36-BK36,b)/100,0)</f>
        <v>-6.0059999999999966E-3</v>
      </c>
      <c r="W36" s="98">
        <f t="shared" si="15"/>
        <v>2.5</v>
      </c>
      <c r="X36" s="99"/>
      <c r="Y36" s="97">
        <f t="shared" si="16"/>
        <v>4.4999999999999998E-2</v>
      </c>
      <c r="Z36" s="100">
        <f t="shared" si="17"/>
        <v>1</v>
      </c>
      <c r="AA36" s="99">
        <f t="shared" ca="1" si="18"/>
        <v>174</v>
      </c>
      <c r="AB36" s="77">
        <f t="shared" si="19"/>
        <v>0.56185399999999996</v>
      </c>
      <c r="AC36" s="77">
        <f>IF(H$16=1,_xll.xCalcSkew($A36,AD36-BV36,b)/100,0)</f>
        <v>-6.1459999999999935E-3</v>
      </c>
      <c r="AD36" s="98">
        <f t="shared" si="20"/>
        <v>2.4900000000000002</v>
      </c>
      <c r="AF36" s="99">
        <f t="shared" ca="1" si="21"/>
        <v>174</v>
      </c>
      <c r="AG36" s="99">
        <f t="shared" ca="1" si="22"/>
        <v>173</v>
      </c>
      <c r="AH36" s="77">
        <f t="shared" si="23"/>
        <v>2.0560063885965998E-2</v>
      </c>
      <c r="AI36" s="154">
        <f t="shared" si="0"/>
        <v>31</v>
      </c>
      <c r="AJ36" s="101"/>
      <c r="AK36" s="101"/>
      <c r="AL36" s="101"/>
      <c r="AM36" s="101"/>
      <c r="AN36" s="78">
        <f t="shared" si="49"/>
        <v>31</v>
      </c>
      <c r="AO36" s="303">
        <f t="shared" si="50"/>
        <v>2.8839999999999999</v>
      </c>
      <c r="AP36" s="75">
        <f t="shared" si="24"/>
        <v>89.403999999999996</v>
      </c>
      <c r="AQ36" s="102">
        <f t="shared" si="25"/>
        <v>89.403999999999996</v>
      </c>
      <c r="AR36" s="101">
        <f t="shared" ca="1" si="26"/>
        <v>1.2690117908670118</v>
      </c>
      <c r="AS36" s="101">
        <f t="shared" ca="1" si="51"/>
        <v>-0.71678717981676188</v>
      </c>
      <c r="AT36" s="101">
        <f t="shared" ca="1" si="27"/>
        <v>6.6073483673044775E-3</v>
      </c>
      <c r="AU36" s="103">
        <f t="shared" ca="1" si="52"/>
        <v>39.339365516877365</v>
      </c>
      <c r="AV36" s="103">
        <f t="shared" ca="1" si="53"/>
        <v>-22.220402574319618</v>
      </c>
      <c r="AW36" s="103">
        <f t="shared" ca="1" si="54"/>
        <v>0.2048277993864388</v>
      </c>
      <c r="AY36" s="78">
        <f t="shared" si="28"/>
        <v>31</v>
      </c>
      <c r="AZ36" s="303">
        <f t="shared" si="55"/>
        <v>2.9289999999999998</v>
      </c>
      <c r="BA36" s="75">
        <f t="shared" si="29"/>
        <v>89.403999999999996</v>
      </c>
      <c r="BB36" s="102">
        <f t="shared" si="30"/>
        <v>90.798999999999992</v>
      </c>
      <c r="BC36" s="101">
        <f t="shared" ca="1" si="31"/>
        <v>0.23456199095127006</v>
      </c>
      <c r="BD36" s="101">
        <f t="shared" ca="1" si="32"/>
        <v>-0.27086712648152372</v>
      </c>
      <c r="BE36" s="101">
        <f t="shared" ca="1" si="33"/>
        <v>6.6719087470150651E-3</v>
      </c>
      <c r="BF36" s="103">
        <f t="shared" ca="1" si="56"/>
        <v>7.2714217194893722</v>
      </c>
      <c r="BG36" s="103">
        <f t="shared" ca="1" si="57"/>
        <v>-8.3968809209272361</v>
      </c>
      <c r="BH36" s="103">
        <f t="shared" ca="1" si="58"/>
        <v>0.20682917115746702</v>
      </c>
      <c r="BJ36" s="78">
        <f t="shared" si="34"/>
        <v>31</v>
      </c>
      <c r="BK36" s="303">
        <f t="shared" si="59"/>
        <v>2.9289999999999998</v>
      </c>
      <c r="BL36" s="75">
        <f t="shared" si="35"/>
        <v>89.403999999999996</v>
      </c>
      <c r="BM36" s="102">
        <f t="shared" si="36"/>
        <v>90.798999999999992</v>
      </c>
      <c r="BN36" s="101">
        <f t="shared" ca="1" si="37"/>
        <v>0.23456199095127006</v>
      </c>
      <c r="BO36" s="101">
        <f t="shared" ca="1" si="38"/>
        <v>-0.27086712648152372</v>
      </c>
      <c r="BP36" s="101">
        <f t="shared" ca="1" si="39"/>
        <v>6.6719087470150651E-3</v>
      </c>
      <c r="BQ36" s="103">
        <f t="shared" ca="1" si="60"/>
        <v>7.2714217194893722</v>
      </c>
      <c r="BR36" s="103">
        <f t="shared" ca="1" si="61"/>
        <v>-8.3968809209272361</v>
      </c>
      <c r="BS36" s="103">
        <f t="shared" ca="1" si="62"/>
        <v>0.20682917115746702</v>
      </c>
      <c r="BU36" s="78">
        <f t="shared" si="40"/>
        <v>31</v>
      </c>
      <c r="BV36" s="303">
        <f t="shared" si="63"/>
        <v>2.9289999999999998</v>
      </c>
      <c r="BW36" s="75">
        <f t="shared" si="41"/>
        <v>89.403999999999996</v>
      </c>
      <c r="BX36" s="102">
        <f t="shared" si="42"/>
        <v>90.798999999999992</v>
      </c>
      <c r="BY36" s="101">
        <f t="shared" ca="1" si="43"/>
        <v>0.23037748515923318</v>
      </c>
      <c r="BZ36" s="101">
        <f t="shared" ca="1" si="44"/>
        <v>-0.26745544011688371</v>
      </c>
      <c r="CA36" s="101">
        <f t="shared" ca="1" si="45"/>
        <v>6.630462872921683E-3</v>
      </c>
      <c r="CB36" s="103">
        <f t="shared" ca="1" si="64"/>
        <v>7.1417020399362281</v>
      </c>
      <c r="CC36" s="103">
        <f t="shared" ca="1" si="65"/>
        <v>-8.2911186436233955</v>
      </c>
      <c r="CD36" s="103">
        <f t="shared" ca="1" si="66"/>
        <v>0.20554434906057217</v>
      </c>
    </row>
    <row r="37" spans="1:82" x14ac:dyDescent="0.25">
      <c r="A37" s="96">
        <f t="shared" si="46"/>
        <v>37469</v>
      </c>
      <c r="B37" s="97">
        <f t="shared" si="47"/>
        <v>2.9209999999999998</v>
      </c>
      <c r="C37" s="77">
        <f t="shared" si="48"/>
        <v>0.56299999999999994</v>
      </c>
      <c r="D37" s="97">
        <f t="shared" si="1"/>
        <v>0</v>
      </c>
      <c r="E37" s="100">
        <f t="shared" si="2"/>
        <v>1</v>
      </c>
      <c r="F37" s="99">
        <f t="shared" ca="1" si="3"/>
        <v>204</v>
      </c>
      <c r="G37" s="77">
        <f t="shared" si="4"/>
        <v>0.58918499999999996</v>
      </c>
      <c r="H37" s="77">
        <f>IF(B$16=1,_xll.xCalcSkew(A37,I37-AO37,b)/100,0)</f>
        <v>2.6185E-2</v>
      </c>
      <c r="I37" s="98">
        <f t="shared" si="5"/>
        <v>4</v>
      </c>
      <c r="K37" s="97">
        <f t="shared" si="6"/>
        <v>0.05</v>
      </c>
      <c r="L37" s="100">
        <f t="shared" si="7"/>
        <v>1</v>
      </c>
      <c r="M37" s="99">
        <f t="shared" ca="1" si="8"/>
        <v>207</v>
      </c>
      <c r="N37" s="175">
        <f t="shared" si="9"/>
        <v>0.55640599999999996</v>
      </c>
      <c r="O37" s="77">
        <f>IF(D$16=1,_xll.xCalcSkew($A37,P37-AZ37,b)/100,0)</f>
        <v>-6.593999999999994E-3</v>
      </c>
      <c r="P37" s="98">
        <f t="shared" si="10"/>
        <v>2.5</v>
      </c>
      <c r="R37" s="97">
        <f t="shared" si="11"/>
        <v>0.05</v>
      </c>
      <c r="S37" s="100">
        <f t="shared" si="12"/>
        <v>1</v>
      </c>
      <c r="T37" s="99">
        <f t="shared" ca="1" si="13"/>
        <v>207</v>
      </c>
      <c r="U37" s="175">
        <f t="shared" si="14"/>
        <v>0.55640599999999996</v>
      </c>
      <c r="V37" s="77">
        <f>IF(F$16=1,_xll.xCalcSkew($A37,W37-BK37,b)/100,0)</f>
        <v>-6.593999999999994E-3</v>
      </c>
      <c r="W37" s="98">
        <f t="shared" si="15"/>
        <v>2.5</v>
      </c>
      <c r="X37" s="99"/>
      <c r="Y37" s="97">
        <f t="shared" si="16"/>
        <v>0.05</v>
      </c>
      <c r="Z37" s="100">
        <f t="shared" si="17"/>
        <v>1</v>
      </c>
      <c r="AA37" s="99">
        <f t="shared" ca="1" si="18"/>
        <v>207</v>
      </c>
      <c r="AB37" s="77">
        <f t="shared" si="19"/>
        <v>0.55626599999999993</v>
      </c>
      <c r="AC37" s="77">
        <f>IF(H$16=1,_xll.xCalcSkew($A37,AD37-BV37,b)/100,0)</f>
        <v>-6.7339999999999909E-3</v>
      </c>
      <c r="AD37" s="98">
        <f t="shared" si="20"/>
        <v>2.4900000000000002</v>
      </c>
      <c r="AF37" s="99">
        <f t="shared" ca="1" si="21"/>
        <v>207</v>
      </c>
      <c r="AG37" s="99">
        <f t="shared" ca="1" si="22"/>
        <v>204</v>
      </c>
      <c r="AH37" s="77">
        <f t="shared" si="23"/>
        <v>2.1094384134566099E-2</v>
      </c>
      <c r="AI37" s="154">
        <f t="shared" si="0"/>
        <v>31</v>
      </c>
      <c r="AJ37" s="101"/>
      <c r="AK37" s="101"/>
      <c r="AL37" s="101"/>
      <c r="AM37" s="101"/>
      <c r="AN37" s="78">
        <f t="shared" si="49"/>
        <v>31</v>
      </c>
      <c r="AO37" s="303">
        <f t="shared" si="50"/>
        <v>2.9209999999999998</v>
      </c>
      <c r="AP37" s="75">
        <f t="shared" si="24"/>
        <v>90.550999999999988</v>
      </c>
      <c r="AQ37" s="102">
        <f t="shared" si="25"/>
        <v>90.550999999999988</v>
      </c>
      <c r="AR37" s="101">
        <f t="shared" ca="1" si="26"/>
        <v>1.2712244602374454</v>
      </c>
      <c r="AS37" s="101">
        <f t="shared" ca="1" si="51"/>
        <v>-0.68108239958783079</v>
      </c>
      <c r="AT37" s="101">
        <f t="shared" ca="1" si="27"/>
        <v>7.6521311026728212E-3</v>
      </c>
      <c r="AU37" s="103">
        <f t="shared" ca="1" si="52"/>
        <v>39.407958267360804</v>
      </c>
      <c r="AV37" s="103">
        <f t="shared" ca="1" si="53"/>
        <v>-21.113554387222756</v>
      </c>
      <c r="AW37" s="103">
        <f t="shared" ca="1" si="54"/>
        <v>0.23721606418285746</v>
      </c>
      <c r="AY37" s="78">
        <f t="shared" si="28"/>
        <v>31</v>
      </c>
      <c r="AZ37" s="303">
        <f t="shared" si="55"/>
        <v>2.9709999999999996</v>
      </c>
      <c r="BA37" s="75">
        <f t="shared" si="29"/>
        <v>90.550999999999988</v>
      </c>
      <c r="BB37" s="102">
        <f t="shared" si="30"/>
        <v>92.100999999999985</v>
      </c>
      <c r="BC37" s="101">
        <f t="shared" ca="1" si="31"/>
        <v>0.25272282863065765</v>
      </c>
      <c r="BD37" s="101">
        <f t="shared" ca="1" si="32"/>
        <v>-0.26397700354845915</v>
      </c>
      <c r="BE37" s="101">
        <f t="shared" ca="1" si="33"/>
        <v>7.2790156115072335E-3</v>
      </c>
      <c r="BF37" s="103">
        <f t="shared" ca="1" si="56"/>
        <v>7.834407687550387</v>
      </c>
      <c r="BG37" s="103">
        <f t="shared" ca="1" si="57"/>
        <v>-8.1832871100022331</v>
      </c>
      <c r="BH37" s="103">
        <f t="shared" ca="1" si="58"/>
        <v>0.22564948395672424</v>
      </c>
      <c r="BJ37" s="78">
        <f t="shared" si="34"/>
        <v>31</v>
      </c>
      <c r="BK37" s="303">
        <f t="shared" si="59"/>
        <v>2.9709999999999996</v>
      </c>
      <c r="BL37" s="75">
        <f t="shared" si="35"/>
        <v>90.550999999999988</v>
      </c>
      <c r="BM37" s="102">
        <f t="shared" si="36"/>
        <v>92.100999999999985</v>
      </c>
      <c r="BN37" s="101">
        <f t="shared" ca="1" si="37"/>
        <v>0.25272282863065765</v>
      </c>
      <c r="BO37" s="101">
        <f t="shared" ca="1" si="38"/>
        <v>-0.26397700354845915</v>
      </c>
      <c r="BP37" s="101">
        <f t="shared" ca="1" si="39"/>
        <v>7.2790156115072335E-3</v>
      </c>
      <c r="BQ37" s="103">
        <f t="shared" ca="1" si="60"/>
        <v>7.834407687550387</v>
      </c>
      <c r="BR37" s="103">
        <f t="shared" ca="1" si="61"/>
        <v>-8.1832871100022331</v>
      </c>
      <c r="BS37" s="103">
        <f t="shared" ca="1" si="62"/>
        <v>0.22564948395672424</v>
      </c>
      <c r="BU37" s="78">
        <f t="shared" si="40"/>
        <v>31</v>
      </c>
      <c r="BV37" s="303">
        <f t="shared" si="63"/>
        <v>2.9709999999999996</v>
      </c>
      <c r="BW37" s="75">
        <f t="shared" si="41"/>
        <v>90.550999999999988</v>
      </c>
      <c r="BX37" s="102">
        <f t="shared" si="42"/>
        <v>92.100999999999985</v>
      </c>
      <c r="BY37" s="101">
        <f t="shared" ca="1" si="43"/>
        <v>0.24849212109179541</v>
      </c>
      <c r="BZ37" s="101">
        <f t="shared" ca="1" si="44"/>
        <v>-0.26086050812424216</v>
      </c>
      <c r="CA37" s="101">
        <f t="shared" ca="1" si="45"/>
        <v>7.2358202908655578E-3</v>
      </c>
      <c r="CB37" s="103">
        <f t="shared" ca="1" si="64"/>
        <v>7.7032557538456583</v>
      </c>
      <c r="CC37" s="103">
        <f t="shared" ca="1" si="65"/>
        <v>-8.0866757518515069</v>
      </c>
      <c r="CD37" s="103">
        <f t="shared" ca="1" si="66"/>
        <v>0.22431042901683229</v>
      </c>
    </row>
    <row r="38" spans="1:82" x14ac:dyDescent="0.25">
      <c r="A38" s="96">
        <f t="shared" si="46"/>
        <v>37500</v>
      </c>
      <c r="B38" s="97">
        <f t="shared" si="47"/>
        <v>2.9209999999999998</v>
      </c>
      <c r="C38" s="77">
        <f t="shared" si="48"/>
        <v>0.56000000000000005</v>
      </c>
      <c r="D38" s="97">
        <f t="shared" si="1"/>
        <v>0</v>
      </c>
      <c r="E38" s="100">
        <f t="shared" si="2"/>
        <v>1</v>
      </c>
      <c r="F38" s="99">
        <f t="shared" ca="1" si="3"/>
        <v>236</v>
      </c>
      <c r="G38" s="77">
        <f t="shared" si="4"/>
        <v>0.58618500000000007</v>
      </c>
      <c r="H38" s="77">
        <f>IF(B$16=1,_xll.xCalcSkew(A38,I38-AO38,b)/100,0)</f>
        <v>2.6185E-2</v>
      </c>
      <c r="I38" s="98">
        <f t="shared" si="5"/>
        <v>4</v>
      </c>
      <c r="K38" s="97">
        <f t="shared" si="6"/>
        <v>0.04</v>
      </c>
      <c r="L38" s="100">
        <f t="shared" si="7"/>
        <v>1</v>
      </c>
      <c r="M38" s="99">
        <f t="shared" ca="1" si="8"/>
        <v>237</v>
      </c>
      <c r="N38" s="175">
        <f t="shared" si="9"/>
        <v>0.55354600000000009</v>
      </c>
      <c r="O38" s="77">
        <f>IF(D$16=1,_xll.xCalcSkew($A38,P38-AZ38,b)/100,0)</f>
        <v>-6.4539999999999979E-3</v>
      </c>
      <c r="P38" s="98">
        <f t="shared" si="10"/>
        <v>2.5</v>
      </c>
      <c r="R38" s="97">
        <f t="shared" si="11"/>
        <v>0.04</v>
      </c>
      <c r="S38" s="100">
        <f t="shared" si="12"/>
        <v>1</v>
      </c>
      <c r="T38" s="99">
        <f t="shared" ca="1" si="13"/>
        <v>237</v>
      </c>
      <c r="U38" s="175">
        <f t="shared" si="14"/>
        <v>0.55354600000000009</v>
      </c>
      <c r="V38" s="77">
        <f>IF(F$16=1,_xll.xCalcSkew($A38,W38-BK38,b)/100,0)</f>
        <v>-6.4539999999999979E-3</v>
      </c>
      <c r="W38" s="98">
        <f t="shared" si="15"/>
        <v>2.5</v>
      </c>
      <c r="X38" s="99"/>
      <c r="Y38" s="97">
        <f t="shared" si="16"/>
        <v>0.04</v>
      </c>
      <c r="Z38" s="100">
        <f t="shared" si="17"/>
        <v>1</v>
      </c>
      <c r="AA38" s="99">
        <f t="shared" ca="1" si="18"/>
        <v>237</v>
      </c>
      <c r="AB38" s="77">
        <f t="shared" si="19"/>
        <v>0.55340600000000006</v>
      </c>
      <c r="AC38" s="77">
        <f>IF(H$16=1,_xll.xCalcSkew($A38,AD38-BV38,b)/100,0)</f>
        <v>-6.593999999999994E-3</v>
      </c>
      <c r="AD38" s="98">
        <f t="shared" si="20"/>
        <v>2.4900000000000002</v>
      </c>
      <c r="AF38" s="99">
        <f t="shared" ca="1" si="21"/>
        <v>237</v>
      </c>
      <c r="AG38" s="99">
        <f t="shared" ca="1" si="22"/>
        <v>236</v>
      </c>
      <c r="AH38" s="77">
        <f t="shared" si="23"/>
        <v>2.1628704479852899E-2</v>
      </c>
      <c r="AI38" s="154">
        <f t="shared" si="0"/>
        <v>30</v>
      </c>
      <c r="AJ38" s="101"/>
      <c r="AK38" s="101"/>
      <c r="AL38" s="101"/>
      <c r="AM38" s="101"/>
      <c r="AN38" s="78">
        <f t="shared" si="49"/>
        <v>30</v>
      </c>
      <c r="AO38" s="303">
        <f t="shared" si="50"/>
        <v>2.9209999999999998</v>
      </c>
      <c r="AP38" s="75">
        <f t="shared" si="24"/>
        <v>87.63</v>
      </c>
      <c r="AQ38" s="102">
        <f t="shared" si="25"/>
        <v>87.63</v>
      </c>
      <c r="AR38" s="101">
        <f t="shared" ca="1" si="26"/>
        <v>1.3003258686658776</v>
      </c>
      <c r="AS38" s="101">
        <f t="shared" ca="1" si="51"/>
        <v>-0.65760631524587632</v>
      </c>
      <c r="AT38" s="101">
        <f t="shared" ca="1" si="27"/>
        <v>8.4470441930253326E-3</v>
      </c>
      <c r="AU38" s="103">
        <f t="shared" ca="1" si="52"/>
        <v>39.009776059976332</v>
      </c>
      <c r="AV38" s="103">
        <f t="shared" ca="1" si="53"/>
        <v>-19.728189457376288</v>
      </c>
      <c r="AW38" s="103">
        <f t="shared" ca="1" si="54"/>
        <v>0.25341132579075998</v>
      </c>
      <c r="AY38" s="78">
        <f t="shared" si="28"/>
        <v>30</v>
      </c>
      <c r="AZ38" s="303">
        <f t="shared" si="55"/>
        <v>2.9609999999999999</v>
      </c>
      <c r="BA38" s="75">
        <f t="shared" si="29"/>
        <v>87.63</v>
      </c>
      <c r="BB38" s="102">
        <f t="shared" si="30"/>
        <v>88.83</v>
      </c>
      <c r="BC38" s="101">
        <f t="shared" ca="1" si="31"/>
        <v>0.28102321257200891</v>
      </c>
      <c r="BD38" s="101">
        <f t="shared" ca="1" si="32"/>
        <v>-0.26962870287618673</v>
      </c>
      <c r="BE38" s="101">
        <f t="shared" ca="1" si="33"/>
        <v>7.8347547457671141E-3</v>
      </c>
      <c r="BF38" s="103">
        <f t="shared" ca="1" si="56"/>
        <v>8.4306963771602668</v>
      </c>
      <c r="BG38" s="103">
        <f t="shared" ca="1" si="57"/>
        <v>-8.0888610862856023</v>
      </c>
      <c r="BH38" s="103">
        <f t="shared" ca="1" si="58"/>
        <v>0.23504264237301342</v>
      </c>
      <c r="BJ38" s="78">
        <f t="shared" si="34"/>
        <v>30</v>
      </c>
      <c r="BK38" s="303">
        <f t="shared" si="59"/>
        <v>2.9609999999999999</v>
      </c>
      <c r="BL38" s="75">
        <f t="shared" si="35"/>
        <v>87.63</v>
      </c>
      <c r="BM38" s="102">
        <f t="shared" si="36"/>
        <v>88.83</v>
      </c>
      <c r="BN38" s="101">
        <f t="shared" ca="1" si="37"/>
        <v>0.28102321257200891</v>
      </c>
      <c r="BO38" s="101">
        <f t="shared" ca="1" si="38"/>
        <v>-0.26962870287618673</v>
      </c>
      <c r="BP38" s="101">
        <f t="shared" ca="1" si="39"/>
        <v>7.8347547457671141E-3</v>
      </c>
      <c r="BQ38" s="103">
        <f t="shared" ca="1" si="60"/>
        <v>8.4306963771602668</v>
      </c>
      <c r="BR38" s="103">
        <f t="shared" ca="1" si="61"/>
        <v>-8.0888610862856023</v>
      </c>
      <c r="BS38" s="103">
        <f t="shared" ca="1" si="62"/>
        <v>0.23504264237301342</v>
      </c>
      <c r="BU38" s="78">
        <f t="shared" si="40"/>
        <v>30</v>
      </c>
      <c r="BV38" s="303">
        <f t="shared" si="63"/>
        <v>2.9609999999999999</v>
      </c>
      <c r="BW38" s="75">
        <f t="shared" si="41"/>
        <v>87.63</v>
      </c>
      <c r="BX38" s="102">
        <f t="shared" si="42"/>
        <v>88.83</v>
      </c>
      <c r="BY38" s="101">
        <f t="shared" ca="1" si="43"/>
        <v>0.2766141058460847</v>
      </c>
      <c r="BZ38" s="101">
        <f t="shared" ca="1" si="44"/>
        <v>-0.2666748899067562</v>
      </c>
      <c r="CA38" s="101">
        <f t="shared" ca="1" si="45"/>
        <v>7.7924292798199346E-3</v>
      </c>
      <c r="CB38" s="103">
        <f t="shared" ca="1" si="64"/>
        <v>8.2984231753825419</v>
      </c>
      <c r="CC38" s="103">
        <f t="shared" ca="1" si="65"/>
        <v>-8.0002466972026856</v>
      </c>
      <c r="CD38" s="103">
        <f t="shared" ca="1" si="66"/>
        <v>0.23377287839459804</v>
      </c>
    </row>
    <row r="39" spans="1:82" x14ac:dyDescent="0.25">
      <c r="A39" s="96">
        <f t="shared" si="46"/>
        <v>37530</v>
      </c>
      <c r="B39" s="97">
        <f t="shared" si="47"/>
        <v>2.9460000000000002</v>
      </c>
      <c r="C39" s="77">
        <f t="shared" si="48"/>
        <v>0.56000000000000005</v>
      </c>
      <c r="D39" s="97">
        <f t="shared" si="1"/>
        <v>0</v>
      </c>
      <c r="E39" s="100">
        <f t="shared" si="2"/>
        <v>1</v>
      </c>
      <c r="F39" s="99">
        <f t="shared" ca="1" si="3"/>
        <v>265</v>
      </c>
      <c r="G39" s="77">
        <f t="shared" si="4"/>
        <v>0.58581000000000005</v>
      </c>
      <c r="H39" s="77">
        <f>IF(B$16=1,_xll.xCalcSkew(A39,I39-AO39,b)/100,0)</f>
        <v>2.5809999999999996E-2</v>
      </c>
      <c r="I39" s="98">
        <f t="shared" si="5"/>
        <v>4</v>
      </c>
      <c r="K39" s="97">
        <f t="shared" si="6"/>
        <v>7.4999999999999997E-3</v>
      </c>
      <c r="L39" s="100">
        <f t="shared" si="7"/>
        <v>1</v>
      </c>
      <c r="M39" s="99">
        <f t="shared" ca="1" si="8"/>
        <v>266</v>
      </c>
      <c r="N39" s="175">
        <f t="shared" si="9"/>
        <v>0.553651</v>
      </c>
      <c r="O39" s="77">
        <f>IF(D$16=1,_xll.xCalcSkew($A39,P39-AZ39,b)/100,0)</f>
        <v>-6.3490000000000005E-3</v>
      </c>
      <c r="P39" s="98">
        <f t="shared" si="10"/>
        <v>2.5</v>
      </c>
      <c r="R39" s="97">
        <f t="shared" si="11"/>
        <v>7.4999999999999997E-3</v>
      </c>
      <c r="S39" s="100">
        <f t="shared" si="12"/>
        <v>1</v>
      </c>
      <c r="T39" s="99">
        <f t="shared" ca="1" si="13"/>
        <v>266</v>
      </c>
      <c r="U39" s="175">
        <f t="shared" si="14"/>
        <v>0.553651</v>
      </c>
      <c r="V39" s="77">
        <f>IF(F$16=1,_xll.xCalcSkew($A39,W39-BK39,b)/100,0)</f>
        <v>-6.3490000000000005E-3</v>
      </c>
      <c r="W39" s="98">
        <f t="shared" si="15"/>
        <v>2.5</v>
      </c>
      <c r="X39" s="99"/>
      <c r="Y39" s="97">
        <f t="shared" si="16"/>
        <v>7.4999999999999997E-3</v>
      </c>
      <c r="Z39" s="100">
        <f t="shared" si="17"/>
        <v>1</v>
      </c>
      <c r="AA39" s="99">
        <f t="shared" ca="1" si="18"/>
        <v>266</v>
      </c>
      <c r="AB39" s="77">
        <f t="shared" si="19"/>
        <v>0.55351100000000009</v>
      </c>
      <c r="AC39" s="77">
        <f>IF(H$16=1,_xll.xCalcSkew($A39,AD39-BV39,b)/100,0)</f>
        <v>-6.4889999999999974E-3</v>
      </c>
      <c r="AD39" s="98">
        <f t="shared" si="20"/>
        <v>2.4900000000000002</v>
      </c>
      <c r="AF39" s="99">
        <f t="shared" ca="1" si="21"/>
        <v>266</v>
      </c>
      <c r="AG39" s="99">
        <f t="shared" ca="1" si="22"/>
        <v>265</v>
      </c>
      <c r="AH39" s="77">
        <f t="shared" si="23"/>
        <v>2.2229563577716799E-2</v>
      </c>
      <c r="AI39" s="154">
        <f t="shared" si="0"/>
        <v>31</v>
      </c>
      <c r="AJ39" s="101"/>
      <c r="AK39" s="101"/>
      <c r="AL39" s="101"/>
      <c r="AM39" s="101"/>
      <c r="AN39" s="78">
        <f t="shared" si="49"/>
        <v>31</v>
      </c>
      <c r="AO39" s="303">
        <f t="shared" si="50"/>
        <v>2.9460000000000002</v>
      </c>
      <c r="AP39" s="75">
        <f t="shared" si="24"/>
        <v>91.326000000000008</v>
      </c>
      <c r="AQ39" s="102">
        <f t="shared" si="25"/>
        <v>91.326000000000008</v>
      </c>
      <c r="AR39" s="101">
        <f t="shared" ca="1" si="26"/>
        <v>1.3110237882360525</v>
      </c>
      <c r="AS39" s="101">
        <f t="shared" ca="1" si="51"/>
        <v>-0.63148187568329628</v>
      </c>
      <c r="AT39" s="101">
        <f t="shared" ca="1" si="27"/>
        <v>9.2493384375684773E-3</v>
      </c>
      <c r="AU39" s="103">
        <f t="shared" ca="1" si="52"/>
        <v>40.64173743531763</v>
      </c>
      <c r="AV39" s="103">
        <f t="shared" ca="1" si="53"/>
        <v>-19.575938146182185</v>
      </c>
      <c r="AW39" s="103">
        <f t="shared" ca="1" si="54"/>
        <v>0.2867294915646228</v>
      </c>
      <c r="AY39" s="78">
        <f t="shared" si="28"/>
        <v>31</v>
      </c>
      <c r="AZ39" s="303">
        <f t="shared" si="55"/>
        <v>2.9535</v>
      </c>
      <c r="BA39" s="75">
        <f t="shared" si="29"/>
        <v>91.326000000000008</v>
      </c>
      <c r="BB39" s="102">
        <f t="shared" si="30"/>
        <v>91.558499999999995</v>
      </c>
      <c r="BC39" s="101">
        <f t="shared" ca="1" si="31"/>
        <v>0.30830617214128053</v>
      </c>
      <c r="BD39" s="101">
        <f t="shared" ca="1" si="32"/>
        <v>-0.27345816419985791</v>
      </c>
      <c r="BE39" s="101">
        <f t="shared" ca="1" si="33"/>
        <v>8.3258055202473091E-3</v>
      </c>
      <c r="BF39" s="103">
        <f t="shared" ca="1" si="56"/>
        <v>9.5574913363796963</v>
      </c>
      <c r="BG39" s="103">
        <f t="shared" ca="1" si="57"/>
        <v>-8.4772030901955944</v>
      </c>
      <c r="BH39" s="103">
        <f t="shared" ca="1" si="58"/>
        <v>0.25809997112766658</v>
      </c>
      <c r="BJ39" s="78">
        <f t="shared" si="34"/>
        <v>31</v>
      </c>
      <c r="BK39" s="303">
        <f t="shared" si="59"/>
        <v>2.9535</v>
      </c>
      <c r="BL39" s="75">
        <f t="shared" si="35"/>
        <v>91.326000000000008</v>
      </c>
      <c r="BM39" s="102">
        <f t="shared" si="36"/>
        <v>91.558499999999995</v>
      </c>
      <c r="BN39" s="101">
        <f t="shared" ca="1" si="37"/>
        <v>0.30830617214128053</v>
      </c>
      <c r="BO39" s="101">
        <f t="shared" ca="1" si="38"/>
        <v>-0.27345816419985791</v>
      </c>
      <c r="BP39" s="101">
        <f t="shared" ca="1" si="39"/>
        <v>8.3258055202473091E-3</v>
      </c>
      <c r="BQ39" s="103">
        <f t="shared" ca="1" si="60"/>
        <v>9.5574913363796963</v>
      </c>
      <c r="BR39" s="103">
        <f t="shared" ca="1" si="61"/>
        <v>-8.4772030901955944</v>
      </c>
      <c r="BS39" s="103">
        <f t="shared" ca="1" si="62"/>
        <v>0.25809997112766658</v>
      </c>
      <c r="BU39" s="78">
        <f t="shared" si="40"/>
        <v>31</v>
      </c>
      <c r="BV39" s="303">
        <f t="shared" si="63"/>
        <v>2.9535</v>
      </c>
      <c r="BW39" s="75">
        <f t="shared" si="41"/>
        <v>91.326000000000008</v>
      </c>
      <c r="BX39" s="102">
        <f t="shared" si="42"/>
        <v>91.558499999999995</v>
      </c>
      <c r="BY39" s="101">
        <f t="shared" ca="1" si="43"/>
        <v>0.30374294670197</v>
      </c>
      <c r="BZ39" s="101">
        <f t="shared" ca="1" si="44"/>
        <v>-0.27065622442843501</v>
      </c>
      <c r="CA39" s="101">
        <f t="shared" ca="1" si="45"/>
        <v>8.2843193924508896E-3</v>
      </c>
      <c r="CB39" s="103">
        <f t="shared" ca="1" si="64"/>
        <v>9.41603134776107</v>
      </c>
      <c r="CC39" s="103">
        <f t="shared" ca="1" si="65"/>
        <v>-8.3903429572814847</v>
      </c>
      <c r="CD39" s="103">
        <f t="shared" ca="1" si="66"/>
        <v>0.25681390116597758</v>
      </c>
    </row>
    <row r="40" spans="1:82" x14ac:dyDescent="0.25">
      <c r="A40" s="96">
        <f t="shared" si="46"/>
        <v>37561</v>
      </c>
      <c r="B40" s="97">
        <f t="shared" si="47"/>
        <v>3.141</v>
      </c>
      <c r="C40" s="77">
        <f t="shared" si="48"/>
        <v>0.55300000000000005</v>
      </c>
      <c r="D40" s="97">
        <f t="shared" si="1"/>
        <v>0</v>
      </c>
      <c r="E40" s="100">
        <f t="shared" si="2"/>
        <v>1</v>
      </c>
      <c r="F40" s="99">
        <f t="shared" ca="1" si="3"/>
        <v>298</v>
      </c>
      <c r="G40" s="77">
        <f t="shared" si="4"/>
        <v>0.5690900000000001</v>
      </c>
      <c r="H40" s="77">
        <f>IF(B$16=1,_xll.xCalcSkew(A40,I40-AO40,b)/100,0)</f>
        <v>1.609E-2</v>
      </c>
      <c r="I40" s="98">
        <f t="shared" si="5"/>
        <v>4</v>
      </c>
      <c r="K40" s="97">
        <f t="shared" si="6"/>
        <v>-2.2499999999999999E-2</v>
      </c>
      <c r="L40" s="100">
        <f t="shared" si="7"/>
        <v>1</v>
      </c>
      <c r="M40" s="99">
        <f t="shared" ca="1" si="8"/>
        <v>299</v>
      </c>
      <c r="N40" s="175">
        <f t="shared" si="9"/>
        <v>0.54528900000000002</v>
      </c>
      <c r="O40" s="77">
        <f>IF(D$16=1,_xll.xCalcSkew($A40,P40-AZ40,b)/100,0)</f>
        <v>-7.711E-3</v>
      </c>
      <c r="P40" s="98">
        <f t="shared" si="10"/>
        <v>2.5</v>
      </c>
      <c r="R40" s="97">
        <f t="shared" si="11"/>
        <v>-2.2499999999999999E-2</v>
      </c>
      <c r="S40" s="100">
        <f t="shared" si="12"/>
        <v>1</v>
      </c>
      <c r="T40" s="99">
        <f t="shared" ca="1" si="13"/>
        <v>299</v>
      </c>
      <c r="U40" s="175">
        <f t="shared" si="14"/>
        <v>0.54528900000000002</v>
      </c>
      <c r="V40" s="77">
        <f>IF(F$16=1,_xll.xCalcSkew($A40,W40-BK40,b)/100,0)</f>
        <v>-7.711E-3</v>
      </c>
      <c r="W40" s="98">
        <f t="shared" si="15"/>
        <v>2.5</v>
      </c>
      <c r="X40" s="99"/>
      <c r="Y40" s="97">
        <f t="shared" si="16"/>
        <v>-2.2499999999999999E-2</v>
      </c>
      <c r="Z40" s="100">
        <f t="shared" si="17"/>
        <v>1</v>
      </c>
      <c r="AA40" s="99">
        <f t="shared" ca="1" si="18"/>
        <v>299</v>
      </c>
      <c r="AB40" s="77">
        <f t="shared" si="19"/>
        <v>0.54522900000000007</v>
      </c>
      <c r="AC40" s="77">
        <f>IF(H$16=1,_xll.xCalcSkew($A40,AD40-BV40,b)/100,0)</f>
        <v>-7.7709999999999993E-3</v>
      </c>
      <c r="AD40" s="98">
        <f t="shared" si="20"/>
        <v>2.4900000000000002</v>
      </c>
      <c r="AF40" s="99">
        <f t="shared" ca="1" si="21"/>
        <v>299</v>
      </c>
      <c r="AG40" s="99">
        <f t="shared" ca="1" si="22"/>
        <v>298</v>
      </c>
      <c r="AH40" s="77">
        <f t="shared" ref="AH40:AH95" si="67">VLOOKUP($A40,STRADDLE,14,FALSE)</f>
        <v>2.2969120664737601E-2</v>
      </c>
      <c r="AI40" s="154">
        <f t="shared" si="0"/>
        <v>30</v>
      </c>
      <c r="AJ40" s="101"/>
      <c r="AK40" s="101"/>
      <c r="AL40" s="101"/>
      <c r="AM40" s="101"/>
      <c r="AN40" s="78">
        <f t="shared" si="49"/>
        <v>30</v>
      </c>
      <c r="AO40" s="303">
        <f t="shared" si="50"/>
        <v>3.141</v>
      </c>
      <c r="AP40" s="75">
        <f t="shared" si="24"/>
        <v>94.23</v>
      </c>
      <c r="AQ40" s="102">
        <f t="shared" si="25"/>
        <v>94.23</v>
      </c>
      <c r="AR40" s="101">
        <f t="shared" ca="1" si="26"/>
        <v>1.2075515168218427</v>
      </c>
      <c r="AS40" s="101">
        <f t="shared" ca="1" si="51"/>
        <v>-0.57349557477152502</v>
      </c>
      <c r="AT40" s="101">
        <f t="shared" ca="1" si="27"/>
        <v>1.0877155655042658E-2</v>
      </c>
      <c r="AU40" s="103">
        <f t="shared" ca="1" si="52"/>
        <v>36.226545504655277</v>
      </c>
      <c r="AV40" s="103">
        <f t="shared" ca="1" si="53"/>
        <v>-17.204867243145749</v>
      </c>
      <c r="AW40" s="103">
        <f t="shared" ca="1" si="54"/>
        <v>0.32631466965127975</v>
      </c>
      <c r="AY40" s="78">
        <f t="shared" si="28"/>
        <v>30</v>
      </c>
      <c r="AZ40" s="303">
        <f t="shared" si="55"/>
        <v>3.1185</v>
      </c>
      <c r="BA40" s="75">
        <f t="shared" si="29"/>
        <v>94.23</v>
      </c>
      <c r="BB40" s="102">
        <f t="shared" si="30"/>
        <v>93.555000000000007</v>
      </c>
      <c r="BC40" s="101">
        <f t="shared" ca="1" si="31"/>
        <v>0.28555258996985744</v>
      </c>
      <c r="BD40" s="101">
        <f t="shared" ca="1" si="32"/>
        <v>-0.2390862817861005</v>
      </c>
      <c r="BE40" s="101">
        <f t="shared" ca="1" si="33"/>
        <v>8.6920435099788751E-3</v>
      </c>
      <c r="BF40" s="103">
        <f t="shared" ca="1" si="56"/>
        <v>8.5665776990957241</v>
      </c>
      <c r="BG40" s="103">
        <f t="shared" ca="1" si="57"/>
        <v>-7.1725884535830149</v>
      </c>
      <c r="BH40" s="103">
        <f t="shared" ca="1" si="58"/>
        <v>0.26076130529936625</v>
      </c>
      <c r="BJ40" s="78">
        <f t="shared" si="34"/>
        <v>30</v>
      </c>
      <c r="BK40" s="303">
        <f t="shared" si="59"/>
        <v>3.1185</v>
      </c>
      <c r="BL40" s="75">
        <f t="shared" si="35"/>
        <v>94.23</v>
      </c>
      <c r="BM40" s="102">
        <f t="shared" si="36"/>
        <v>93.555000000000007</v>
      </c>
      <c r="BN40" s="101">
        <f t="shared" ca="1" si="37"/>
        <v>0.28555258996985744</v>
      </c>
      <c r="BO40" s="101">
        <f t="shared" ca="1" si="38"/>
        <v>-0.2390862817861005</v>
      </c>
      <c r="BP40" s="101">
        <f t="shared" ca="1" si="39"/>
        <v>8.6920435099788751E-3</v>
      </c>
      <c r="BQ40" s="103">
        <f t="shared" ca="1" si="60"/>
        <v>8.5665776990957241</v>
      </c>
      <c r="BR40" s="103">
        <f t="shared" ca="1" si="61"/>
        <v>-7.1725884535830149</v>
      </c>
      <c r="BS40" s="103">
        <f t="shared" ca="1" si="62"/>
        <v>0.26076130529936625</v>
      </c>
      <c r="BU40" s="78">
        <f t="shared" si="40"/>
        <v>30</v>
      </c>
      <c r="BV40" s="303">
        <f t="shared" si="63"/>
        <v>3.1185</v>
      </c>
      <c r="BW40" s="75">
        <f t="shared" si="41"/>
        <v>94.23</v>
      </c>
      <c r="BX40" s="102">
        <f t="shared" si="42"/>
        <v>93.555000000000007</v>
      </c>
      <c r="BY40" s="101">
        <f t="shared" ca="1" si="43"/>
        <v>0.28139180062957458</v>
      </c>
      <c r="BZ40" s="101">
        <f t="shared" ca="1" si="44"/>
        <v>-0.23658847443974809</v>
      </c>
      <c r="CA40" s="101">
        <f t="shared" ca="1" si="45"/>
        <v>8.6432983817115172E-3</v>
      </c>
      <c r="CB40" s="103">
        <f t="shared" ca="1" si="64"/>
        <v>8.441754018887238</v>
      </c>
      <c r="CC40" s="103">
        <f t="shared" ca="1" si="65"/>
        <v>-7.0976542331924426</v>
      </c>
      <c r="CD40" s="103">
        <f t="shared" ca="1" si="66"/>
        <v>0.25929895145134552</v>
      </c>
    </row>
    <row r="41" spans="1:82" x14ac:dyDescent="0.25">
      <c r="A41" s="96">
        <f t="shared" si="46"/>
        <v>37591</v>
      </c>
      <c r="B41" s="97">
        <f t="shared" si="47"/>
        <v>3.331</v>
      </c>
      <c r="C41" s="77">
        <f t="shared" si="48"/>
        <v>0.54800000000000004</v>
      </c>
      <c r="D41" s="97">
        <f t="shared" si="1"/>
        <v>0</v>
      </c>
      <c r="E41" s="100">
        <f t="shared" si="2"/>
        <v>1</v>
      </c>
      <c r="F41" s="99">
        <f t="shared" ca="1" si="3"/>
        <v>326</v>
      </c>
      <c r="G41" s="77">
        <f t="shared" si="4"/>
        <v>0.56219000000000008</v>
      </c>
      <c r="H41" s="77">
        <f>IF(B$16=1,_xll.xCalcSkew(A41,I41-AO41,b)/100,0)</f>
        <v>1.4190000000000001E-2</v>
      </c>
      <c r="I41" s="98">
        <f t="shared" si="5"/>
        <v>4</v>
      </c>
      <c r="K41" s="97">
        <f t="shared" si="6"/>
        <v>-4.4999999999999998E-2</v>
      </c>
      <c r="L41" s="100">
        <f t="shared" si="7"/>
        <v>1</v>
      </c>
      <c r="M41" s="99">
        <f t="shared" ca="1" si="8"/>
        <v>327</v>
      </c>
      <c r="N41" s="175">
        <f t="shared" si="9"/>
        <v>0.5392840000000001</v>
      </c>
      <c r="O41" s="77">
        <f>IF(D$16=1,_xll.xCalcSkew($A41,P41-AZ41,b)/100,0)</f>
        <v>-8.7159999999999998E-3</v>
      </c>
      <c r="P41" s="98">
        <f t="shared" si="10"/>
        <v>2.5</v>
      </c>
      <c r="R41" s="97">
        <f t="shared" si="11"/>
        <v>-4.4999999999999998E-2</v>
      </c>
      <c r="S41" s="100">
        <f t="shared" si="12"/>
        <v>1</v>
      </c>
      <c r="T41" s="99">
        <f t="shared" ca="1" si="13"/>
        <v>327</v>
      </c>
      <c r="U41" s="175">
        <f t="shared" si="14"/>
        <v>0.5392840000000001</v>
      </c>
      <c r="V41" s="77">
        <f>IF(F$16=1,_xll.xCalcSkew($A41,W41-BK41,b)/100,0)</f>
        <v>-8.7159999999999998E-3</v>
      </c>
      <c r="W41" s="98">
        <f t="shared" si="15"/>
        <v>2.5</v>
      </c>
      <c r="X41" s="99"/>
      <c r="Y41" s="97">
        <f t="shared" si="16"/>
        <v>-4.4999999999999998E-2</v>
      </c>
      <c r="Z41" s="100">
        <f t="shared" si="17"/>
        <v>1</v>
      </c>
      <c r="AA41" s="99">
        <f t="shared" ca="1" si="18"/>
        <v>327</v>
      </c>
      <c r="AB41" s="77">
        <f t="shared" si="19"/>
        <v>0.53922400000000004</v>
      </c>
      <c r="AC41" s="77">
        <f>IF(H$16=1,_xll.xCalcSkew($A41,AD41-BV41,b)/100,0)</f>
        <v>-8.7759999999999991E-3</v>
      </c>
      <c r="AD41" s="98">
        <f t="shared" si="20"/>
        <v>2.4900000000000002</v>
      </c>
      <c r="AF41" s="99">
        <f t="shared" ca="1" si="21"/>
        <v>327</v>
      </c>
      <c r="AG41" s="99">
        <f t="shared" ca="1" si="22"/>
        <v>326</v>
      </c>
      <c r="AH41" s="77">
        <f t="shared" si="67"/>
        <v>2.3684821247730501E-2</v>
      </c>
      <c r="AI41" s="154">
        <f t="shared" si="0"/>
        <v>31</v>
      </c>
      <c r="AJ41" s="101"/>
      <c r="AK41" s="101"/>
      <c r="AL41" s="101"/>
      <c r="AM41" s="101"/>
      <c r="AN41" s="78">
        <f t="shared" si="49"/>
        <v>31</v>
      </c>
      <c r="AO41" s="303">
        <f t="shared" si="50"/>
        <v>3.331</v>
      </c>
      <c r="AP41" s="75">
        <f t="shared" si="24"/>
        <v>103.261</v>
      </c>
      <c r="AQ41" s="102">
        <f t="shared" si="25"/>
        <v>103.261</v>
      </c>
      <c r="AR41" s="101">
        <f t="shared" ca="1" si="26"/>
        <v>1.122318792168836</v>
      </c>
      <c r="AS41" s="101">
        <f t="shared" ca="1" si="51"/>
        <v>-0.52029030982314184</v>
      </c>
      <c r="AT41" s="101">
        <f t="shared" ca="1" si="27"/>
        <v>1.2262743808552301E-2</v>
      </c>
      <c r="AU41" s="103">
        <f t="shared" ca="1" si="52"/>
        <v>34.791882557233919</v>
      </c>
      <c r="AV41" s="103">
        <f t="shared" ca="1" si="53"/>
        <v>-16.128999604517396</v>
      </c>
      <c r="AW41" s="103">
        <f t="shared" ca="1" si="54"/>
        <v>0.38014505806512133</v>
      </c>
      <c r="AY41" s="78">
        <f t="shared" si="28"/>
        <v>31</v>
      </c>
      <c r="AZ41" s="303">
        <f t="shared" si="55"/>
        <v>3.286</v>
      </c>
      <c r="BA41" s="75">
        <f t="shared" si="29"/>
        <v>103.261</v>
      </c>
      <c r="BB41" s="102">
        <f t="shared" si="30"/>
        <v>101.866</v>
      </c>
      <c r="BC41" s="101">
        <f t="shared" ca="1" si="31"/>
        <v>0.26340722679106665</v>
      </c>
      <c r="BD41" s="101">
        <f t="shared" ca="1" si="32"/>
        <v>-0.2100272922647107</v>
      </c>
      <c r="BE41" s="101">
        <f t="shared" ca="1" si="33"/>
        <v>8.9035952448353051E-3</v>
      </c>
      <c r="BF41" s="103">
        <f t="shared" ca="1" si="56"/>
        <v>8.1656240305230661</v>
      </c>
      <c r="BG41" s="103">
        <f t="shared" ca="1" si="57"/>
        <v>-6.5108460602060321</v>
      </c>
      <c r="BH41" s="103">
        <f t="shared" ca="1" si="58"/>
        <v>0.27601145258989446</v>
      </c>
      <c r="BJ41" s="78">
        <f t="shared" si="34"/>
        <v>31</v>
      </c>
      <c r="BK41" s="303">
        <f t="shared" si="59"/>
        <v>3.286</v>
      </c>
      <c r="BL41" s="75">
        <f t="shared" si="35"/>
        <v>103.261</v>
      </c>
      <c r="BM41" s="102">
        <f t="shared" si="36"/>
        <v>101.866</v>
      </c>
      <c r="BN41" s="101">
        <f t="shared" ca="1" si="37"/>
        <v>0.26340722679106665</v>
      </c>
      <c r="BO41" s="101">
        <f t="shared" ca="1" si="38"/>
        <v>-0.2100272922647107</v>
      </c>
      <c r="BP41" s="101">
        <f t="shared" ca="1" si="39"/>
        <v>8.9035952448353051E-3</v>
      </c>
      <c r="BQ41" s="103">
        <f t="shared" ca="1" si="60"/>
        <v>8.1656240305230661</v>
      </c>
      <c r="BR41" s="103">
        <f t="shared" ca="1" si="61"/>
        <v>-6.5108460602060321</v>
      </c>
      <c r="BS41" s="103">
        <f t="shared" ca="1" si="62"/>
        <v>0.27601145258989446</v>
      </c>
      <c r="BU41" s="78">
        <f t="shared" si="40"/>
        <v>31</v>
      </c>
      <c r="BV41" s="303">
        <f t="shared" si="63"/>
        <v>3.286</v>
      </c>
      <c r="BW41" s="75">
        <f t="shared" si="41"/>
        <v>103.261</v>
      </c>
      <c r="BX41" s="102">
        <f t="shared" si="42"/>
        <v>101.866</v>
      </c>
      <c r="BY41" s="101">
        <f t="shared" ca="1" si="43"/>
        <v>0.25955473741134161</v>
      </c>
      <c r="BZ41" s="101">
        <f t="shared" ca="1" si="44"/>
        <v>-0.20778187140693929</v>
      </c>
      <c r="CA41" s="101">
        <f t="shared" ca="1" si="45"/>
        <v>8.8486746416411854E-3</v>
      </c>
      <c r="CB41" s="103">
        <f t="shared" ca="1" si="64"/>
        <v>8.0461968597515892</v>
      </c>
      <c r="CC41" s="103">
        <f t="shared" ca="1" si="65"/>
        <v>-6.4412380136151182</v>
      </c>
      <c r="CD41" s="103">
        <f t="shared" ca="1" si="66"/>
        <v>0.27430891389087675</v>
      </c>
    </row>
    <row r="42" spans="1:82" x14ac:dyDescent="0.25">
      <c r="A42" s="96">
        <f t="shared" si="46"/>
        <v>37622</v>
      </c>
      <c r="B42" s="97">
        <f t="shared" si="47"/>
        <v>3.4359999999999999</v>
      </c>
      <c r="C42" s="77">
        <f t="shared" si="48"/>
        <v>0.54300000000000004</v>
      </c>
      <c r="D42" s="97">
        <f t="shared" si="1"/>
        <v>0</v>
      </c>
      <c r="E42" s="100">
        <f t="shared" si="2"/>
        <v>1</v>
      </c>
      <c r="F42" s="99">
        <f t="shared" ca="1" si="3"/>
        <v>357</v>
      </c>
      <c r="G42" s="77">
        <f t="shared" si="4"/>
        <v>0.55614000000000008</v>
      </c>
      <c r="H42" s="77">
        <f>IF(B$16=1,_xll.xCalcSkew(A42,I42-AO42,b)/100,0)</f>
        <v>1.3140000000000006E-2</v>
      </c>
      <c r="I42" s="98">
        <f t="shared" si="5"/>
        <v>4</v>
      </c>
      <c r="K42" s="97">
        <f t="shared" si="6"/>
        <v>-0.05</v>
      </c>
      <c r="L42" s="100">
        <f t="shared" si="7"/>
        <v>1</v>
      </c>
      <c r="M42" s="99">
        <f t="shared" ca="1" si="8"/>
        <v>358</v>
      </c>
      <c r="N42" s="175">
        <f t="shared" si="9"/>
        <v>0.53368400000000005</v>
      </c>
      <c r="O42" s="77">
        <f>IF(D$16=1,_xll.xCalcSkew($A42,P42-AZ42,b)/100,0)</f>
        <v>-9.3159999999999979E-3</v>
      </c>
      <c r="P42" s="98">
        <f t="shared" si="10"/>
        <v>2.5</v>
      </c>
      <c r="R42" s="97">
        <f t="shared" si="11"/>
        <v>-0.05</v>
      </c>
      <c r="S42" s="100">
        <f t="shared" si="12"/>
        <v>1</v>
      </c>
      <c r="T42" s="99">
        <f t="shared" ca="1" si="13"/>
        <v>358</v>
      </c>
      <c r="U42" s="175">
        <f t="shared" si="14"/>
        <v>0.53368400000000005</v>
      </c>
      <c r="V42" s="77">
        <f>IF(F$16=1,_xll.xCalcSkew($A42,W42-BK42,b)/100,0)</f>
        <v>-9.3159999999999979E-3</v>
      </c>
      <c r="W42" s="98">
        <f t="shared" si="15"/>
        <v>2.5</v>
      </c>
      <c r="X42" s="99"/>
      <c r="Y42" s="97">
        <f t="shared" si="16"/>
        <v>-0.05</v>
      </c>
      <c r="Z42" s="100">
        <f t="shared" si="17"/>
        <v>1</v>
      </c>
      <c r="AA42" s="99">
        <f t="shared" ca="1" si="18"/>
        <v>358</v>
      </c>
      <c r="AB42" s="77">
        <f t="shared" si="19"/>
        <v>0.53362399999999999</v>
      </c>
      <c r="AC42" s="77">
        <f>IF(H$16=1,_xll.xCalcSkew($A42,AD42-BV42,b)/100,0)</f>
        <v>-9.3759999999999972E-3</v>
      </c>
      <c r="AD42" s="98">
        <f t="shared" si="20"/>
        <v>2.4900000000000002</v>
      </c>
      <c r="AF42" s="99">
        <f t="shared" ca="1" si="21"/>
        <v>358</v>
      </c>
      <c r="AG42" s="99">
        <f t="shared" ca="1" si="22"/>
        <v>357</v>
      </c>
      <c r="AH42" s="77">
        <f t="shared" si="67"/>
        <v>2.4485717541272E-2</v>
      </c>
      <c r="AI42" s="154">
        <f t="shared" si="0"/>
        <v>31</v>
      </c>
      <c r="AJ42" s="101"/>
      <c r="AK42" s="101"/>
      <c r="AL42" s="101"/>
      <c r="AM42" s="101"/>
      <c r="AN42" s="78">
        <f t="shared" si="49"/>
        <v>31</v>
      </c>
      <c r="AO42" s="303">
        <f t="shared" si="50"/>
        <v>3.4359999999999995</v>
      </c>
      <c r="AP42" s="75">
        <f t="shared" si="24"/>
        <v>106.51599999999999</v>
      </c>
      <c r="AQ42" s="102">
        <f t="shared" si="25"/>
        <v>106.51599999999999</v>
      </c>
      <c r="AR42" s="101">
        <f t="shared" ca="1" si="26"/>
        <v>1.0909383514005058</v>
      </c>
      <c r="AS42" s="101">
        <f t="shared" ca="1" si="51"/>
        <v>-0.48868591315492715</v>
      </c>
      <c r="AT42" s="101">
        <f t="shared" ca="1" si="27"/>
        <v>1.3235762669855378E-2</v>
      </c>
      <c r="AU42" s="103">
        <f t="shared" ca="1" si="52"/>
        <v>33.819088893415682</v>
      </c>
      <c r="AV42" s="103">
        <f t="shared" ca="1" si="53"/>
        <v>-15.149263307802741</v>
      </c>
      <c r="AW42" s="103">
        <f t="shared" ca="1" si="54"/>
        <v>0.41030864276551671</v>
      </c>
      <c r="AY42" s="78">
        <f t="shared" si="28"/>
        <v>31</v>
      </c>
      <c r="AZ42" s="303">
        <f t="shared" si="55"/>
        <v>3.3859999999999997</v>
      </c>
      <c r="BA42" s="75">
        <f t="shared" si="29"/>
        <v>106.51599999999999</v>
      </c>
      <c r="BB42" s="102">
        <f t="shared" si="30"/>
        <v>104.96599999999999</v>
      </c>
      <c r="BC42" s="101">
        <f t="shared" ca="1" si="31"/>
        <v>0.25927700483826299</v>
      </c>
      <c r="BD42" s="101">
        <f t="shared" ca="1" si="32"/>
        <v>-0.19618408643849566</v>
      </c>
      <c r="BE42" s="101">
        <f t="shared" ca="1" si="33"/>
        <v>9.2134284885609929E-3</v>
      </c>
      <c r="BF42" s="103">
        <f t="shared" ca="1" si="56"/>
        <v>8.0375871499861535</v>
      </c>
      <c r="BG42" s="103">
        <f t="shared" ca="1" si="57"/>
        <v>-6.0817066795933652</v>
      </c>
      <c r="BH42" s="103">
        <f t="shared" ca="1" si="58"/>
        <v>0.28561628314539078</v>
      </c>
      <c r="BJ42" s="78">
        <f t="shared" si="34"/>
        <v>31</v>
      </c>
      <c r="BK42" s="303">
        <f t="shared" si="59"/>
        <v>3.3859999999999997</v>
      </c>
      <c r="BL42" s="75">
        <f t="shared" si="35"/>
        <v>106.51599999999999</v>
      </c>
      <c r="BM42" s="102">
        <f t="shared" si="36"/>
        <v>104.96599999999999</v>
      </c>
      <c r="BN42" s="101">
        <f t="shared" ca="1" si="37"/>
        <v>0.25927700483826299</v>
      </c>
      <c r="BO42" s="101">
        <f t="shared" ca="1" si="38"/>
        <v>-0.19618408643849566</v>
      </c>
      <c r="BP42" s="101">
        <f t="shared" ca="1" si="39"/>
        <v>9.2134284885609929E-3</v>
      </c>
      <c r="BQ42" s="103">
        <f t="shared" ca="1" si="60"/>
        <v>8.0375871499861535</v>
      </c>
      <c r="BR42" s="103">
        <f t="shared" ca="1" si="61"/>
        <v>-6.0817066795933652</v>
      </c>
      <c r="BS42" s="103">
        <f t="shared" ca="1" si="62"/>
        <v>0.28561628314539078</v>
      </c>
      <c r="BU42" s="78">
        <f t="shared" si="40"/>
        <v>31</v>
      </c>
      <c r="BV42" s="303">
        <f t="shared" si="63"/>
        <v>3.3859999999999997</v>
      </c>
      <c r="BW42" s="75">
        <f t="shared" si="41"/>
        <v>106.51599999999999</v>
      </c>
      <c r="BX42" s="102">
        <f t="shared" si="42"/>
        <v>104.96599999999999</v>
      </c>
      <c r="BY42" s="101">
        <f t="shared" ca="1" si="43"/>
        <v>0.25554202957708938</v>
      </c>
      <c r="BZ42" s="101">
        <f t="shared" ca="1" si="44"/>
        <v>-0.19410243778180078</v>
      </c>
      <c r="CA42" s="101">
        <f t="shared" ca="1" si="45"/>
        <v>9.1552613052559018E-3</v>
      </c>
      <c r="CB42" s="103">
        <f t="shared" ca="1" si="64"/>
        <v>7.9218029168897708</v>
      </c>
      <c r="CC42" s="103">
        <f t="shared" ca="1" si="65"/>
        <v>-6.0171755712358239</v>
      </c>
      <c r="CD42" s="103">
        <f t="shared" ca="1" si="66"/>
        <v>0.28381310046293295</v>
      </c>
    </row>
    <row r="43" spans="1:82" x14ac:dyDescent="0.25">
      <c r="A43" s="96">
        <f t="shared" si="46"/>
        <v>37653</v>
      </c>
      <c r="B43" s="97">
        <f t="shared" si="47"/>
        <v>3.3660000000000001</v>
      </c>
      <c r="C43" s="77">
        <f t="shared" si="48"/>
        <v>0.53300000000000003</v>
      </c>
      <c r="D43" s="97">
        <f t="shared" si="1"/>
        <v>0</v>
      </c>
      <c r="E43" s="100">
        <f t="shared" si="2"/>
        <v>1</v>
      </c>
      <c r="F43" s="99">
        <f t="shared" ca="1" si="3"/>
        <v>390</v>
      </c>
      <c r="G43" s="77">
        <f t="shared" si="4"/>
        <v>0.54683999999999999</v>
      </c>
      <c r="H43" s="77">
        <f>IF(B$16=1,_xll.xCalcSkew(A43,I43-AO43,b)/100,0)</f>
        <v>1.3839999999999998E-2</v>
      </c>
      <c r="I43" s="98">
        <f t="shared" si="5"/>
        <v>4</v>
      </c>
      <c r="K43" s="97">
        <f t="shared" si="6"/>
        <v>-3.5000000000000003E-2</v>
      </c>
      <c r="L43" s="100">
        <f t="shared" si="7"/>
        <v>1</v>
      </c>
      <c r="M43" s="99">
        <f t="shared" ca="1" si="8"/>
        <v>391</v>
      </c>
      <c r="N43" s="175">
        <f t="shared" si="9"/>
        <v>0.52401399999999998</v>
      </c>
      <c r="O43" s="77">
        <f>IF(D$16=1,_xll.xCalcSkew($A43,P43-AZ43,b)/100,0)</f>
        <v>-8.9859999999999992E-3</v>
      </c>
      <c r="P43" s="98">
        <f t="shared" si="10"/>
        <v>2.5</v>
      </c>
      <c r="R43" s="97">
        <f t="shared" si="11"/>
        <v>-3.5000000000000003E-2</v>
      </c>
      <c r="S43" s="100">
        <f t="shared" si="12"/>
        <v>1</v>
      </c>
      <c r="T43" s="99">
        <f t="shared" ca="1" si="13"/>
        <v>391</v>
      </c>
      <c r="U43" s="175">
        <f t="shared" si="14"/>
        <v>0.52401399999999998</v>
      </c>
      <c r="V43" s="77">
        <f>IF(F$16=1,_xll.xCalcSkew($A43,W43-BK43,b)/100,0)</f>
        <v>-8.9859999999999992E-3</v>
      </c>
      <c r="W43" s="98">
        <f t="shared" si="15"/>
        <v>2.5</v>
      </c>
      <c r="X43" s="99"/>
      <c r="Y43" s="97">
        <f t="shared" si="16"/>
        <v>-3.5000000000000003E-2</v>
      </c>
      <c r="Z43" s="100">
        <f t="shared" si="17"/>
        <v>1</v>
      </c>
      <c r="AA43" s="99">
        <f t="shared" ca="1" si="18"/>
        <v>391</v>
      </c>
      <c r="AB43" s="77">
        <f t="shared" si="19"/>
        <v>0.52395400000000003</v>
      </c>
      <c r="AC43" s="77">
        <f>IF(H$16=1,_xll.xCalcSkew($A43,AD43-BV43,b)/100,0)</f>
        <v>-9.0459999999999985E-3</v>
      </c>
      <c r="AD43" s="98">
        <f t="shared" si="20"/>
        <v>2.4900000000000002</v>
      </c>
      <c r="AF43" s="99">
        <f t="shared" ca="1" si="21"/>
        <v>391</v>
      </c>
      <c r="AG43" s="99">
        <f t="shared" ca="1" si="22"/>
        <v>390</v>
      </c>
      <c r="AH43" s="77">
        <f t="shared" si="67"/>
        <v>2.53610969536586E-2</v>
      </c>
      <c r="AI43" s="154">
        <f t="shared" si="0"/>
        <v>28</v>
      </c>
      <c r="AJ43" s="101"/>
      <c r="AK43" s="101"/>
      <c r="AL43" s="101"/>
      <c r="AM43" s="101"/>
      <c r="AN43" s="78">
        <f t="shared" si="49"/>
        <v>28</v>
      </c>
      <c r="AO43" s="303">
        <f t="shared" si="50"/>
        <v>3.3660000000000001</v>
      </c>
      <c r="AP43" s="75">
        <f t="shared" si="24"/>
        <v>94.248000000000005</v>
      </c>
      <c r="AQ43" s="102">
        <f t="shared" si="25"/>
        <v>94.248000000000005</v>
      </c>
      <c r="AR43" s="101">
        <f t="shared" ca="1" si="26"/>
        <v>1.14203146562828</v>
      </c>
      <c r="AS43" s="101">
        <f t="shared" ca="1" si="51"/>
        <v>-0.49543370845076401</v>
      </c>
      <c r="AT43" s="101">
        <f t="shared" ca="1" si="27"/>
        <v>1.3507572398290479E-2</v>
      </c>
      <c r="AU43" s="103">
        <f t="shared" ca="1" si="52"/>
        <v>31.976881037591838</v>
      </c>
      <c r="AV43" s="103">
        <f t="shared" ca="1" si="53"/>
        <v>-13.872143836621392</v>
      </c>
      <c r="AW43" s="103">
        <f t="shared" ca="1" si="54"/>
        <v>0.37821202715213342</v>
      </c>
      <c r="AY43" s="78">
        <f t="shared" si="28"/>
        <v>28</v>
      </c>
      <c r="AZ43" s="303">
        <f t="shared" si="55"/>
        <v>3.331</v>
      </c>
      <c r="BA43" s="75">
        <f t="shared" si="29"/>
        <v>94.248000000000005</v>
      </c>
      <c r="BB43" s="102">
        <f t="shared" si="30"/>
        <v>93.268000000000001</v>
      </c>
      <c r="BC43" s="101">
        <f t="shared" ca="1" si="31"/>
        <v>0.28238647994539645</v>
      </c>
      <c r="BD43" s="101">
        <f t="shared" ca="1" si="32"/>
        <v>-0.20608842989869983</v>
      </c>
      <c r="BE43" s="101">
        <f t="shared" ca="1" si="33"/>
        <v>9.7359039201807551E-3</v>
      </c>
      <c r="BF43" s="103">
        <f t="shared" ca="1" si="56"/>
        <v>7.9068214384711002</v>
      </c>
      <c r="BG43" s="103">
        <f t="shared" ca="1" si="57"/>
        <v>-5.7704760371635953</v>
      </c>
      <c r="BH43" s="103">
        <f t="shared" ca="1" si="58"/>
        <v>0.27260530976506114</v>
      </c>
      <c r="BJ43" s="78">
        <f t="shared" si="34"/>
        <v>28</v>
      </c>
      <c r="BK43" s="303">
        <f t="shared" si="59"/>
        <v>3.331</v>
      </c>
      <c r="BL43" s="75">
        <f t="shared" si="35"/>
        <v>94.248000000000005</v>
      </c>
      <c r="BM43" s="102">
        <f t="shared" si="36"/>
        <v>93.268000000000001</v>
      </c>
      <c r="BN43" s="101">
        <f t="shared" ca="1" si="37"/>
        <v>0.28238647994539645</v>
      </c>
      <c r="BO43" s="101">
        <f t="shared" ca="1" si="38"/>
        <v>-0.20608842989869983</v>
      </c>
      <c r="BP43" s="101">
        <f t="shared" ca="1" si="39"/>
        <v>9.7359039201807551E-3</v>
      </c>
      <c r="BQ43" s="103">
        <f t="shared" ca="1" si="60"/>
        <v>7.9068214384711002</v>
      </c>
      <c r="BR43" s="103">
        <f t="shared" ca="1" si="61"/>
        <v>-5.7704760371635953</v>
      </c>
      <c r="BS43" s="103">
        <f t="shared" ca="1" si="62"/>
        <v>0.27260530976506114</v>
      </c>
      <c r="BU43" s="78">
        <f t="shared" si="40"/>
        <v>28</v>
      </c>
      <c r="BV43" s="303">
        <f t="shared" si="63"/>
        <v>3.331</v>
      </c>
      <c r="BW43" s="75">
        <f t="shared" si="41"/>
        <v>94.248000000000005</v>
      </c>
      <c r="BX43" s="102">
        <f t="shared" si="42"/>
        <v>93.268000000000001</v>
      </c>
      <c r="BY43" s="101">
        <f t="shared" ca="1" si="43"/>
        <v>0.27846691330233442</v>
      </c>
      <c r="BZ43" s="101">
        <f t="shared" ca="1" si="44"/>
        <v>-0.20400315954566367</v>
      </c>
      <c r="CA43" s="101">
        <f t="shared" ca="1" si="45"/>
        <v>9.6787163440099633E-3</v>
      </c>
      <c r="CB43" s="103">
        <f t="shared" ca="1" si="64"/>
        <v>7.7970735724653633</v>
      </c>
      <c r="CC43" s="103">
        <f t="shared" ca="1" si="65"/>
        <v>-5.7120884672785825</v>
      </c>
      <c r="CD43" s="103">
        <f t="shared" ca="1" si="66"/>
        <v>0.27100405763227897</v>
      </c>
    </row>
    <row r="44" spans="1:82" x14ac:dyDescent="0.25">
      <c r="A44" s="96">
        <f t="shared" si="46"/>
        <v>37681</v>
      </c>
      <c r="B44" s="97">
        <f t="shared" si="47"/>
        <v>3.2610000000000001</v>
      </c>
      <c r="C44" s="77">
        <f t="shared" si="48"/>
        <v>0.503</v>
      </c>
      <c r="D44" s="97">
        <f t="shared" si="1"/>
        <v>0</v>
      </c>
      <c r="E44" s="100">
        <f t="shared" si="2"/>
        <v>1</v>
      </c>
      <c r="F44" s="99">
        <f t="shared" ca="1" si="3"/>
        <v>418</v>
      </c>
      <c r="G44" s="77">
        <f t="shared" si="4"/>
        <v>0.51788999999999996</v>
      </c>
      <c r="H44" s="77">
        <f>IF(B$16=1,_xll.xCalcSkew(A44,I44-AO44,b)/100,0)</f>
        <v>1.4889999999999999E-2</v>
      </c>
      <c r="I44" s="98">
        <f t="shared" si="5"/>
        <v>4</v>
      </c>
      <c r="K44" s="97">
        <f t="shared" si="6"/>
        <v>-2.2499999999999999E-2</v>
      </c>
      <c r="L44" s="100">
        <f t="shared" si="7"/>
        <v>1</v>
      </c>
      <c r="M44" s="99">
        <f t="shared" ca="1" si="8"/>
        <v>419</v>
      </c>
      <c r="N44" s="175">
        <f t="shared" si="9"/>
        <v>0.49456899999999998</v>
      </c>
      <c r="O44" s="77">
        <f>IF(D$16=1,_xll.xCalcSkew($A44,P44-AZ44,b)/100,0)</f>
        <v>-8.431000000000001E-3</v>
      </c>
      <c r="P44" s="98">
        <f t="shared" si="10"/>
        <v>2.5</v>
      </c>
      <c r="R44" s="97">
        <f t="shared" si="11"/>
        <v>-2.2499999999999999E-2</v>
      </c>
      <c r="S44" s="100">
        <f t="shared" si="12"/>
        <v>1</v>
      </c>
      <c r="T44" s="99">
        <f t="shared" ca="1" si="13"/>
        <v>419</v>
      </c>
      <c r="U44" s="175">
        <f t="shared" si="14"/>
        <v>0.49456899999999998</v>
      </c>
      <c r="V44" s="77">
        <f>IF(F$16=1,_xll.xCalcSkew($A44,W44-BK44,b)/100,0)</f>
        <v>-8.431000000000001E-3</v>
      </c>
      <c r="W44" s="98">
        <f t="shared" si="15"/>
        <v>2.5</v>
      </c>
      <c r="X44" s="99"/>
      <c r="Y44" s="97">
        <f t="shared" si="16"/>
        <v>-2.2499999999999999E-2</v>
      </c>
      <c r="Z44" s="100">
        <f t="shared" si="17"/>
        <v>1</v>
      </c>
      <c r="AA44" s="99">
        <f t="shared" ca="1" si="18"/>
        <v>419</v>
      </c>
      <c r="AB44" s="77">
        <f t="shared" si="19"/>
        <v>0.49450899999999998</v>
      </c>
      <c r="AC44" s="77">
        <f>IF(H$16=1,_xll.xCalcSkew($A44,AD44-BV44,b)/100,0)</f>
        <v>-8.4910000000000003E-3</v>
      </c>
      <c r="AD44" s="98">
        <f t="shared" si="20"/>
        <v>2.4900000000000002</v>
      </c>
      <c r="AF44" s="99">
        <f t="shared" ca="1" si="21"/>
        <v>419</v>
      </c>
      <c r="AG44" s="99">
        <f t="shared" ca="1" si="22"/>
        <v>418</v>
      </c>
      <c r="AH44" s="77">
        <f t="shared" si="67"/>
        <v>2.6151762451951801E-2</v>
      </c>
      <c r="AI44" s="154">
        <f t="shared" si="0"/>
        <v>31</v>
      </c>
      <c r="AJ44" s="101"/>
      <c r="AK44" s="101"/>
      <c r="AL44" s="101"/>
      <c r="AM44" s="101"/>
      <c r="AN44" s="78">
        <f t="shared" si="49"/>
        <v>31</v>
      </c>
      <c r="AO44" s="303">
        <f t="shared" si="50"/>
        <v>3.2610000000000001</v>
      </c>
      <c r="AP44" s="75">
        <f t="shared" si="24"/>
        <v>101.09100000000001</v>
      </c>
      <c r="AQ44" s="102">
        <f t="shared" si="25"/>
        <v>101.09100000000001</v>
      </c>
      <c r="AR44" s="101">
        <f t="shared" ca="1" si="26"/>
        <v>1.1778958794875674</v>
      </c>
      <c r="AS44" s="101">
        <f t="shared" ca="1" si="51"/>
        <v>-0.5206063692778895</v>
      </c>
      <c r="AT44" s="101">
        <f t="shared" ca="1" si="27"/>
        <v>1.3462178962765803E-2</v>
      </c>
      <c r="AU44" s="103">
        <f t="shared" ca="1" si="52"/>
        <v>36.51477226411459</v>
      </c>
      <c r="AV44" s="103">
        <f t="shared" ca="1" si="53"/>
        <v>-16.138797447614575</v>
      </c>
      <c r="AW44" s="103">
        <f t="shared" ca="1" si="54"/>
        <v>0.41732754784573989</v>
      </c>
      <c r="AY44" s="78">
        <f t="shared" si="28"/>
        <v>31</v>
      </c>
      <c r="AZ44" s="303">
        <f t="shared" si="55"/>
        <v>3.2385000000000002</v>
      </c>
      <c r="BA44" s="75">
        <f t="shared" si="29"/>
        <v>101.09100000000001</v>
      </c>
      <c r="BB44" s="102">
        <f t="shared" si="30"/>
        <v>100.3935</v>
      </c>
      <c r="BC44" s="101">
        <f t="shared" ca="1" si="31"/>
        <v>0.289483188078275</v>
      </c>
      <c r="BD44" s="101">
        <f t="shared" ca="1" si="32"/>
        <v>-0.21893782514089635</v>
      </c>
      <c r="BE44" s="101">
        <f t="shared" ca="1" si="33"/>
        <v>1.0130796344103521E-2</v>
      </c>
      <c r="BF44" s="103">
        <f t="shared" ca="1" si="56"/>
        <v>8.9739788304265247</v>
      </c>
      <c r="BG44" s="103">
        <f t="shared" ca="1" si="57"/>
        <v>-6.7870725793677869</v>
      </c>
      <c r="BH44" s="103">
        <f t="shared" ca="1" si="58"/>
        <v>0.31405468666720915</v>
      </c>
      <c r="BJ44" s="78">
        <f t="shared" si="34"/>
        <v>31</v>
      </c>
      <c r="BK44" s="303">
        <f t="shared" si="59"/>
        <v>3.2385000000000002</v>
      </c>
      <c r="BL44" s="75">
        <f t="shared" si="35"/>
        <v>101.09100000000001</v>
      </c>
      <c r="BM44" s="102">
        <f t="shared" si="36"/>
        <v>100.3935</v>
      </c>
      <c r="BN44" s="101">
        <f t="shared" ca="1" si="37"/>
        <v>0.289483188078275</v>
      </c>
      <c r="BO44" s="101">
        <f t="shared" ca="1" si="38"/>
        <v>-0.21893782514089635</v>
      </c>
      <c r="BP44" s="101">
        <f t="shared" ca="1" si="39"/>
        <v>1.0130796344103521E-2</v>
      </c>
      <c r="BQ44" s="103">
        <f t="shared" ca="1" si="60"/>
        <v>8.9739788304265247</v>
      </c>
      <c r="BR44" s="103">
        <f t="shared" ca="1" si="61"/>
        <v>-6.7870725793677869</v>
      </c>
      <c r="BS44" s="103">
        <f t="shared" ca="1" si="62"/>
        <v>0.31405468666720915</v>
      </c>
      <c r="BU44" s="78">
        <f t="shared" si="40"/>
        <v>31</v>
      </c>
      <c r="BV44" s="303">
        <f t="shared" si="63"/>
        <v>3.2385000000000002</v>
      </c>
      <c r="BW44" s="75">
        <f t="shared" si="41"/>
        <v>101.09100000000001</v>
      </c>
      <c r="BX44" s="102">
        <f t="shared" si="42"/>
        <v>100.3935</v>
      </c>
      <c r="BY44" s="101">
        <f t="shared" ca="1" si="43"/>
        <v>0.28544306801621544</v>
      </c>
      <c r="BZ44" s="101">
        <f t="shared" ca="1" si="44"/>
        <v>-0.21673120704055709</v>
      </c>
      <c r="CA44" s="101">
        <f t="shared" ca="1" si="45"/>
        <v>1.0073482492224173E-2</v>
      </c>
      <c r="CB44" s="103">
        <f t="shared" ca="1" si="64"/>
        <v>8.8487351085026784</v>
      </c>
      <c r="CC44" s="103">
        <f t="shared" ca="1" si="65"/>
        <v>-6.7186674182572697</v>
      </c>
      <c r="CD44" s="103">
        <f t="shared" ca="1" si="66"/>
        <v>0.31227795725894936</v>
      </c>
    </row>
    <row r="45" spans="1:82" x14ac:dyDescent="0.25">
      <c r="A45" s="96">
        <f t="shared" si="46"/>
        <v>37712</v>
      </c>
      <c r="B45" s="97">
        <f t="shared" si="47"/>
        <v>3.1160000000000001</v>
      </c>
      <c r="C45" s="77">
        <f t="shared" si="48"/>
        <v>0.42499999999999999</v>
      </c>
      <c r="D45" s="97">
        <f t="shared" si="1"/>
        <v>0</v>
      </c>
      <c r="E45" s="100">
        <f t="shared" si="2"/>
        <v>1</v>
      </c>
      <c r="F45" s="99">
        <f t="shared" ca="1" si="3"/>
        <v>447</v>
      </c>
      <c r="G45" s="77">
        <f t="shared" si="4"/>
        <v>0.43884000000000001</v>
      </c>
      <c r="H45" s="77">
        <f>IF(B$16=1,_xll.xCalcSkew(A45,I45-AO45,b)/100,0)</f>
        <v>1.3839999999999998E-2</v>
      </c>
      <c r="I45" s="98">
        <f t="shared" si="5"/>
        <v>4</v>
      </c>
      <c r="K45" s="97">
        <f t="shared" si="6"/>
        <v>0.03</v>
      </c>
      <c r="L45" s="100">
        <f t="shared" si="7"/>
        <v>1</v>
      </c>
      <c r="M45" s="99">
        <f t="shared" ca="1" si="8"/>
        <v>448</v>
      </c>
      <c r="N45" s="175">
        <f t="shared" si="9"/>
        <v>0.41791600000000001</v>
      </c>
      <c r="O45" s="77">
        <f>IF(D$16=1,_xll.xCalcSkew($A45,P45-AZ45,b)/100,0)</f>
        <v>-7.0839999999999992E-3</v>
      </c>
      <c r="P45" s="98">
        <f t="shared" si="10"/>
        <v>2.5</v>
      </c>
      <c r="R45" s="97">
        <f t="shared" si="11"/>
        <v>0.03</v>
      </c>
      <c r="S45" s="100">
        <f t="shared" si="12"/>
        <v>1</v>
      </c>
      <c r="T45" s="99">
        <f t="shared" ca="1" si="13"/>
        <v>448</v>
      </c>
      <c r="U45" s="175">
        <f t="shared" si="14"/>
        <v>0.41791600000000001</v>
      </c>
      <c r="V45" s="77">
        <f>IF(F$16=1,_xll.xCalcSkew($A45,W45-BK45,b)/100,0)</f>
        <v>-7.0839999999999992E-3</v>
      </c>
      <c r="W45" s="98">
        <f t="shared" si="15"/>
        <v>2.5</v>
      </c>
      <c r="X45" s="99"/>
      <c r="Y45" s="97">
        <f t="shared" si="16"/>
        <v>0.03</v>
      </c>
      <c r="Z45" s="100">
        <f t="shared" si="17"/>
        <v>1</v>
      </c>
      <c r="AA45" s="99">
        <f t="shared" ca="1" si="18"/>
        <v>448</v>
      </c>
      <c r="AB45" s="77">
        <f t="shared" si="19"/>
        <v>0.41787599999999997</v>
      </c>
      <c r="AC45" s="77">
        <f>IF(H$16=1,_xll.xCalcSkew($A45,AD45-BV45,b)/100,0)</f>
        <v>-7.1239999999999993E-3</v>
      </c>
      <c r="AD45" s="98">
        <f t="shared" si="20"/>
        <v>2.4900000000000002</v>
      </c>
      <c r="AF45" s="99">
        <f t="shared" ca="1" si="21"/>
        <v>448</v>
      </c>
      <c r="AG45" s="99">
        <f t="shared" ca="1" si="22"/>
        <v>447</v>
      </c>
      <c r="AH45" s="77">
        <f t="shared" si="67"/>
        <v>2.70235470347737E-2</v>
      </c>
      <c r="AI45" s="154">
        <f t="shared" si="0"/>
        <v>30</v>
      </c>
      <c r="AJ45" s="101"/>
      <c r="AK45" s="101"/>
      <c r="AL45" s="101"/>
      <c r="AM45" s="101"/>
      <c r="AN45" s="78">
        <f t="shared" si="49"/>
        <v>30</v>
      </c>
      <c r="AO45" s="303">
        <f t="shared" si="50"/>
        <v>3.1160000000000001</v>
      </c>
      <c r="AP45" s="75">
        <f t="shared" si="24"/>
        <v>93.48</v>
      </c>
      <c r="AQ45" s="102">
        <f t="shared" si="25"/>
        <v>93.48</v>
      </c>
      <c r="AR45" s="101">
        <f t="shared" ca="1" si="26"/>
        <v>1.1712586730589107</v>
      </c>
      <c r="AS45" s="101">
        <f t="shared" ca="1" si="51"/>
        <v>-0.58721668177926256</v>
      </c>
      <c r="AT45" s="101">
        <f t="shared" ca="1" si="27"/>
        <v>1.2856702590766989E-2</v>
      </c>
      <c r="AU45" s="103">
        <f t="shared" ca="1" si="52"/>
        <v>35.13776019176732</v>
      </c>
      <c r="AV45" s="103">
        <f t="shared" ca="1" si="53"/>
        <v>-17.616500453377878</v>
      </c>
      <c r="AW45" s="103">
        <f t="shared" ca="1" si="54"/>
        <v>0.38570107772300966</v>
      </c>
      <c r="AY45" s="78">
        <f t="shared" si="28"/>
        <v>30</v>
      </c>
      <c r="AZ45" s="303">
        <f t="shared" si="55"/>
        <v>3.1459999999999999</v>
      </c>
      <c r="BA45" s="75">
        <f t="shared" si="29"/>
        <v>93.48</v>
      </c>
      <c r="BB45" s="102">
        <f t="shared" si="30"/>
        <v>94.38</v>
      </c>
      <c r="BC45" s="101">
        <f t="shared" ca="1" si="31"/>
        <v>0.24646840117052926</v>
      </c>
      <c r="BD45" s="101">
        <f t="shared" ca="1" si="32"/>
        <v>-0.22572064164082944</v>
      </c>
      <c r="BE45" s="101">
        <f t="shared" ca="1" si="33"/>
        <v>1.0343540300679077E-2</v>
      </c>
      <c r="BF45" s="103">
        <f t="shared" ca="1" si="56"/>
        <v>7.3940520351158776</v>
      </c>
      <c r="BG45" s="103">
        <f t="shared" ca="1" si="57"/>
        <v>-6.7716192492248837</v>
      </c>
      <c r="BH45" s="103">
        <f t="shared" ca="1" si="58"/>
        <v>0.31030620902037231</v>
      </c>
      <c r="BJ45" s="78">
        <f t="shared" si="34"/>
        <v>30</v>
      </c>
      <c r="BK45" s="303">
        <f t="shared" si="59"/>
        <v>3.1459999999999999</v>
      </c>
      <c r="BL45" s="75">
        <f t="shared" si="35"/>
        <v>93.48</v>
      </c>
      <c r="BM45" s="102">
        <f t="shared" si="36"/>
        <v>94.38</v>
      </c>
      <c r="BN45" s="101">
        <f t="shared" ca="1" si="37"/>
        <v>0.24646840117052926</v>
      </c>
      <c r="BO45" s="101">
        <f t="shared" ca="1" si="38"/>
        <v>-0.22572064164082944</v>
      </c>
      <c r="BP45" s="101">
        <f t="shared" ca="1" si="39"/>
        <v>1.0343540300679077E-2</v>
      </c>
      <c r="BQ45" s="103">
        <f t="shared" ca="1" si="60"/>
        <v>7.3940520351158776</v>
      </c>
      <c r="BR45" s="103">
        <f t="shared" ca="1" si="61"/>
        <v>-6.7716192492248837</v>
      </c>
      <c r="BS45" s="103">
        <f t="shared" ca="1" si="62"/>
        <v>0.31030620902037231</v>
      </c>
      <c r="BU45" s="78">
        <f t="shared" si="40"/>
        <v>30</v>
      </c>
      <c r="BV45" s="303">
        <f t="shared" si="63"/>
        <v>3.1459999999999999</v>
      </c>
      <c r="BW45" s="75">
        <f t="shared" si="41"/>
        <v>93.48</v>
      </c>
      <c r="BX45" s="102">
        <f t="shared" si="42"/>
        <v>94.38</v>
      </c>
      <c r="BY45" s="101">
        <f t="shared" ca="1" si="43"/>
        <v>0.24261714841189708</v>
      </c>
      <c r="BZ45" s="101">
        <f t="shared" ca="1" si="44"/>
        <v>-0.22315774250559814</v>
      </c>
      <c r="CA45" s="101">
        <f t="shared" ca="1" si="45"/>
        <v>1.0279038225602388E-2</v>
      </c>
      <c r="CB45" s="103">
        <f t="shared" ca="1" si="64"/>
        <v>7.2785144523569123</v>
      </c>
      <c r="CC45" s="103">
        <f t="shared" ca="1" si="65"/>
        <v>-6.6947322751679446</v>
      </c>
      <c r="CD45" s="103">
        <f t="shared" ca="1" si="66"/>
        <v>0.30837114676807165</v>
      </c>
    </row>
    <row r="46" spans="1:82" x14ac:dyDescent="0.25">
      <c r="A46" s="96">
        <f t="shared" si="46"/>
        <v>37742</v>
      </c>
      <c r="B46" s="97">
        <f t="shared" si="47"/>
        <v>3.121</v>
      </c>
      <c r="C46" s="77">
        <f t="shared" si="48"/>
        <v>0.41</v>
      </c>
      <c r="D46" s="97">
        <f t="shared" si="1"/>
        <v>0</v>
      </c>
      <c r="E46" s="100">
        <f t="shared" si="2"/>
        <v>1</v>
      </c>
      <c r="F46" s="99">
        <f t="shared" ca="1" si="3"/>
        <v>477</v>
      </c>
      <c r="G46" s="77">
        <f t="shared" si="4"/>
        <v>0.42379</v>
      </c>
      <c r="H46" s="77">
        <f>IF(B$16=1,_xll.xCalcSkew(A46,I46-AO46,b)/100,0)</f>
        <v>1.379E-2</v>
      </c>
      <c r="I46" s="98">
        <f t="shared" si="5"/>
        <v>4</v>
      </c>
      <c r="K46" s="97">
        <f t="shared" si="6"/>
        <v>0.03</v>
      </c>
      <c r="L46" s="100">
        <f t="shared" si="7"/>
        <v>1</v>
      </c>
      <c r="M46" s="99">
        <f t="shared" ca="1" si="8"/>
        <v>480</v>
      </c>
      <c r="N46" s="175">
        <f t="shared" si="9"/>
        <v>0.40289599999999998</v>
      </c>
      <c r="O46" s="77">
        <f>IF(D$16=1,_xll.xCalcSkew($A46,P46-AZ46,b)/100,0)</f>
        <v>-7.1039999999999992E-3</v>
      </c>
      <c r="P46" s="98">
        <f t="shared" si="10"/>
        <v>2.5</v>
      </c>
      <c r="R46" s="97">
        <f t="shared" si="11"/>
        <v>0.03</v>
      </c>
      <c r="S46" s="100">
        <f t="shared" si="12"/>
        <v>1</v>
      </c>
      <c r="T46" s="99">
        <f t="shared" ca="1" si="13"/>
        <v>480</v>
      </c>
      <c r="U46" s="175">
        <f t="shared" si="14"/>
        <v>0.40289599999999998</v>
      </c>
      <c r="V46" s="77">
        <f>IF(F$16=1,_xll.xCalcSkew($A46,W46-BK46,b)/100,0)</f>
        <v>-7.1039999999999992E-3</v>
      </c>
      <c r="W46" s="98">
        <f t="shared" si="15"/>
        <v>2.5</v>
      </c>
      <c r="X46" s="99"/>
      <c r="Y46" s="97">
        <f t="shared" si="16"/>
        <v>0.03</v>
      </c>
      <c r="Z46" s="100">
        <f t="shared" si="17"/>
        <v>1</v>
      </c>
      <c r="AA46" s="99">
        <f t="shared" ca="1" si="18"/>
        <v>480</v>
      </c>
      <c r="AB46" s="77">
        <f t="shared" si="19"/>
        <v>0.40285599999999999</v>
      </c>
      <c r="AC46" s="77">
        <f>IF(H$16=1,_xll.xCalcSkew($A46,AD46-BV46,b)/100,0)</f>
        <v>-7.1439999999999984E-3</v>
      </c>
      <c r="AD46" s="98">
        <f t="shared" si="20"/>
        <v>2.4900000000000002</v>
      </c>
      <c r="AF46" s="99">
        <f t="shared" ca="1" si="21"/>
        <v>480</v>
      </c>
      <c r="AG46" s="99">
        <f t="shared" ca="1" si="22"/>
        <v>477</v>
      </c>
      <c r="AH46" s="77">
        <f t="shared" si="67"/>
        <v>2.78505455310585E-2</v>
      </c>
      <c r="AI46" s="154">
        <f t="shared" si="0"/>
        <v>31</v>
      </c>
      <c r="AJ46" s="101"/>
      <c r="AK46" s="101"/>
      <c r="AL46" s="101"/>
      <c r="AM46" s="101"/>
      <c r="AN46" s="78">
        <f t="shared" si="49"/>
        <v>31</v>
      </c>
      <c r="AO46" s="303">
        <f t="shared" si="50"/>
        <v>3.121</v>
      </c>
      <c r="AP46" s="75">
        <f t="shared" si="24"/>
        <v>96.751000000000005</v>
      </c>
      <c r="AQ46" s="102">
        <f t="shared" si="25"/>
        <v>96.751000000000005</v>
      </c>
      <c r="AR46" s="101">
        <f t="shared" ca="1" si="26"/>
        <v>1.1631167424654671</v>
      </c>
      <c r="AS46" s="101">
        <f t="shared" ca="1" si="51"/>
        <v>-0.58473299312026272</v>
      </c>
      <c r="AT46" s="101">
        <f t="shared" ca="1" si="27"/>
        <v>1.3264656472690817E-2</v>
      </c>
      <c r="AU46" s="103">
        <f t="shared" ca="1" si="52"/>
        <v>36.05661901642948</v>
      </c>
      <c r="AV46" s="103">
        <f t="shared" ca="1" si="53"/>
        <v>-18.126722786728145</v>
      </c>
      <c r="AW46" s="103">
        <f t="shared" ca="1" si="54"/>
        <v>0.41120435065341532</v>
      </c>
      <c r="AY46" s="78">
        <f t="shared" si="28"/>
        <v>31</v>
      </c>
      <c r="AZ46" s="303">
        <f t="shared" si="55"/>
        <v>3.1509999999999998</v>
      </c>
      <c r="BA46" s="75">
        <f t="shared" si="29"/>
        <v>96.751000000000005</v>
      </c>
      <c r="BB46" s="102">
        <f t="shared" si="30"/>
        <v>97.680999999999997</v>
      </c>
      <c r="BC46" s="101">
        <f t="shared" ca="1" si="31"/>
        <v>0.24359275765011879</v>
      </c>
      <c r="BD46" s="101">
        <f t="shared" ca="1" si="32"/>
        <v>-0.22376420011350501</v>
      </c>
      <c r="BE46" s="101">
        <f t="shared" ca="1" si="33"/>
        <v>1.0656934530820728E-2</v>
      </c>
      <c r="BF46" s="103">
        <f t="shared" ca="1" si="56"/>
        <v>7.551375487153682</v>
      </c>
      <c r="BG46" s="103">
        <f t="shared" ca="1" si="57"/>
        <v>-6.9366902035186548</v>
      </c>
      <c r="BH46" s="103">
        <f t="shared" ca="1" si="58"/>
        <v>0.33036497045544255</v>
      </c>
      <c r="BJ46" s="78">
        <f t="shared" si="34"/>
        <v>31</v>
      </c>
      <c r="BK46" s="303">
        <f t="shared" si="59"/>
        <v>3.1509999999999998</v>
      </c>
      <c r="BL46" s="75">
        <f t="shared" si="35"/>
        <v>96.751000000000005</v>
      </c>
      <c r="BM46" s="102">
        <f t="shared" si="36"/>
        <v>97.680999999999997</v>
      </c>
      <c r="BN46" s="101">
        <f t="shared" ca="1" si="37"/>
        <v>0.24359275765011879</v>
      </c>
      <c r="BO46" s="101">
        <f t="shared" ca="1" si="38"/>
        <v>-0.22376420011350501</v>
      </c>
      <c r="BP46" s="101">
        <f t="shared" ca="1" si="39"/>
        <v>1.0656934530820728E-2</v>
      </c>
      <c r="BQ46" s="103">
        <f t="shared" ca="1" si="60"/>
        <v>7.551375487153682</v>
      </c>
      <c r="BR46" s="103">
        <f t="shared" ca="1" si="61"/>
        <v>-6.9366902035186548</v>
      </c>
      <c r="BS46" s="103">
        <f t="shared" ca="1" si="62"/>
        <v>0.33036497045544255</v>
      </c>
      <c r="BU46" s="78">
        <f t="shared" si="40"/>
        <v>31</v>
      </c>
      <c r="BV46" s="303">
        <f t="shared" si="63"/>
        <v>3.1509999999999998</v>
      </c>
      <c r="BW46" s="75">
        <f t="shared" si="41"/>
        <v>96.751000000000005</v>
      </c>
      <c r="BX46" s="102">
        <f t="shared" si="42"/>
        <v>97.680999999999997</v>
      </c>
      <c r="BY46" s="101">
        <f t="shared" ca="1" si="43"/>
        <v>0.23977187264614419</v>
      </c>
      <c r="BZ46" s="101">
        <f t="shared" ca="1" si="44"/>
        <v>-0.22121186347780272</v>
      </c>
      <c r="CA46" s="101">
        <f t="shared" ca="1" si="45"/>
        <v>1.0590008395793715E-2</v>
      </c>
      <c r="CB46" s="103">
        <f t="shared" ca="1" si="64"/>
        <v>7.4329280520304701</v>
      </c>
      <c r="CC46" s="103">
        <f t="shared" ca="1" si="65"/>
        <v>-6.8575677678118847</v>
      </c>
      <c r="CD46" s="103">
        <f t="shared" ca="1" si="66"/>
        <v>0.32829026026960517</v>
      </c>
    </row>
    <row r="47" spans="1:82" x14ac:dyDescent="0.25">
      <c r="A47" s="96">
        <f t="shared" si="46"/>
        <v>37773</v>
      </c>
      <c r="B47" s="97">
        <f t="shared" si="47"/>
        <v>3.1509999999999998</v>
      </c>
      <c r="C47" s="77">
        <f t="shared" si="48"/>
        <v>0.40500000000000003</v>
      </c>
      <c r="D47" s="97">
        <f t="shared" si="1"/>
        <v>0</v>
      </c>
      <c r="E47" s="100">
        <f t="shared" si="2"/>
        <v>1</v>
      </c>
      <c r="F47" s="99">
        <f t="shared" ca="1" si="3"/>
        <v>509</v>
      </c>
      <c r="G47" s="77">
        <f t="shared" si="4"/>
        <v>0.41849000000000003</v>
      </c>
      <c r="H47" s="77">
        <f>IF(B$16=1,_xll.xCalcSkew(A47,I47-AO47,b)/100,0)</f>
        <v>1.3489999999999997E-2</v>
      </c>
      <c r="I47" s="98">
        <f t="shared" si="5"/>
        <v>4</v>
      </c>
      <c r="K47" s="97">
        <f t="shared" si="6"/>
        <v>3.5000000000000003E-2</v>
      </c>
      <c r="L47" s="100">
        <f t="shared" si="7"/>
        <v>1</v>
      </c>
      <c r="M47" s="99">
        <f t="shared" ca="1" si="8"/>
        <v>510</v>
      </c>
      <c r="N47" s="175">
        <f t="shared" si="9"/>
        <v>0.397756</v>
      </c>
      <c r="O47" s="77">
        <f>IF(D$16=1,_xll.xCalcSkew($A47,P47-AZ47,b)/100,0)</f>
        <v>-7.2440000000000013E-3</v>
      </c>
      <c r="P47" s="98">
        <f t="shared" si="10"/>
        <v>2.5</v>
      </c>
      <c r="R47" s="97">
        <f t="shared" si="11"/>
        <v>3.5000000000000003E-2</v>
      </c>
      <c r="S47" s="100">
        <f t="shared" si="12"/>
        <v>1</v>
      </c>
      <c r="T47" s="99">
        <f t="shared" ca="1" si="13"/>
        <v>510</v>
      </c>
      <c r="U47" s="175">
        <f t="shared" si="14"/>
        <v>0.397756</v>
      </c>
      <c r="V47" s="77">
        <f>IF(F$16=1,_xll.xCalcSkew($A47,W47-BK47,b)/100,0)</f>
        <v>-7.2440000000000013E-3</v>
      </c>
      <c r="W47" s="98">
        <f t="shared" si="15"/>
        <v>2.5</v>
      </c>
      <c r="X47" s="99"/>
      <c r="Y47" s="97">
        <f t="shared" si="16"/>
        <v>3.5000000000000003E-2</v>
      </c>
      <c r="Z47" s="100">
        <f t="shared" si="17"/>
        <v>1</v>
      </c>
      <c r="AA47" s="99">
        <f t="shared" ca="1" si="18"/>
        <v>510</v>
      </c>
      <c r="AB47" s="77">
        <f t="shared" si="19"/>
        <v>0.39771600000000001</v>
      </c>
      <c r="AC47" s="77">
        <f>IF(H$16=1,_xll.xCalcSkew($A47,AD47-BV47,b)/100,0)</f>
        <v>-7.2840000000000005E-3</v>
      </c>
      <c r="AD47" s="98">
        <f t="shared" si="20"/>
        <v>2.4900000000000002</v>
      </c>
      <c r="AF47" s="99">
        <f t="shared" ca="1" si="21"/>
        <v>510</v>
      </c>
      <c r="AG47" s="99">
        <f t="shared" ca="1" si="22"/>
        <v>509</v>
      </c>
      <c r="AH47" s="77">
        <f t="shared" si="67"/>
        <v>2.8705110886401802E-2</v>
      </c>
      <c r="AI47" s="154">
        <f t="shared" si="0"/>
        <v>30</v>
      </c>
      <c r="AJ47" s="101"/>
      <c r="AK47" s="101"/>
      <c r="AL47" s="101"/>
      <c r="AM47" s="101"/>
      <c r="AN47" s="78">
        <f t="shared" si="49"/>
        <v>30</v>
      </c>
      <c r="AO47" s="303">
        <f t="shared" si="50"/>
        <v>3.1510000000000002</v>
      </c>
      <c r="AP47" s="75">
        <f t="shared" si="24"/>
        <v>94.53</v>
      </c>
      <c r="AQ47" s="102">
        <f t="shared" si="25"/>
        <v>94.53</v>
      </c>
      <c r="AR47" s="101">
        <f t="shared" ca="1" si="26"/>
        <v>1.1529374028983113</v>
      </c>
      <c r="AS47" s="101">
        <f t="shared" ca="1" si="51"/>
        <v>-0.56987834516348534</v>
      </c>
      <c r="AT47" s="101">
        <f t="shared" ca="1" si="27"/>
        <v>1.3899202063168858E-2</v>
      </c>
      <c r="AU47" s="103">
        <f t="shared" ca="1" si="52"/>
        <v>34.58812208694934</v>
      </c>
      <c r="AV47" s="103">
        <f t="shared" ca="1" si="53"/>
        <v>-17.096350354904562</v>
      </c>
      <c r="AW47" s="103">
        <f t="shared" ca="1" si="54"/>
        <v>0.41697606189506575</v>
      </c>
      <c r="AY47" s="78">
        <f t="shared" si="28"/>
        <v>30</v>
      </c>
      <c r="AZ47" s="303">
        <f t="shared" si="55"/>
        <v>3.1860000000000004</v>
      </c>
      <c r="BA47" s="75">
        <f t="shared" si="29"/>
        <v>94.53</v>
      </c>
      <c r="BB47" s="102">
        <f t="shared" si="30"/>
        <v>95.580000000000013</v>
      </c>
      <c r="BC47" s="101">
        <f t="shared" ca="1" si="31"/>
        <v>0.24255115757828671</v>
      </c>
      <c r="BD47" s="101">
        <f t="shared" ca="1" si="32"/>
        <v>-0.21748601497413628</v>
      </c>
      <c r="BE47" s="101">
        <f t="shared" ca="1" si="33"/>
        <v>1.0916474608152926E-2</v>
      </c>
      <c r="BF47" s="103">
        <f t="shared" ca="1" si="56"/>
        <v>7.2765347273486016</v>
      </c>
      <c r="BG47" s="103">
        <f t="shared" ca="1" si="57"/>
        <v>-6.5245804492240884</v>
      </c>
      <c r="BH47" s="103">
        <f t="shared" ca="1" si="58"/>
        <v>0.32749423824458779</v>
      </c>
      <c r="BJ47" s="78">
        <f t="shared" si="34"/>
        <v>30</v>
      </c>
      <c r="BK47" s="303">
        <f t="shared" si="59"/>
        <v>3.1860000000000004</v>
      </c>
      <c r="BL47" s="75">
        <f t="shared" si="35"/>
        <v>94.53</v>
      </c>
      <c r="BM47" s="102">
        <f t="shared" si="36"/>
        <v>95.580000000000013</v>
      </c>
      <c r="BN47" s="101">
        <f t="shared" ca="1" si="37"/>
        <v>0.24255115757828671</v>
      </c>
      <c r="BO47" s="101">
        <f t="shared" ca="1" si="38"/>
        <v>-0.21748601497413628</v>
      </c>
      <c r="BP47" s="101">
        <f t="shared" ca="1" si="39"/>
        <v>1.0916474608152926E-2</v>
      </c>
      <c r="BQ47" s="103">
        <f t="shared" ca="1" si="60"/>
        <v>7.2765347273486016</v>
      </c>
      <c r="BR47" s="103">
        <f t="shared" ca="1" si="61"/>
        <v>-6.5245804492240884</v>
      </c>
      <c r="BS47" s="103">
        <f t="shared" ca="1" si="62"/>
        <v>0.32749423824458779</v>
      </c>
      <c r="BU47" s="78">
        <f t="shared" si="40"/>
        <v>30</v>
      </c>
      <c r="BV47" s="303">
        <f t="shared" si="63"/>
        <v>3.1860000000000004</v>
      </c>
      <c r="BW47" s="75">
        <f t="shared" si="41"/>
        <v>94.53</v>
      </c>
      <c r="BX47" s="102">
        <f t="shared" si="42"/>
        <v>95.580000000000013</v>
      </c>
      <c r="BY47" s="101">
        <f t="shared" ca="1" si="43"/>
        <v>0.23878171972315065</v>
      </c>
      <c r="BZ47" s="101">
        <f t="shared" ca="1" si="44"/>
        <v>-0.21502088174111472</v>
      </c>
      <c r="CA47" s="101">
        <f t="shared" ca="1" si="45"/>
        <v>1.0847390159097081E-2</v>
      </c>
      <c r="CB47" s="103">
        <f t="shared" ca="1" si="64"/>
        <v>7.1634515916945194</v>
      </c>
      <c r="CC47" s="103">
        <f t="shared" ca="1" si="65"/>
        <v>-6.4506264522334416</v>
      </c>
      <c r="CD47" s="103">
        <f t="shared" ca="1" si="66"/>
        <v>0.32542170477291243</v>
      </c>
    </row>
    <row r="48" spans="1:82" x14ac:dyDescent="0.25">
      <c r="A48" s="96">
        <f t="shared" si="46"/>
        <v>37803</v>
      </c>
      <c r="B48" s="97">
        <f t="shared" si="47"/>
        <v>3.1909999999999998</v>
      </c>
      <c r="C48" s="77">
        <f t="shared" si="48"/>
        <v>0.40500000000000003</v>
      </c>
      <c r="D48" s="97">
        <f t="shared" si="1"/>
        <v>0</v>
      </c>
      <c r="E48" s="100">
        <f t="shared" si="2"/>
        <v>1</v>
      </c>
      <c r="F48" s="99">
        <f t="shared" ca="1" si="3"/>
        <v>538</v>
      </c>
      <c r="G48" s="77">
        <f t="shared" si="4"/>
        <v>0.41809000000000002</v>
      </c>
      <c r="H48" s="77">
        <f>IF(B$16=1,_xll.xCalcSkew(A48,I48-AO48,b)/100,0)</f>
        <v>1.3090000000000001E-2</v>
      </c>
      <c r="I48" s="98">
        <f t="shared" si="5"/>
        <v>4</v>
      </c>
      <c r="K48" s="97">
        <f t="shared" si="6"/>
        <v>3.7499999999999999E-2</v>
      </c>
      <c r="L48" s="100">
        <f t="shared" si="7"/>
        <v>1</v>
      </c>
      <c r="M48" s="99">
        <f t="shared" ca="1" si="8"/>
        <v>539</v>
      </c>
      <c r="N48" s="175">
        <f t="shared" si="9"/>
        <v>0.39758600000000005</v>
      </c>
      <c r="O48" s="77">
        <f>IF(D$16=1,_xll.xCalcSkew($A48,P48-AZ48,b)/100,0)</f>
        <v>-7.4139999999999996E-3</v>
      </c>
      <c r="P48" s="98">
        <f t="shared" si="10"/>
        <v>2.5</v>
      </c>
      <c r="R48" s="97">
        <f t="shared" si="11"/>
        <v>3.7499999999999999E-2</v>
      </c>
      <c r="S48" s="100">
        <f t="shared" si="12"/>
        <v>1</v>
      </c>
      <c r="T48" s="99">
        <f t="shared" ca="1" si="13"/>
        <v>539</v>
      </c>
      <c r="U48" s="175">
        <f t="shared" si="14"/>
        <v>0.39758600000000005</v>
      </c>
      <c r="V48" s="77">
        <f>IF(F$16=1,_xll.xCalcSkew($A48,W48-BK48,b)/100,0)</f>
        <v>-7.4139999999999996E-3</v>
      </c>
      <c r="W48" s="98">
        <f t="shared" si="15"/>
        <v>2.5</v>
      </c>
      <c r="X48" s="99"/>
      <c r="Y48" s="97">
        <f t="shared" si="16"/>
        <v>3.7499999999999999E-2</v>
      </c>
      <c r="Z48" s="100">
        <f t="shared" si="17"/>
        <v>1</v>
      </c>
      <c r="AA48" s="99">
        <f t="shared" ca="1" si="18"/>
        <v>539</v>
      </c>
      <c r="AB48" s="77">
        <f t="shared" si="19"/>
        <v>0.39754600000000001</v>
      </c>
      <c r="AC48" s="77">
        <f>IF(H$16=1,_xll.xCalcSkew($A48,AD48-BV48,b)/100,0)</f>
        <v>-7.4539999999999988E-3</v>
      </c>
      <c r="AD48" s="98">
        <f t="shared" si="20"/>
        <v>2.4900000000000002</v>
      </c>
      <c r="AF48" s="99">
        <f t="shared" ca="1" si="21"/>
        <v>539</v>
      </c>
      <c r="AG48" s="99">
        <f t="shared" ca="1" si="22"/>
        <v>538</v>
      </c>
      <c r="AH48" s="77">
        <f t="shared" si="67"/>
        <v>2.9520453177735599E-2</v>
      </c>
      <c r="AI48" s="154">
        <f t="shared" si="0"/>
        <v>31</v>
      </c>
      <c r="AJ48" s="101"/>
      <c r="AK48" s="101"/>
      <c r="AL48" s="101"/>
      <c r="AM48" s="101"/>
      <c r="AN48" s="78">
        <f t="shared" si="49"/>
        <v>31</v>
      </c>
      <c r="AO48" s="303">
        <f t="shared" si="50"/>
        <v>3.1909999999999998</v>
      </c>
      <c r="AP48" s="75">
        <f t="shared" si="24"/>
        <v>98.920999999999992</v>
      </c>
      <c r="AQ48" s="102">
        <f t="shared" si="25"/>
        <v>98.920999999999992</v>
      </c>
      <c r="AR48" s="101">
        <f t="shared" ca="1" si="26"/>
        <v>1.1424076887664236</v>
      </c>
      <c r="AS48" s="101">
        <f t="shared" ca="1" si="51"/>
        <v>-0.55136216211693534</v>
      </c>
      <c r="AT48" s="101">
        <f t="shared" ca="1" si="27"/>
        <v>1.4551280175101211E-2</v>
      </c>
      <c r="AU48" s="103">
        <f t="shared" ca="1" si="52"/>
        <v>35.41463835175913</v>
      </c>
      <c r="AV48" s="103">
        <f t="shared" ca="1" si="53"/>
        <v>-17.092227025624997</v>
      </c>
      <c r="AW48" s="103">
        <f t="shared" ca="1" si="54"/>
        <v>0.45108968542813754</v>
      </c>
      <c r="AY48" s="78">
        <f t="shared" si="28"/>
        <v>31</v>
      </c>
      <c r="AZ48" s="303">
        <f t="shared" si="55"/>
        <v>3.2284999999999999</v>
      </c>
      <c r="BA48" s="75">
        <f t="shared" si="29"/>
        <v>98.920999999999992</v>
      </c>
      <c r="BB48" s="102">
        <f t="shared" si="30"/>
        <v>100.0835</v>
      </c>
      <c r="BC48" s="101">
        <f t="shared" ca="1" si="31"/>
        <v>0.24451906605238038</v>
      </c>
      <c r="BD48" s="101">
        <f t="shared" ca="1" si="32"/>
        <v>-0.21099229582607709</v>
      </c>
      <c r="BE48" s="101">
        <f t="shared" ca="1" si="33"/>
        <v>1.116253566073877E-2</v>
      </c>
      <c r="BF48" s="103">
        <f t="shared" ca="1" si="56"/>
        <v>7.5800910476237924</v>
      </c>
      <c r="BG48" s="103">
        <f t="shared" ca="1" si="57"/>
        <v>-6.5407611706083895</v>
      </c>
      <c r="BH48" s="103">
        <f t="shared" ca="1" si="58"/>
        <v>0.34603860548290188</v>
      </c>
      <c r="BJ48" s="78">
        <f t="shared" si="34"/>
        <v>31</v>
      </c>
      <c r="BK48" s="303">
        <f t="shared" si="59"/>
        <v>3.2284999999999999</v>
      </c>
      <c r="BL48" s="75">
        <f t="shared" si="35"/>
        <v>98.920999999999992</v>
      </c>
      <c r="BM48" s="102">
        <f t="shared" si="36"/>
        <v>100.0835</v>
      </c>
      <c r="BN48" s="101">
        <f t="shared" ca="1" si="37"/>
        <v>0.24451906605238038</v>
      </c>
      <c r="BO48" s="101">
        <f t="shared" ca="1" si="38"/>
        <v>-0.21099229582607709</v>
      </c>
      <c r="BP48" s="101">
        <f t="shared" ca="1" si="39"/>
        <v>1.116253566073877E-2</v>
      </c>
      <c r="BQ48" s="103">
        <f t="shared" ca="1" si="60"/>
        <v>7.5800910476237924</v>
      </c>
      <c r="BR48" s="103">
        <f t="shared" ca="1" si="61"/>
        <v>-6.5407611706083895</v>
      </c>
      <c r="BS48" s="103">
        <f t="shared" ca="1" si="62"/>
        <v>0.34603860548290188</v>
      </c>
      <c r="BU48" s="78">
        <f t="shared" si="40"/>
        <v>31</v>
      </c>
      <c r="BV48" s="303">
        <f t="shared" si="63"/>
        <v>3.2284999999999999</v>
      </c>
      <c r="BW48" s="75">
        <f t="shared" si="41"/>
        <v>98.920999999999992</v>
      </c>
      <c r="BX48" s="102">
        <f t="shared" si="42"/>
        <v>100.0835</v>
      </c>
      <c r="BY48" s="101">
        <f t="shared" ca="1" si="43"/>
        <v>0.24078716694455882</v>
      </c>
      <c r="BZ48" s="101">
        <f t="shared" ca="1" si="44"/>
        <v>-0.20863750547476248</v>
      </c>
      <c r="CA48" s="101">
        <f t="shared" ca="1" si="45"/>
        <v>1.109196247546862E-2</v>
      </c>
      <c r="CB48" s="103">
        <f t="shared" ca="1" si="64"/>
        <v>7.4644021752813234</v>
      </c>
      <c r="CC48" s="103">
        <f t="shared" ca="1" si="65"/>
        <v>-6.4677626697176365</v>
      </c>
      <c r="CD48" s="103">
        <f t="shared" ca="1" si="66"/>
        <v>0.34385083673952721</v>
      </c>
    </row>
    <row r="49" spans="1:82" x14ac:dyDescent="0.25">
      <c r="A49" s="96">
        <f t="shared" si="46"/>
        <v>37834</v>
      </c>
      <c r="B49" s="97">
        <f t="shared" si="47"/>
        <v>3.226</v>
      </c>
      <c r="C49" s="77">
        <f t="shared" si="48"/>
        <v>0.40500000000000003</v>
      </c>
      <c r="D49" s="97">
        <f t="shared" si="1"/>
        <v>0</v>
      </c>
      <c r="E49" s="100">
        <f t="shared" si="2"/>
        <v>1</v>
      </c>
      <c r="F49" s="99">
        <f t="shared" ca="1" si="3"/>
        <v>571</v>
      </c>
      <c r="G49" s="77">
        <f t="shared" si="4"/>
        <v>0.41774</v>
      </c>
      <c r="H49" s="77">
        <f>IF(B$16=1,_xll.xCalcSkew(A49,I49-AO49,b)/100,0)</f>
        <v>1.274E-2</v>
      </c>
      <c r="I49" s="98">
        <f t="shared" si="5"/>
        <v>4</v>
      </c>
      <c r="K49" s="97">
        <f t="shared" si="6"/>
        <v>0.04</v>
      </c>
      <c r="L49" s="100">
        <f t="shared" si="7"/>
        <v>1</v>
      </c>
      <c r="M49" s="99">
        <f t="shared" ca="1" si="8"/>
        <v>572</v>
      </c>
      <c r="N49" s="175">
        <f t="shared" si="9"/>
        <v>0.39743600000000001</v>
      </c>
      <c r="O49" s="77">
        <f>IF(D$16=1,_xll.xCalcSkew($A49,P49-AZ49,b)/100,0)</f>
        <v>-7.5639999999999995E-3</v>
      </c>
      <c r="P49" s="98">
        <f t="shared" si="10"/>
        <v>2.5</v>
      </c>
      <c r="R49" s="97">
        <f t="shared" si="11"/>
        <v>0.04</v>
      </c>
      <c r="S49" s="100">
        <f t="shared" si="12"/>
        <v>1</v>
      </c>
      <c r="T49" s="99">
        <f t="shared" ca="1" si="13"/>
        <v>572</v>
      </c>
      <c r="U49" s="175">
        <f t="shared" si="14"/>
        <v>0.39743600000000001</v>
      </c>
      <c r="V49" s="77">
        <f>IF(F$16=1,_xll.xCalcSkew($A49,W49-BK49,b)/100,0)</f>
        <v>-7.5639999999999995E-3</v>
      </c>
      <c r="W49" s="98">
        <f t="shared" si="15"/>
        <v>2.5</v>
      </c>
      <c r="X49" s="99"/>
      <c r="Y49" s="97">
        <f t="shared" si="16"/>
        <v>0.04</v>
      </c>
      <c r="Z49" s="100">
        <f t="shared" si="17"/>
        <v>1</v>
      </c>
      <c r="AA49" s="99">
        <f t="shared" ca="1" si="18"/>
        <v>572</v>
      </c>
      <c r="AB49" s="77">
        <f t="shared" si="19"/>
        <v>0.39739600000000003</v>
      </c>
      <c r="AC49" s="77">
        <f>IF(H$16=1,_xll.xCalcSkew($A49,AD49-BV49,b)/100,0)</f>
        <v>-7.6039999999999996E-3</v>
      </c>
      <c r="AD49" s="98">
        <f t="shared" si="20"/>
        <v>2.4900000000000002</v>
      </c>
      <c r="AF49" s="99">
        <f t="shared" ca="1" si="21"/>
        <v>572</v>
      </c>
      <c r="AG49" s="99">
        <f t="shared" ca="1" si="22"/>
        <v>571</v>
      </c>
      <c r="AH49" s="77">
        <f t="shared" si="67"/>
        <v>3.0346320792436401E-2</v>
      </c>
      <c r="AI49" s="154">
        <f t="shared" si="0"/>
        <v>31</v>
      </c>
      <c r="AJ49" s="101"/>
      <c r="AK49" s="101"/>
      <c r="AL49" s="101"/>
      <c r="AM49" s="101"/>
      <c r="AN49" s="78">
        <f t="shared" si="49"/>
        <v>31</v>
      </c>
      <c r="AO49" s="303">
        <f t="shared" si="50"/>
        <v>3.226</v>
      </c>
      <c r="AP49" s="75">
        <f t="shared" si="24"/>
        <v>100.006</v>
      </c>
      <c r="AQ49" s="102">
        <f t="shared" si="25"/>
        <v>100.006</v>
      </c>
      <c r="AR49" s="101">
        <f t="shared" ca="1" si="26"/>
        <v>1.1368631638307194</v>
      </c>
      <c r="AS49" s="101">
        <f t="shared" ca="1" si="51"/>
        <v>-0.53380395062895458</v>
      </c>
      <c r="AT49" s="101">
        <f t="shared" ca="1" si="27"/>
        <v>1.519580608153237E-2</v>
      </c>
      <c r="AU49" s="103">
        <f t="shared" ca="1" si="52"/>
        <v>35.242758078752303</v>
      </c>
      <c r="AV49" s="103">
        <f t="shared" ca="1" si="53"/>
        <v>-16.547922469497593</v>
      </c>
      <c r="AW49" s="103">
        <f t="shared" ca="1" si="54"/>
        <v>0.47106998852750348</v>
      </c>
      <c r="AY49" s="78">
        <f t="shared" si="28"/>
        <v>31</v>
      </c>
      <c r="AZ49" s="303">
        <f t="shared" si="55"/>
        <v>3.266</v>
      </c>
      <c r="BA49" s="75">
        <f t="shared" si="29"/>
        <v>100.006</v>
      </c>
      <c r="BB49" s="102">
        <f t="shared" si="30"/>
        <v>101.246</v>
      </c>
      <c r="BC49" s="101">
        <f t="shared" ca="1" si="31"/>
        <v>0.24887377418315693</v>
      </c>
      <c r="BD49" s="101">
        <f t="shared" ca="1" si="32"/>
        <v>-0.20591449231602213</v>
      </c>
      <c r="BE49" s="101">
        <f t="shared" ca="1" si="33"/>
        <v>1.1452005094019668E-2</v>
      </c>
      <c r="BF49" s="103">
        <f t="shared" ca="1" si="56"/>
        <v>7.7150869996778644</v>
      </c>
      <c r="BG49" s="103">
        <f t="shared" ca="1" si="57"/>
        <v>-6.3833492617966856</v>
      </c>
      <c r="BH49" s="103">
        <f t="shared" ca="1" si="58"/>
        <v>0.35501215791460972</v>
      </c>
      <c r="BJ49" s="78">
        <f t="shared" si="34"/>
        <v>31</v>
      </c>
      <c r="BK49" s="303">
        <f t="shared" si="59"/>
        <v>3.266</v>
      </c>
      <c r="BL49" s="75">
        <f t="shared" si="35"/>
        <v>100.006</v>
      </c>
      <c r="BM49" s="102">
        <f t="shared" si="36"/>
        <v>101.246</v>
      </c>
      <c r="BN49" s="101">
        <f t="shared" ca="1" si="37"/>
        <v>0.24887377418315693</v>
      </c>
      <c r="BO49" s="101">
        <f t="shared" ca="1" si="38"/>
        <v>-0.20591449231602213</v>
      </c>
      <c r="BP49" s="101">
        <f t="shared" ca="1" si="39"/>
        <v>1.1452005094019668E-2</v>
      </c>
      <c r="BQ49" s="103">
        <f t="shared" ca="1" si="60"/>
        <v>7.7150869996778644</v>
      </c>
      <c r="BR49" s="103">
        <f t="shared" ca="1" si="61"/>
        <v>-6.3833492617966856</v>
      </c>
      <c r="BS49" s="103">
        <f t="shared" ca="1" si="62"/>
        <v>0.35501215791460972</v>
      </c>
      <c r="BU49" s="78">
        <f t="shared" si="40"/>
        <v>31</v>
      </c>
      <c r="BV49" s="303">
        <f t="shared" si="63"/>
        <v>3.266</v>
      </c>
      <c r="BW49" s="75">
        <f t="shared" si="41"/>
        <v>100.006</v>
      </c>
      <c r="BX49" s="102">
        <f t="shared" si="42"/>
        <v>101.246</v>
      </c>
      <c r="BY49" s="101">
        <f t="shared" ca="1" si="43"/>
        <v>0.24515749549121413</v>
      </c>
      <c r="BZ49" s="101">
        <f t="shared" ca="1" si="44"/>
        <v>-0.20366310920187508</v>
      </c>
      <c r="CA49" s="101">
        <f t="shared" ca="1" si="45"/>
        <v>1.1380320362273322E-2</v>
      </c>
      <c r="CB49" s="103">
        <f t="shared" ca="1" si="64"/>
        <v>7.599882360227638</v>
      </c>
      <c r="CC49" s="103">
        <f t="shared" ca="1" si="65"/>
        <v>-6.3135563852581278</v>
      </c>
      <c r="CD49" s="103">
        <f t="shared" ca="1" si="66"/>
        <v>0.35278993123047298</v>
      </c>
    </row>
    <row r="50" spans="1:82" x14ac:dyDescent="0.25">
      <c r="A50" s="96">
        <f t="shared" si="46"/>
        <v>37865</v>
      </c>
      <c r="B50" s="97">
        <f t="shared" si="47"/>
        <v>3.2290000000000001</v>
      </c>
      <c r="C50" s="77">
        <f t="shared" si="48"/>
        <v>0.4</v>
      </c>
      <c r="D50" s="97">
        <f t="shared" si="1"/>
        <v>0</v>
      </c>
      <c r="E50" s="100">
        <f t="shared" si="2"/>
        <v>1</v>
      </c>
      <c r="F50" s="99">
        <f t="shared" ca="1" si="3"/>
        <v>600</v>
      </c>
      <c r="G50" s="77">
        <f t="shared" si="4"/>
        <v>0.41271000000000002</v>
      </c>
      <c r="H50" s="77">
        <f>IF(B$16=1,_xll.xCalcSkew(A50,I50-AO50,b)/100,0)</f>
        <v>1.2709999999999999E-2</v>
      </c>
      <c r="I50" s="98">
        <f t="shared" si="5"/>
        <v>4</v>
      </c>
      <c r="K50" s="97">
        <f t="shared" si="6"/>
        <v>3.2500000000000001E-2</v>
      </c>
      <c r="L50" s="100">
        <f t="shared" si="7"/>
        <v>1</v>
      </c>
      <c r="M50" s="99">
        <f t="shared" ca="1" si="8"/>
        <v>601</v>
      </c>
      <c r="N50" s="175">
        <f t="shared" si="9"/>
        <v>0.39245400000000003</v>
      </c>
      <c r="O50" s="77">
        <f>IF(D$16=1,_xll.xCalcSkew($A50,P50-AZ50,b)/100,0)</f>
        <v>-7.5460000000000015E-3</v>
      </c>
      <c r="P50" s="98">
        <f t="shared" si="10"/>
        <v>2.5</v>
      </c>
      <c r="R50" s="97">
        <f t="shared" si="11"/>
        <v>3.2500000000000001E-2</v>
      </c>
      <c r="S50" s="100">
        <f t="shared" si="12"/>
        <v>1</v>
      </c>
      <c r="T50" s="99">
        <f t="shared" ca="1" si="13"/>
        <v>601</v>
      </c>
      <c r="U50" s="175">
        <f t="shared" si="14"/>
        <v>0.39245400000000003</v>
      </c>
      <c r="V50" s="77">
        <f>IF(F$16=1,_xll.xCalcSkew($A50,W50-BK50,b)/100,0)</f>
        <v>-7.5460000000000015E-3</v>
      </c>
      <c r="W50" s="98">
        <f t="shared" si="15"/>
        <v>2.5</v>
      </c>
      <c r="X50" s="99"/>
      <c r="Y50" s="97">
        <f t="shared" si="16"/>
        <v>3.2500000000000001E-2</v>
      </c>
      <c r="Z50" s="100">
        <f t="shared" si="17"/>
        <v>1</v>
      </c>
      <c r="AA50" s="99">
        <f t="shared" ca="1" si="18"/>
        <v>601</v>
      </c>
      <c r="AB50" s="77">
        <f t="shared" si="19"/>
        <v>0.39241400000000004</v>
      </c>
      <c r="AC50" s="77">
        <f>IF(H$16=1,_xll.xCalcSkew($A50,AD50-BV50,b)/100,0)</f>
        <v>-7.5860000000000007E-3</v>
      </c>
      <c r="AD50" s="98">
        <f t="shared" si="20"/>
        <v>2.4900000000000002</v>
      </c>
      <c r="AF50" s="99">
        <f t="shared" ca="1" si="21"/>
        <v>601</v>
      </c>
      <c r="AG50" s="99">
        <f t="shared" ca="1" si="22"/>
        <v>600</v>
      </c>
      <c r="AH50" s="77">
        <f t="shared" si="67"/>
        <v>3.1172188637070199E-2</v>
      </c>
      <c r="AI50" s="154">
        <f t="shared" si="0"/>
        <v>30</v>
      </c>
      <c r="AJ50" s="101"/>
      <c r="AK50" s="101"/>
      <c r="AL50" s="101"/>
      <c r="AM50" s="101"/>
      <c r="AN50" s="78">
        <f t="shared" si="49"/>
        <v>30</v>
      </c>
      <c r="AO50" s="303">
        <f t="shared" si="50"/>
        <v>3.2290000000000001</v>
      </c>
      <c r="AP50" s="75">
        <f t="shared" si="24"/>
        <v>96.87</v>
      </c>
      <c r="AQ50" s="102">
        <f t="shared" si="25"/>
        <v>96.87</v>
      </c>
      <c r="AR50" s="101">
        <f t="shared" ca="1" si="26"/>
        <v>1.1390527611900592</v>
      </c>
      <c r="AS50" s="101">
        <f t="shared" ca="1" si="51"/>
        <v>-0.5279481941362123</v>
      </c>
      <c r="AT50" s="101">
        <f t="shared" ca="1" si="27"/>
        <v>1.5554751267258693E-2</v>
      </c>
      <c r="AU50" s="103">
        <f t="shared" ca="1" si="52"/>
        <v>34.171582835701777</v>
      </c>
      <c r="AV50" s="103">
        <f t="shared" ca="1" si="53"/>
        <v>-15.838445824086369</v>
      </c>
      <c r="AW50" s="103">
        <f t="shared" ca="1" si="54"/>
        <v>0.46664253801776079</v>
      </c>
      <c r="AY50" s="78">
        <f t="shared" si="28"/>
        <v>30</v>
      </c>
      <c r="AZ50" s="303">
        <f t="shared" si="55"/>
        <v>3.2615000000000003</v>
      </c>
      <c r="BA50" s="75">
        <f t="shared" si="29"/>
        <v>96.87</v>
      </c>
      <c r="BB50" s="102">
        <f t="shared" si="30"/>
        <v>97.845000000000013</v>
      </c>
      <c r="BC50" s="101">
        <f t="shared" ca="1" si="31"/>
        <v>0.25438457454998986</v>
      </c>
      <c r="BD50" s="101">
        <f t="shared" ca="1" si="32"/>
        <v>-0.20686188079739221</v>
      </c>
      <c r="BE50" s="101">
        <f t="shared" ca="1" si="33"/>
        <v>1.1733749180873998E-2</v>
      </c>
      <c r="BF50" s="103">
        <f t="shared" ca="1" si="56"/>
        <v>7.6315372364996961</v>
      </c>
      <c r="BG50" s="103">
        <f t="shared" ca="1" si="57"/>
        <v>-6.205856423921766</v>
      </c>
      <c r="BH50" s="103">
        <f t="shared" ca="1" si="58"/>
        <v>0.35201247542621994</v>
      </c>
      <c r="BJ50" s="78">
        <f t="shared" si="34"/>
        <v>30</v>
      </c>
      <c r="BK50" s="303">
        <f t="shared" si="59"/>
        <v>3.2615000000000003</v>
      </c>
      <c r="BL50" s="75">
        <f t="shared" si="35"/>
        <v>96.87</v>
      </c>
      <c r="BM50" s="102">
        <f t="shared" si="36"/>
        <v>97.845000000000013</v>
      </c>
      <c r="BN50" s="101">
        <f t="shared" ca="1" si="37"/>
        <v>0.25438457454998986</v>
      </c>
      <c r="BO50" s="101">
        <f t="shared" ca="1" si="38"/>
        <v>-0.20686188079739221</v>
      </c>
      <c r="BP50" s="101">
        <f t="shared" ca="1" si="39"/>
        <v>1.1733749180873998E-2</v>
      </c>
      <c r="BQ50" s="103">
        <f t="shared" ca="1" si="60"/>
        <v>7.6315372364996961</v>
      </c>
      <c r="BR50" s="103">
        <f t="shared" ca="1" si="61"/>
        <v>-6.205856423921766</v>
      </c>
      <c r="BS50" s="103">
        <f t="shared" ca="1" si="62"/>
        <v>0.35201247542621994</v>
      </c>
      <c r="BU50" s="78">
        <f t="shared" si="40"/>
        <v>30</v>
      </c>
      <c r="BV50" s="303">
        <f t="shared" si="63"/>
        <v>3.2615000000000003</v>
      </c>
      <c r="BW50" s="75">
        <f t="shared" si="41"/>
        <v>96.87</v>
      </c>
      <c r="BX50" s="102">
        <f t="shared" si="42"/>
        <v>97.845000000000013</v>
      </c>
      <c r="BY50" s="101">
        <f t="shared" ca="1" si="43"/>
        <v>0.25063629317178759</v>
      </c>
      <c r="BZ50" s="101">
        <f t="shared" ca="1" si="44"/>
        <v>-0.20463524247372195</v>
      </c>
      <c r="CA50" s="101">
        <f t="shared" ca="1" si="45"/>
        <v>1.1661760782949449E-2</v>
      </c>
      <c r="CB50" s="103">
        <f t="shared" ca="1" si="64"/>
        <v>7.5190887951536283</v>
      </c>
      <c r="CC50" s="103">
        <f t="shared" ca="1" si="65"/>
        <v>-6.139057274211658</v>
      </c>
      <c r="CD50" s="103">
        <f t="shared" ca="1" si="66"/>
        <v>0.34985282348848346</v>
      </c>
    </row>
    <row r="51" spans="1:82" x14ac:dyDescent="0.25">
      <c r="A51" s="96">
        <f t="shared" si="46"/>
        <v>37895</v>
      </c>
      <c r="B51" s="97">
        <f t="shared" si="47"/>
        <v>3.2669999999999999</v>
      </c>
      <c r="C51" s="77">
        <f t="shared" si="48"/>
        <v>0.4</v>
      </c>
      <c r="D51" s="97">
        <f t="shared" si="1"/>
        <v>0</v>
      </c>
      <c r="E51" s="100">
        <f t="shared" si="2"/>
        <v>1</v>
      </c>
      <c r="F51" s="99">
        <f t="shared" ca="1" si="3"/>
        <v>630</v>
      </c>
      <c r="G51" s="77">
        <f t="shared" si="4"/>
        <v>0.41233000000000003</v>
      </c>
      <c r="H51" s="77">
        <f>IF(B$16=1,_xll.xCalcSkew(A51,I51-AO51,b)/100,0)</f>
        <v>1.2330000000000001E-2</v>
      </c>
      <c r="I51" s="98">
        <f t="shared" si="5"/>
        <v>4</v>
      </c>
      <c r="K51" s="97">
        <f t="shared" si="6"/>
        <v>2.2499999999999999E-2</v>
      </c>
      <c r="L51" s="100">
        <f t="shared" si="7"/>
        <v>1</v>
      </c>
      <c r="M51" s="99">
        <f t="shared" ca="1" si="8"/>
        <v>631</v>
      </c>
      <c r="N51" s="175">
        <f t="shared" si="9"/>
        <v>0.39234200000000002</v>
      </c>
      <c r="O51" s="77">
        <f>IF(D$16=1,_xll.xCalcSkew($A51,P51-AZ51,b)/100,0)</f>
        <v>-7.657999999999999E-3</v>
      </c>
      <c r="P51" s="98">
        <f t="shared" si="10"/>
        <v>2.5</v>
      </c>
      <c r="R51" s="97">
        <f t="shared" si="11"/>
        <v>2.2499999999999999E-2</v>
      </c>
      <c r="S51" s="100">
        <f t="shared" si="12"/>
        <v>1</v>
      </c>
      <c r="T51" s="99">
        <f t="shared" ca="1" si="13"/>
        <v>631</v>
      </c>
      <c r="U51" s="175">
        <f t="shared" si="14"/>
        <v>0.39234200000000002</v>
      </c>
      <c r="V51" s="77">
        <f>IF(F$16=1,_xll.xCalcSkew($A51,W51-BK51,b)/100,0)</f>
        <v>-7.657999999999999E-3</v>
      </c>
      <c r="W51" s="98">
        <f t="shared" si="15"/>
        <v>2.5</v>
      </c>
      <c r="X51" s="99"/>
      <c r="Y51" s="97">
        <f t="shared" si="16"/>
        <v>2.2499999999999999E-2</v>
      </c>
      <c r="Z51" s="100">
        <f t="shared" si="17"/>
        <v>1</v>
      </c>
      <c r="AA51" s="99">
        <f t="shared" ca="1" si="18"/>
        <v>631</v>
      </c>
      <c r="AB51" s="77">
        <f t="shared" si="19"/>
        <v>0.39230200000000004</v>
      </c>
      <c r="AC51" s="77">
        <f>IF(H$16=1,_xll.xCalcSkew($A51,AD51-BV51,b)/100,0)</f>
        <v>-7.6979999999999982E-3</v>
      </c>
      <c r="AD51" s="98">
        <f t="shared" si="20"/>
        <v>2.4900000000000002</v>
      </c>
      <c r="AF51" s="99">
        <f t="shared" ca="1" si="21"/>
        <v>631</v>
      </c>
      <c r="AG51" s="99">
        <f t="shared" ca="1" si="22"/>
        <v>630</v>
      </c>
      <c r="AH51" s="77">
        <f t="shared" si="67"/>
        <v>3.1942240182241101E-2</v>
      </c>
      <c r="AI51" s="154">
        <f t="shared" si="0"/>
        <v>31</v>
      </c>
      <c r="AJ51" s="101"/>
      <c r="AK51" s="101"/>
      <c r="AL51" s="101"/>
      <c r="AM51" s="101"/>
      <c r="AN51" s="78">
        <f t="shared" si="49"/>
        <v>31</v>
      </c>
      <c r="AO51" s="303">
        <f t="shared" si="50"/>
        <v>3.2669999999999999</v>
      </c>
      <c r="AP51" s="75">
        <f t="shared" si="24"/>
        <v>101.277</v>
      </c>
      <c r="AQ51" s="102">
        <f t="shared" si="25"/>
        <v>101.277</v>
      </c>
      <c r="AR51" s="101">
        <f t="shared" ca="1" si="26"/>
        <v>1.1302104350633113</v>
      </c>
      <c r="AS51" s="101">
        <f t="shared" ca="1" si="51"/>
        <v>-0.5119312338336528</v>
      </c>
      <c r="AT51" s="101">
        <f t="shared" ca="1" si="27"/>
        <v>1.6131464223349212E-2</v>
      </c>
      <c r="AU51" s="103">
        <f t="shared" ca="1" si="52"/>
        <v>35.036523486962651</v>
      </c>
      <c r="AV51" s="103">
        <f t="shared" ca="1" si="53"/>
        <v>-15.869868248843236</v>
      </c>
      <c r="AW51" s="103">
        <f t="shared" ca="1" si="54"/>
        <v>0.50007539092382558</v>
      </c>
      <c r="AY51" s="78">
        <f t="shared" si="28"/>
        <v>31</v>
      </c>
      <c r="AZ51" s="303">
        <f t="shared" si="55"/>
        <v>3.2894999999999999</v>
      </c>
      <c r="BA51" s="75">
        <f t="shared" si="29"/>
        <v>101.277</v>
      </c>
      <c r="BB51" s="102">
        <f t="shared" si="30"/>
        <v>101.97449999999999</v>
      </c>
      <c r="BC51" s="101">
        <f t="shared" ca="1" si="31"/>
        <v>0.25881488959059928</v>
      </c>
      <c r="BD51" s="101">
        <f t="shared" ca="1" si="32"/>
        <v>-0.20324269831388561</v>
      </c>
      <c r="BE51" s="101">
        <f t="shared" ca="1" si="33"/>
        <v>1.1983474891417378E-2</v>
      </c>
      <c r="BF51" s="103">
        <f t="shared" ca="1" si="56"/>
        <v>8.0232615773085776</v>
      </c>
      <c r="BG51" s="103">
        <f t="shared" ca="1" si="57"/>
        <v>-6.3005236477304543</v>
      </c>
      <c r="BH51" s="103">
        <f t="shared" ca="1" si="58"/>
        <v>0.37148772163393873</v>
      </c>
      <c r="BJ51" s="78">
        <f t="shared" si="34"/>
        <v>31</v>
      </c>
      <c r="BK51" s="303">
        <f t="shared" si="59"/>
        <v>3.2894999999999999</v>
      </c>
      <c r="BL51" s="75">
        <f t="shared" si="35"/>
        <v>101.277</v>
      </c>
      <c r="BM51" s="102">
        <f t="shared" si="36"/>
        <v>101.97449999999999</v>
      </c>
      <c r="BN51" s="101">
        <f t="shared" ca="1" si="37"/>
        <v>0.25881488959059928</v>
      </c>
      <c r="BO51" s="101">
        <f t="shared" ca="1" si="38"/>
        <v>-0.20324269831388561</v>
      </c>
      <c r="BP51" s="101">
        <f t="shared" ca="1" si="39"/>
        <v>1.1983474891417378E-2</v>
      </c>
      <c r="BQ51" s="103">
        <f t="shared" ca="1" si="60"/>
        <v>8.0232615773085776</v>
      </c>
      <c r="BR51" s="103">
        <f t="shared" ca="1" si="61"/>
        <v>-6.3005236477304543</v>
      </c>
      <c r="BS51" s="103">
        <f t="shared" ca="1" si="62"/>
        <v>0.37148772163393873</v>
      </c>
      <c r="BU51" s="78">
        <f t="shared" si="40"/>
        <v>31</v>
      </c>
      <c r="BV51" s="303">
        <f t="shared" si="63"/>
        <v>3.2894999999999999</v>
      </c>
      <c r="BW51" s="75">
        <f t="shared" si="41"/>
        <v>101.277</v>
      </c>
      <c r="BX51" s="102">
        <f t="shared" si="42"/>
        <v>101.97449999999999</v>
      </c>
      <c r="BY51" s="101">
        <f t="shared" ca="1" si="43"/>
        <v>0.25507195535302896</v>
      </c>
      <c r="BZ51" s="101">
        <f t="shared" ca="1" si="44"/>
        <v>-0.20109443668914401</v>
      </c>
      <c r="CA51" s="101">
        <f t="shared" ca="1" si="45"/>
        <v>1.191076940581004E-2</v>
      </c>
      <c r="CB51" s="103">
        <f t="shared" ca="1" si="64"/>
        <v>7.9072306159438979</v>
      </c>
      <c r="CC51" s="103">
        <f t="shared" ca="1" si="65"/>
        <v>-6.2339275373634644</v>
      </c>
      <c r="CD51" s="103">
        <f t="shared" ca="1" si="66"/>
        <v>0.36923385158011124</v>
      </c>
    </row>
    <row r="52" spans="1:82" x14ac:dyDescent="0.25">
      <c r="A52" s="96">
        <f t="shared" si="46"/>
        <v>37926</v>
      </c>
      <c r="B52" s="97">
        <f t="shared" si="47"/>
        <v>3.4119999999999999</v>
      </c>
      <c r="C52" s="77">
        <f t="shared" si="48"/>
        <v>0.39800000000000002</v>
      </c>
      <c r="D52" s="97">
        <f t="shared" si="1"/>
        <v>0</v>
      </c>
      <c r="E52" s="100">
        <f t="shared" si="2"/>
        <v>1</v>
      </c>
      <c r="F52" s="99">
        <f t="shared" ca="1" si="3"/>
        <v>663</v>
      </c>
      <c r="G52" s="77">
        <f t="shared" si="4"/>
        <v>0.40888000000000002</v>
      </c>
      <c r="H52" s="77">
        <f>IF(B$16=1,_xll.xCalcSkew(A52,I52-AO52,b)/100,0)</f>
        <v>1.0880000000000001E-2</v>
      </c>
      <c r="I52" s="98">
        <f t="shared" si="5"/>
        <v>4</v>
      </c>
      <c r="K52" s="97">
        <f t="shared" si="6"/>
        <v>-2.5000000000000001E-2</v>
      </c>
      <c r="L52" s="100">
        <f t="shared" si="7"/>
        <v>1</v>
      </c>
      <c r="M52" s="99">
        <f t="shared" ca="1" si="8"/>
        <v>664</v>
      </c>
      <c r="N52" s="175">
        <f t="shared" si="9"/>
        <v>0.38995200000000002</v>
      </c>
      <c r="O52" s="77">
        <f>IF(D$16=1,_xll.xCalcSkew($A52,P52-AZ52,b)/100,0)</f>
        <v>-8.0479999999999996E-3</v>
      </c>
      <c r="P52" s="98">
        <f t="shared" si="10"/>
        <v>2.5</v>
      </c>
      <c r="R52" s="97">
        <f t="shared" si="11"/>
        <v>-2.5000000000000001E-2</v>
      </c>
      <c r="S52" s="100">
        <f t="shared" si="12"/>
        <v>1</v>
      </c>
      <c r="T52" s="99">
        <f t="shared" ca="1" si="13"/>
        <v>664</v>
      </c>
      <c r="U52" s="175">
        <f t="shared" si="14"/>
        <v>0.38995200000000002</v>
      </c>
      <c r="V52" s="77">
        <f>IF(F$16=1,_xll.xCalcSkew($A52,W52-BK52,b)/100,0)</f>
        <v>-8.0479999999999996E-3</v>
      </c>
      <c r="W52" s="98">
        <f t="shared" si="15"/>
        <v>2.5</v>
      </c>
      <c r="X52" s="99"/>
      <c r="Y52" s="97">
        <f t="shared" si="16"/>
        <v>-2.5000000000000001E-2</v>
      </c>
      <c r="Z52" s="100">
        <f t="shared" si="17"/>
        <v>1</v>
      </c>
      <c r="AA52" s="99">
        <f t="shared" ca="1" si="18"/>
        <v>664</v>
      </c>
      <c r="AB52" s="77">
        <f t="shared" si="19"/>
        <v>0.38991200000000004</v>
      </c>
      <c r="AC52" s="77">
        <f>IF(H$16=1,_xll.xCalcSkew($A52,AD52-BV52,b)/100,0)</f>
        <v>-8.0879999999999997E-3</v>
      </c>
      <c r="AD52" s="98">
        <f t="shared" si="20"/>
        <v>2.4900000000000002</v>
      </c>
      <c r="AF52" s="99">
        <f t="shared" ca="1" si="21"/>
        <v>664</v>
      </c>
      <c r="AG52" s="99">
        <f t="shared" ca="1" si="22"/>
        <v>663</v>
      </c>
      <c r="AH52" s="77">
        <f t="shared" si="67"/>
        <v>3.2701454698897098E-2</v>
      </c>
      <c r="AI52" s="154">
        <f t="shared" si="0"/>
        <v>30</v>
      </c>
      <c r="AJ52" s="101"/>
      <c r="AK52" s="101"/>
      <c r="AL52" s="101"/>
      <c r="AM52" s="101"/>
      <c r="AN52" s="78">
        <f t="shared" si="49"/>
        <v>30</v>
      </c>
      <c r="AO52" s="303">
        <f t="shared" si="50"/>
        <v>3.4119999999999999</v>
      </c>
      <c r="AP52" s="75">
        <f t="shared" si="24"/>
        <v>102.36</v>
      </c>
      <c r="AQ52" s="102">
        <f t="shared" si="25"/>
        <v>102.36</v>
      </c>
      <c r="AR52" s="101">
        <f t="shared" ca="1" si="26"/>
        <v>1.0656787166998281</v>
      </c>
      <c r="AS52" s="101">
        <f t="shared" ca="1" si="51"/>
        <v>-0.47605010686397004</v>
      </c>
      <c r="AT52" s="101">
        <f t="shared" ca="1" si="27"/>
        <v>1.7287243887131876E-2</v>
      </c>
      <c r="AU52" s="103">
        <f t="shared" ca="1" si="52"/>
        <v>31.970361500994841</v>
      </c>
      <c r="AV52" s="103">
        <f t="shared" ca="1" si="53"/>
        <v>-14.281503205919101</v>
      </c>
      <c r="AW52" s="103">
        <f t="shared" ca="1" si="54"/>
        <v>0.51861731661395627</v>
      </c>
      <c r="AY52" s="78">
        <f t="shared" si="28"/>
        <v>30</v>
      </c>
      <c r="AZ52" s="303">
        <f t="shared" si="55"/>
        <v>3.387</v>
      </c>
      <c r="BA52" s="75">
        <f t="shared" si="29"/>
        <v>102.36</v>
      </c>
      <c r="BB52" s="102">
        <f t="shared" si="30"/>
        <v>101.61</v>
      </c>
      <c r="BC52" s="101">
        <f t="shared" ca="1" si="31"/>
        <v>0.24773737555190778</v>
      </c>
      <c r="BD52" s="101">
        <f t="shared" ca="1" si="32"/>
        <v>-0.18879479610446498</v>
      </c>
      <c r="BE52" s="101">
        <f t="shared" ca="1" si="33"/>
        <v>1.2103681314620474E-2</v>
      </c>
      <c r="BF52" s="103">
        <f t="shared" ca="1" si="56"/>
        <v>7.4321212665572336</v>
      </c>
      <c r="BG52" s="103">
        <f t="shared" ca="1" si="57"/>
        <v>-5.663843883133949</v>
      </c>
      <c r="BH52" s="103">
        <f t="shared" ca="1" si="58"/>
        <v>0.36311043943861421</v>
      </c>
      <c r="BJ52" s="78">
        <f t="shared" si="34"/>
        <v>30</v>
      </c>
      <c r="BK52" s="303">
        <f t="shared" si="59"/>
        <v>3.387</v>
      </c>
      <c r="BL52" s="75">
        <f t="shared" si="35"/>
        <v>102.36</v>
      </c>
      <c r="BM52" s="102">
        <f t="shared" si="36"/>
        <v>101.61</v>
      </c>
      <c r="BN52" s="101">
        <f t="shared" ca="1" si="37"/>
        <v>0.24773737555190778</v>
      </c>
      <c r="BO52" s="101">
        <f t="shared" ca="1" si="38"/>
        <v>-0.18879479610446498</v>
      </c>
      <c r="BP52" s="101">
        <f t="shared" ca="1" si="39"/>
        <v>1.2103681314620474E-2</v>
      </c>
      <c r="BQ52" s="103">
        <f t="shared" ca="1" si="60"/>
        <v>7.4321212665572336</v>
      </c>
      <c r="BR52" s="103">
        <f t="shared" ca="1" si="61"/>
        <v>-5.663843883133949</v>
      </c>
      <c r="BS52" s="103">
        <f t="shared" ca="1" si="62"/>
        <v>0.36311043943861421</v>
      </c>
      <c r="BU52" s="78">
        <f t="shared" si="40"/>
        <v>30</v>
      </c>
      <c r="BV52" s="303">
        <f t="shared" si="63"/>
        <v>3.387</v>
      </c>
      <c r="BW52" s="75">
        <f t="shared" si="41"/>
        <v>102.36</v>
      </c>
      <c r="BX52" s="102">
        <f t="shared" si="42"/>
        <v>101.61</v>
      </c>
      <c r="BY52" s="101">
        <f t="shared" ca="1" si="43"/>
        <v>0.24415429199328353</v>
      </c>
      <c r="BZ52" s="101">
        <f t="shared" ca="1" si="44"/>
        <v>-0.18678013599457088</v>
      </c>
      <c r="CA52" s="101">
        <f t="shared" ca="1" si="45"/>
        <v>1.2027088757031734E-2</v>
      </c>
      <c r="CB52" s="103">
        <f t="shared" ca="1" si="64"/>
        <v>7.3246287597985056</v>
      </c>
      <c r="CC52" s="103">
        <f t="shared" ca="1" si="65"/>
        <v>-5.6034040798371265</v>
      </c>
      <c r="CD52" s="103">
        <f t="shared" ca="1" si="66"/>
        <v>0.36081266271095203</v>
      </c>
    </row>
    <row r="53" spans="1:82" x14ac:dyDescent="0.25">
      <c r="A53" s="96">
        <f t="shared" si="46"/>
        <v>37956</v>
      </c>
      <c r="B53" s="97">
        <f t="shared" si="47"/>
        <v>3.5510000000000002</v>
      </c>
      <c r="C53" s="77">
        <f t="shared" si="48"/>
        <v>0.39800000000000002</v>
      </c>
      <c r="D53" s="97">
        <f t="shared" si="1"/>
        <v>0</v>
      </c>
      <c r="E53" s="100">
        <f t="shared" si="2"/>
        <v>1</v>
      </c>
      <c r="F53" s="99">
        <f t="shared" ca="1" si="3"/>
        <v>690</v>
      </c>
      <c r="G53" s="77">
        <f t="shared" si="4"/>
        <v>0.40698000000000001</v>
      </c>
      <c r="H53" s="77">
        <f>IF(B$16=1,_xll.xCalcSkew(A53,I53-AO53,b)/100,0)</f>
        <v>8.9799999999999967E-3</v>
      </c>
      <c r="I53" s="98">
        <f t="shared" si="5"/>
        <v>4</v>
      </c>
      <c r="K53" s="97">
        <f t="shared" si="6"/>
        <v>-4.7500000000000001E-2</v>
      </c>
      <c r="L53" s="100">
        <f t="shared" si="7"/>
        <v>1</v>
      </c>
      <c r="M53" s="99">
        <f t="shared" ca="1" si="8"/>
        <v>691</v>
      </c>
      <c r="N53" s="175">
        <f t="shared" si="9"/>
        <v>0.38951400000000003</v>
      </c>
      <c r="O53" s="77">
        <f>IF(D$16=1,_xll.xCalcSkew($A53,P53-AZ53,b)/100,0)</f>
        <v>-8.4859999999999988E-3</v>
      </c>
      <c r="P53" s="98">
        <f t="shared" si="10"/>
        <v>2.5</v>
      </c>
      <c r="R53" s="97">
        <f t="shared" si="11"/>
        <v>-4.7500000000000001E-2</v>
      </c>
      <c r="S53" s="100">
        <f t="shared" si="12"/>
        <v>1</v>
      </c>
      <c r="T53" s="99">
        <f t="shared" ca="1" si="13"/>
        <v>691</v>
      </c>
      <c r="U53" s="175">
        <f t="shared" si="14"/>
        <v>0.38951400000000003</v>
      </c>
      <c r="V53" s="77">
        <f>IF(F$16=1,_xll.xCalcSkew($A53,W53-BK53,b)/100,0)</f>
        <v>-8.4859999999999988E-3</v>
      </c>
      <c r="W53" s="98">
        <f t="shared" si="15"/>
        <v>2.5</v>
      </c>
      <c r="X53" s="99"/>
      <c r="Y53" s="97">
        <f t="shared" si="16"/>
        <v>-4.7500000000000001E-2</v>
      </c>
      <c r="Z53" s="100">
        <f t="shared" si="17"/>
        <v>1</v>
      </c>
      <c r="AA53" s="99">
        <f t="shared" ca="1" si="18"/>
        <v>691</v>
      </c>
      <c r="AB53" s="77">
        <f t="shared" si="19"/>
        <v>0.38955400000000001</v>
      </c>
      <c r="AC53" s="77">
        <f>IF(H$16=1,_xll.xCalcSkew($A53,AD53-BV53,b)/100,0)</f>
        <v>-8.4459999999999986E-3</v>
      </c>
      <c r="AD53" s="98">
        <f t="shared" si="20"/>
        <v>2.4900000000000002</v>
      </c>
      <c r="AF53" s="99">
        <f t="shared" ca="1" si="21"/>
        <v>691</v>
      </c>
      <c r="AG53" s="99">
        <f t="shared" ca="1" si="22"/>
        <v>690</v>
      </c>
      <c r="AH53" s="77">
        <f t="shared" si="67"/>
        <v>3.3436178609494799E-2</v>
      </c>
      <c r="AI53" s="154">
        <f t="shared" si="0"/>
        <v>31</v>
      </c>
      <c r="AJ53" s="101"/>
      <c r="AK53" s="101"/>
      <c r="AL53" s="101"/>
      <c r="AM53" s="101"/>
      <c r="AN53" s="78">
        <f t="shared" si="49"/>
        <v>31</v>
      </c>
      <c r="AO53" s="303">
        <f t="shared" si="50"/>
        <v>3.5510000000000002</v>
      </c>
      <c r="AP53" s="75">
        <f t="shared" si="24"/>
        <v>110.081</v>
      </c>
      <c r="AQ53" s="102">
        <f t="shared" si="25"/>
        <v>110.081</v>
      </c>
      <c r="AR53" s="101">
        <f t="shared" ca="1" si="26"/>
        <v>1.008884469780351</v>
      </c>
      <c r="AS53" s="101">
        <f t="shared" ca="1" si="51"/>
        <v>-0.44430309926148881</v>
      </c>
      <c r="AT53" s="101">
        <f t="shared" ca="1" si="27"/>
        <v>1.8236041134186864E-2</v>
      </c>
      <c r="AU53" s="103">
        <f t="shared" ca="1" si="52"/>
        <v>31.275418563190879</v>
      </c>
      <c r="AV53" s="103">
        <f t="shared" ca="1" si="53"/>
        <v>-13.773396077106153</v>
      </c>
      <c r="AW53" s="103">
        <f t="shared" ca="1" si="54"/>
        <v>0.5653172751597928</v>
      </c>
      <c r="AY53" s="78">
        <f t="shared" si="28"/>
        <v>31</v>
      </c>
      <c r="AZ53" s="303">
        <f t="shared" si="55"/>
        <v>3.5035000000000003</v>
      </c>
      <c r="BA53" s="75">
        <f t="shared" si="29"/>
        <v>110.081</v>
      </c>
      <c r="BB53" s="102">
        <f t="shared" si="30"/>
        <v>108.60850000000001</v>
      </c>
      <c r="BC53" s="101">
        <f t="shared" ca="1" si="31"/>
        <v>0.23458532106405061</v>
      </c>
      <c r="BD53" s="101">
        <f t="shared" ca="1" si="32"/>
        <v>-0.17335834326119229</v>
      </c>
      <c r="BE53" s="101">
        <f t="shared" ca="1" si="33"/>
        <v>1.2114272530068249E-2</v>
      </c>
      <c r="BF53" s="103">
        <f t="shared" ca="1" si="56"/>
        <v>7.2721449529855686</v>
      </c>
      <c r="BG53" s="103">
        <f t="shared" ca="1" si="57"/>
        <v>-5.374108641096961</v>
      </c>
      <c r="BH53" s="103">
        <f t="shared" ca="1" si="58"/>
        <v>0.37554244843211571</v>
      </c>
      <c r="BJ53" s="78">
        <f t="shared" si="34"/>
        <v>31</v>
      </c>
      <c r="BK53" s="303">
        <f t="shared" si="59"/>
        <v>3.5035000000000003</v>
      </c>
      <c r="BL53" s="75">
        <f t="shared" si="35"/>
        <v>110.081</v>
      </c>
      <c r="BM53" s="102">
        <f t="shared" si="36"/>
        <v>108.60850000000001</v>
      </c>
      <c r="BN53" s="101">
        <f t="shared" ca="1" si="37"/>
        <v>0.23458532106405061</v>
      </c>
      <c r="BO53" s="101">
        <f t="shared" ca="1" si="38"/>
        <v>-0.17335834326119229</v>
      </c>
      <c r="BP53" s="101">
        <f t="shared" ca="1" si="39"/>
        <v>1.2114272530068249E-2</v>
      </c>
      <c r="BQ53" s="103">
        <f t="shared" ca="1" si="60"/>
        <v>7.2721449529855686</v>
      </c>
      <c r="BR53" s="103">
        <f t="shared" ca="1" si="61"/>
        <v>-5.374108641096961</v>
      </c>
      <c r="BS53" s="103">
        <f t="shared" ca="1" si="62"/>
        <v>0.37554244843211571</v>
      </c>
      <c r="BU53" s="78">
        <f t="shared" si="40"/>
        <v>31</v>
      </c>
      <c r="BV53" s="303">
        <f t="shared" si="63"/>
        <v>3.5035000000000003</v>
      </c>
      <c r="BW53" s="75">
        <f t="shared" si="41"/>
        <v>110.081</v>
      </c>
      <c r="BX53" s="102">
        <f t="shared" si="42"/>
        <v>108.60850000000001</v>
      </c>
      <c r="BY53" s="101">
        <f t="shared" ca="1" si="43"/>
        <v>0.23127855542366516</v>
      </c>
      <c r="BZ53" s="101">
        <f t="shared" ca="1" si="44"/>
        <v>-0.17150223778618284</v>
      </c>
      <c r="CA53" s="101">
        <f t="shared" ca="1" si="45"/>
        <v>1.2034708496321711E-2</v>
      </c>
      <c r="CB53" s="103">
        <f t="shared" ca="1" si="64"/>
        <v>7.16963521813362</v>
      </c>
      <c r="CC53" s="103">
        <f t="shared" ca="1" si="65"/>
        <v>-5.316569371371668</v>
      </c>
      <c r="CD53" s="103">
        <f t="shared" ca="1" si="66"/>
        <v>0.37307596338597304</v>
      </c>
    </row>
    <row r="54" spans="1:82" x14ac:dyDescent="0.25">
      <c r="A54" s="96">
        <f t="shared" si="46"/>
        <v>37987</v>
      </c>
      <c r="B54" s="97">
        <f t="shared" si="47"/>
        <v>3.57</v>
      </c>
      <c r="C54" s="77">
        <f t="shared" si="48"/>
        <v>0.37</v>
      </c>
      <c r="D54" s="97">
        <f t="shared" si="1"/>
        <v>0</v>
      </c>
      <c r="E54" s="100">
        <f t="shared" si="2"/>
        <v>1</v>
      </c>
      <c r="F54" s="99">
        <f t="shared" ca="1" si="3"/>
        <v>722</v>
      </c>
      <c r="G54" s="77" t="e">
        <f t="shared" si="4"/>
        <v>#DIV/0!</v>
      </c>
      <c r="H54" s="77" t="e">
        <f>IF(B$16=1,_xll.xCalcSkew(A54,I54-AO54,b)/100,0)</f>
        <v>#DIV/0!</v>
      </c>
      <c r="I54" s="98">
        <f t="shared" si="5"/>
        <v>4</v>
      </c>
      <c r="K54" s="97">
        <f t="shared" si="6"/>
        <v>-0.05</v>
      </c>
      <c r="L54" s="100">
        <f t="shared" si="7"/>
        <v>1</v>
      </c>
      <c r="M54" s="99">
        <f t="shared" ca="1" si="8"/>
        <v>725</v>
      </c>
      <c r="N54" s="175" t="e">
        <f t="shared" si="9"/>
        <v>#DIV/0!</v>
      </c>
      <c r="O54" s="77" t="e">
        <f>IF(D$16=1,_xll.xCalcSkew($A54,P54-AZ54,b)/100,0)</f>
        <v>#DIV/0!</v>
      </c>
      <c r="P54" s="98">
        <f t="shared" si="10"/>
        <v>2.5</v>
      </c>
      <c r="R54" s="97">
        <f t="shared" si="11"/>
        <v>-0.05</v>
      </c>
      <c r="S54" s="100">
        <f t="shared" si="12"/>
        <v>1</v>
      </c>
      <c r="T54" s="99">
        <f t="shared" ca="1" si="13"/>
        <v>725</v>
      </c>
      <c r="U54" s="175" t="e">
        <f t="shared" si="14"/>
        <v>#DIV/0!</v>
      </c>
      <c r="V54" s="77" t="e">
        <f>IF(F$16=1,_xll.xCalcSkew($A54,W54-BK54,b)/100,0)</f>
        <v>#DIV/0!</v>
      </c>
      <c r="W54" s="98">
        <f t="shared" si="15"/>
        <v>2.5</v>
      </c>
      <c r="X54" s="99"/>
      <c r="Y54" s="97">
        <f t="shared" si="16"/>
        <v>-0.05</v>
      </c>
      <c r="Z54" s="100">
        <f t="shared" si="17"/>
        <v>1</v>
      </c>
      <c r="AA54" s="99">
        <f t="shared" ca="1" si="18"/>
        <v>725</v>
      </c>
      <c r="AB54" s="77" t="e">
        <f t="shared" si="19"/>
        <v>#DIV/0!</v>
      </c>
      <c r="AC54" s="77" t="e">
        <f>IF(H$16=1,_xll.xCalcSkew($A54,AD54-BV54,b)/100,0)</f>
        <v>#DIV/0!</v>
      </c>
      <c r="AD54" s="98">
        <f t="shared" si="20"/>
        <v>2.4900000000000002</v>
      </c>
      <c r="AF54" s="99">
        <f t="shared" ca="1" si="21"/>
        <v>725</v>
      </c>
      <c r="AG54" s="99">
        <f t="shared" ca="1" si="22"/>
        <v>722</v>
      </c>
      <c r="AH54" s="77">
        <f t="shared" si="67"/>
        <v>3.4638956672782897E-2</v>
      </c>
      <c r="AI54" s="154">
        <f t="shared" si="0"/>
        <v>31</v>
      </c>
      <c r="AJ54" s="101"/>
      <c r="AK54" s="101"/>
      <c r="AL54" s="101"/>
      <c r="AM54" s="101"/>
      <c r="AN54" s="78">
        <f t="shared" si="49"/>
        <v>0</v>
      </c>
      <c r="AO54" s="303" t="e">
        <f t="shared" si="50"/>
        <v>#DIV/0!</v>
      </c>
      <c r="AP54" s="75">
        <f t="shared" si="24"/>
        <v>0</v>
      </c>
      <c r="AQ54" s="102">
        <f t="shared" si="25"/>
        <v>0</v>
      </c>
      <c r="AR54" s="101">
        <f t="shared" si="26"/>
        <v>0</v>
      </c>
      <c r="AS54" s="101">
        <f t="shared" si="51"/>
        <v>0</v>
      </c>
      <c r="AT54" s="101">
        <f t="shared" si="27"/>
        <v>0</v>
      </c>
      <c r="AU54" s="103">
        <f t="shared" si="52"/>
        <v>0</v>
      </c>
      <c r="AV54" s="103">
        <f t="shared" si="53"/>
        <v>0</v>
      </c>
      <c r="AW54" s="103">
        <f t="shared" si="54"/>
        <v>0</v>
      </c>
      <c r="AY54" s="78">
        <f t="shared" si="28"/>
        <v>0</v>
      </c>
      <c r="AZ54" s="303" t="e">
        <f t="shared" si="55"/>
        <v>#DIV/0!</v>
      </c>
      <c r="BA54" s="75">
        <f t="shared" si="29"/>
        <v>0</v>
      </c>
      <c r="BB54" s="102">
        <f t="shared" si="30"/>
        <v>0</v>
      </c>
      <c r="BC54" s="101">
        <f t="shared" si="31"/>
        <v>0</v>
      </c>
      <c r="BD54" s="101">
        <f t="shared" si="32"/>
        <v>0</v>
      </c>
      <c r="BE54" s="101">
        <f t="shared" si="33"/>
        <v>0</v>
      </c>
      <c r="BF54" s="103">
        <f t="shared" si="56"/>
        <v>0</v>
      </c>
      <c r="BG54" s="103">
        <f t="shared" si="57"/>
        <v>0</v>
      </c>
      <c r="BH54" s="103">
        <f t="shared" si="58"/>
        <v>0</v>
      </c>
      <c r="BJ54" s="78">
        <f t="shared" si="34"/>
        <v>0</v>
      </c>
      <c r="BK54" s="303" t="e">
        <f t="shared" si="59"/>
        <v>#DIV/0!</v>
      </c>
      <c r="BL54" s="75">
        <f t="shared" si="35"/>
        <v>0</v>
      </c>
      <c r="BM54" s="102">
        <f t="shared" si="36"/>
        <v>0</v>
      </c>
      <c r="BN54" s="101">
        <f t="shared" si="37"/>
        <v>0</v>
      </c>
      <c r="BO54" s="101">
        <f t="shared" si="38"/>
        <v>0</v>
      </c>
      <c r="BP54" s="101">
        <f t="shared" si="39"/>
        <v>0</v>
      </c>
      <c r="BQ54" s="103">
        <f t="shared" si="60"/>
        <v>0</v>
      </c>
      <c r="BR54" s="103">
        <f t="shared" si="61"/>
        <v>0</v>
      </c>
      <c r="BS54" s="103">
        <f t="shared" si="62"/>
        <v>0</v>
      </c>
      <c r="BU54" s="78">
        <f t="shared" si="40"/>
        <v>0</v>
      </c>
      <c r="BV54" s="303" t="e">
        <f t="shared" si="63"/>
        <v>#DIV/0!</v>
      </c>
      <c r="BW54" s="75">
        <f t="shared" si="41"/>
        <v>0</v>
      </c>
      <c r="BX54" s="102">
        <f t="shared" si="42"/>
        <v>0</v>
      </c>
      <c r="BY54" s="101">
        <f t="shared" si="43"/>
        <v>0</v>
      </c>
      <c r="BZ54" s="101">
        <f t="shared" si="44"/>
        <v>0</v>
      </c>
      <c r="CA54" s="101">
        <f t="shared" si="45"/>
        <v>0</v>
      </c>
      <c r="CB54" s="103">
        <f t="shared" si="64"/>
        <v>0</v>
      </c>
      <c r="CC54" s="103">
        <f t="shared" si="65"/>
        <v>0</v>
      </c>
      <c r="CD54" s="103">
        <f t="shared" si="66"/>
        <v>0</v>
      </c>
    </row>
    <row r="55" spans="1:82" x14ac:dyDescent="0.25">
      <c r="A55" s="96">
        <f t="shared" si="46"/>
        <v>38018</v>
      </c>
      <c r="B55" s="97">
        <f t="shared" si="47"/>
        <v>3.4849999999999999</v>
      </c>
      <c r="C55" s="77">
        <f t="shared" si="48"/>
        <v>0.36499999999999999</v>
      </c>
      <c r="D55" s="97">
        <f t="shared" si="1"/>
        <v>0</v>
      </c>
      <c r="E55" s="100">
        <f t="shared" si="2"/>
        <v>1</v>
      </c>
      <c r="F55" s="99">
        <f t="shared" ca="1" si="3"/>
        <v>754</v>
      </c>
      <c r="G55" s="77" t="e">
        <f t="shared" si="4"/>
        <v>#DIV/0!</v>
      </c>
      <c r="H55" s="77" t="e">
        <f>IF(B$16=1,_xll.xCalcSkew(A55,I55-AO55,b)/100,0)</f>
        <v>#DIV/0!</v>
      </c>
      <c r="I55" s="98">
        <f t="shared" si="5"/>
        <v>4</v>
      </c>
      <c r="K55" s="97">
        <f t="shared" si="6"/>
        <v>-3.2500000000000001E-2</v>
      </c>
      <c r="L55" s="100">
        <f t="shared" si="7"/>
        <v>1</v>
      </c>
      <c r="M55" s="99">
        <f t="shared" ca="1" si="8"/>
        <v>755</v>
      </c>
      <c r="N55" s="175" t="e">
        <f t="shared" si="9"/>
        <v>#DIV/0!</v>
      </c>
      <c r="O55" s="77" t="e">
        <f>IF(D$16=1,_xll.xCalcSkew($A55,P55-AZ55,b)/100,0)</f>
        <v>#DIV/0!</v>
      </c>
      <c r="P55" s="98">
        <f t="shared" si="10"/>
        <v>2.5</v>
      </c>
      <c r="R55" s="97">
        <f t="shared" si="11"/>
        <v>-3.2500000000000001E-2</v>
      </c>
      <c r="S55" s="100">
        <f t="shared" si="12"/>
        <v>1</v>
      </c>
      <c r="T55" s="99">
        <f t="shared" ca="1" si="13"/>
        <v>755</v>
      </c>
      <c r="U55" s="175" t="e">
        <f t="shared" si="14"/>
        <v>#DIV/0!</v>
      </c>
      <c r="V55" s="77" t="e">
        <f>IF(F$16=1,_xll.xCalcSkew($A55,W55-BK55,b)/100,0)</f>
        <v>#DIV/0!</v>
      </c>
      <c r="W55" s="98">
        <f t="shared" si="15"/>
        <v>2.5</v>
      </c>
      <c r="X55" s="99"/>
      <c r="Y55" s="97">
        <f t="shared" si="16"/>
        <v>-3.2500000000000001E-2</v>
      </c>
      <c r="Z55" s="100">
        <f t="shared" si="17"/>
        <v>1</v>
      </c>
      <c r="AA55" s="99">
        <f t="shared" ca="1" si="18"/>
        <v>755</v>
      </c>
      <c r="AB55" s="77" t="e">
        <f t="shared" si="19"/>
        <v>#DIV/0!</v>
      </c>
      <c r="AC55" s="77" t="e">
        <f>IF(H$16=1,_xll.xCalcSkew($A55,AD55-BV55,b)/100,0)</f>
        <v>#DIV/0!</v>
      </c>
      <c r="AD55" s="98">
        <f t="shared" si="20"/>
        <v>2.4900000000000002</v>
      </c>
      <c r="AF55" s="99">
        <f t="shared" ca="1" si="21"/>
        <v>755</v>
      </c>
      <c r="AG55" s="99">
        <f t="shared" ca="1" si="22"/>
        <v>754</v>
      </c>
      <c r="AH55" s="77">
        <f t="shared" si="67"/>
        <v>3.5468569142181203E-2</v>
      </c>
      <c r="AI55" s="154">
        <f t="shared" si="0"/>
        <v>29</v>
      </c>
      <c r="AJ55" s="101"/>
      <c r="AK55" s="101"/>
      <c r="AL55" s="101"/>
      <c r="AM55" s="101"/>
      <c r="AN55" s="78">
        <f t="shared" si="49"/>
        <v>0</v>
      </c>
      <c r="AO55" s="303" t="e">
        <f t="shared" si="50"/>
        <v>#DIV/0!</v>
      </c>
      <c r="AP55" s="75">
        <f t="shared" si="24"/>
        <v>0</v>
      </c>
      <c r="AQ55" s="102">
        <f t="shared" si="25"/>
        <v>0</v>
      </c>
      <c r="AR55" s="101">
        <f t="shared" si="26"/>
        <v>0</v>
      </c>
      <c r="AS55" s="101">
        <f t="shared" si="51"/>
        <v>0</v>
      </c>
      <c r="AT55" s="101">
        <f t="shared" si="27"/>
        <v>0</v>
      </c>
      <c r="AU55" s="103">
        <f t="shared" si="52"/>
        <v>0</v>
      </c>
      <c r="AV55" s="103">
        <f t="shared" si="53"/>
        <v>0</v>
      </c>
      <c r="AW55" s="103">
        <f t="shared" si="54"/>
        <v>0</v>
      </c>
      <c r="AY55" s="78">
        <f t="shared" si="28"/>
        <v>0</v>
      </c>
      <c r="AZ55" s="303" t="e">
        <f t="shared" si="55"/>
        <v>#DIV/0!</v>
      </c>
      <c r="BA55" s="75">
        <f t="shared" si="29"/>
        <v>0</v>
      </c>
      <c r="BB55" s="102">
        <f t="shared" si="30"/>
        <v>0</v>
      </c>
      <c r="BC55" s="101">
        <f t="shared" si="31"/>
        <v>0</v>
      </c>
      <c r="BD55" s="101">
        <f t="shared" si="32"/>
        <v>0</v>
      </c>
      <c r="BE55" s="101">
        <f t="shared" si="33"/>
        <v>0</v>
      </c>
      <c r="BF55" s="103">
        <f t="shared" si="56"/>
        <v>0</v>
      </c>
      <c r="BG55" s="103">
        <f t="shared" si="57"/>
        <v>0</v>
      </c>
      <c r="BH55" s="103">
        <f t="shared" si="58"/>
        <v>0</v>
      </c>
      <c r="BJ55" s="78">
        <f t="shared" si="34"/>
        <v>0</v>
      </c>
      <c r="BK55" s="303" t="e">
        <f t="shared" si="59"/>
        <v>#DIV/0!</v>
      </c>
      <c r="BL55" s="75">
        <f t="shared" si="35"/>
        <v>0</v>
      </c>
      <c r="BM55" s="102">
        <f t="shared" si="36"/>
        <v>0</v>
      </c>
      <c r="BN55" s="101">
        <f t="shared" si="37"/>
        <v>0</v>
      </c>
      <c r="BO55" s="101">
        <f t="shared" si="38"/>
        <v>0</v>
      </c>
      <c r="BP55" s="101">
        <f t="shared" si="39"/>
        <v>0</v>
      </c>
      <c r="BQ55" s="103">
        <f t="shared" si="60"/>
        <v>0</v>
      </c>
      <c r="BR55" s="103">
        <f t="shared" si="61"/>
        <v>0</v>
      </c>
      <c r="BS55" s="103">
        <f t="shared" si="62"/>
        <v>0</v>
      </c>
      <c r="BU55" s="78">
        <f t="shared" si="40"/>
        <v>0</v>
      </c>
      <c r="BV55" s="303" t="e">
        <f t="shared" si="63"/>
        <v>#DIV/0!</v>
      </c>
      <c r="BW55" s="75">
        <f t="shared" si="41"/>
        <v>0</v>
      </c>
      <c r="BX55" s="102">
        <f t="shared" si="42"/>
        <v>0</v>
      </c>
      <c r="BY55" s="101">
        <f t="shared" si="43"/>
        <v>0</v>
      </c>
      <c r="BZ55" s="101">
        <f t="shared" si="44"/>
        <v>0</v>
      </c>
      <c r="CA55" s="101">
        <f t="shared" si="45"/>
        <v>0</v>
      </c>
      <c r="CB55" s="103">
        <f t="shared" si="64"/>
        <v>0</v>
      </c>
      <c r="CC55" s="103">
        <f t="shared" si="65"/>
        <v>0</v>
      </c>
      <c r="CD55" s="103">
        <f t="shared" si="66"/>
        <v>0</v>
      </c>
    </row>
    <row r="56" spans="1:82" x14ac:dyDescent="0.25">
      <c r="A56" s="96">
        <f t="shared" si="46"/>
        <v>38047</v>
      </c>
      <c r="B56" s="97">
        <f t="shared" si="47"/>
        <v>3.355</v>
      </c>
      <c r="C56" s="77">
        <f t="shared" si="48"/>
        <v>0.35</v>
      </c>
      <c r="D56" s="97">
        <f t="shared" si="1"/>
        <v>0</v>
      </c>
      <c r="E56" s="100">
        <f t="shared" si="2"/>
        <v>1</v>
      </c>
      <c r="F56" s="99">
        <f t="shared" ca="1" si="3"/>
        <v>782</v>
      </c>
      <c r="G56" s="77" t="e">
        <f t="shared" si="4"/>
        <v>#DIV/0!</v>
      </c>
      <c r="H56" s="77" t="e">
        <f>IF(B$16=1,_xll.xCalcSkew(A56,I56-AO56,b)/100,0)</f>
        <v>#DIV/0!</v>
      </c>
      <c r="I56" s="98">
        <f t="shared" si="5"/>
        <v>4</v>
      </c>
      <c r="K56" s="97">
        <f t="shared" si="6"/>
        <v>-0.02</v>
      </c>
      <c r="L56" s="100">
        <f t="shared" si="7"/>
        <v>1</v>
      </c>
      <c r="M56" s="99">
        <f t="shared" ca="1" si="8"/>
        <v>783</v>
      </c>
      <c r="N56" s="175" t="e">
        <f t="shared" si="9"/>
        <v>#DIV/0!</v>
      </c>
      <c r="O56" s="77" t="e">
        <f>IF(D$16=1,_xll.xCalcSkew($A56,P56-AZ56,b)/100,0)</f>
        <v>#DIV/0!</v>
      </c>
      <c r="P56" s="98">
        <f t="shared" si="10"/>
        <v>2.5</v>
      </c>
      <c r="R56" s="97">
        <f t="shared" si="11"/>
        <v>-0.02</v>
      </c>
      <c r="S56" s="100">
        <f t="shared" si="12"/>
        <v>1</v>
      </c>
      <c r="T56" s="99">
        <f t="shared" ca="1" si="13"/>
        <v>783</v>
      </c>
      <c r="U56" s="175" t="e">
        <f t="shared" si="14"/>
        <v>#DIV/0!</v>
      </c>
      <c r="V56" s="77" t="e">
        <f>IF(F$16=1,_xll.xCalcSkew($A56,W56-BK56,b)/100,0)</f>
        <v>#DIV/0!</v>
      </c>
      <c r="W56" s="98">
        <f t="shared" si="15"/>
        <v>2.5</v>
      </c>
      <c r="X56" s="99"/>
      <c r="Y56" s="97">
        <f t="shared" si="16"/>
        <v>-0.02</v>
      </c>
      <c r="Z56" s="100">
        <f t="shared" si="17"/>
        <v>1</v>
      </c>
      <c r="AA56" s="99">
        <f t="shared" ca="1" si="18"/>
        <v>783</v>
      </c>
      <c r="AB56" s="77" t="e">
        <f t="shared" si="19"/>
        <v>#DIV/0!</v>
      </c>
      <c r="AC56" s="77" t="e">
        <f>IF(H$16=1,_xll.xCalcSkew($A56,AD56-BV56,b)/100,0)</f>
        <v>#DIV/0!</v>
      </c>
      <c r="AD56" s="98">
        <f t="shared" si="20"/>
        <v>2.4900000000000002</v>
      </c>
      <c r="AF56" s="99">
        <f t="shared" ca="1" si="21"/>
        <v>783</v>
      </c>
      <c r="AG56" s="99">
        <f t="shared" ca="1" si="22"/>
        <v>782</v>
      </c>
      <c r="AH56" s="77">
        <f t="shared" si="67"/>
        <v>3.6244658435981701E-2</v>
      </c>
      <c r="AI56" s="154">
        <f t="shared" si="0"/>
        <v>31</v>
      </c>
      <c r="AJ56" s="101"/>
      <c r="AK56" s="101"/>
      <c r="AL56" s="101"/>
      <c r="AM56" s="101"/>
      <c r="AN56" s="78">
        <f t="shared" si="49"/>
        <v>0</v>
      </c>
      <c r="AO56" s="303" t="e">
        <f t="shared" si="50"/>
        <v>#DIV/0!</v>
      </c>
      <c r="AP56" s="75">
        <f t="shared" si="24"/>
        <v>0</v>
      </c>
      <c r="AQ56" s="102">
        <f t="shared" si="25"/>
        <v>0</v>
      </c>
      <c r="AR56" s="101">
        <f t="shared" si="26"/>
        <v>0</v>
      </c>
      <c r="AS56" s="101">
        <f t="shared" si="51"/>
        <v>0</v>
      </c>
      <c r="AT56" s="101">
        <f t="shared" si="27"/>
        <v>0</v>
      </c>
      <c r="AU56" s="103">
        <f t="shared" si="52"/>
        <v>0</v>
      </c>
      <c r="AV56" s="103">
        <f t="shared" si="53"/>
        <v>0</v>
      </c>
      <c r="AW56" s="103">
        <f t="shared" si="54"/>
        <v>0</v>
      </c>
      <c r="AY56" s="78">
        <f t="shared" si="28"/>
        <v>0</v>
      </c>
      <c r="AZ56" s="303" t="e">
        <f t="shared" si="55"/>
        <v>#DIV/0!</v>
      </c>
      <c r="BA56" s="75">
        <f t="shared" si="29"/>
        <v>0</v>
      </c>
      <c r="BB56" s="102">
        <f t="shared" si="30"/>
        <v>0</v>
      </c>
      <c r="BC56" s="101">
        <f t="shared" si="31"/>
        <v>0</v>
      </c>
      <c r="BD56" s="101">
        <f t="shared" si="32"/>
        <v>0</v>
      </c>
      <c r="BE56" s="101">
        <f t="shared" si="33"/>
        <v>0</v>
      </c>
      <c r="BF56" s="103">
        <f t="shared" si="56"/>
        <v>0</v>
      </c>
      <c r="BG56" s="103">
        <f t="shared" si="57"/>
        <v>0</v>
      </c>
      <c r="BH56" s="103">
        <f t="shared" si="58"/>
        <v>0</v>
      </c>
      <c r="BJ56" s="78">
        <f t="shared" si="34"/>
        <v>0</v>
      </c>
      <c r="BK56" s="303" t="e">
        <f t="shared" si="59"/>
        <v>#DIV/0!</v>
      </c>
      <c r="BL56" s="75">
        <f t="shared" si="35"/>
        <v>0</v>
      </c>
      <c r="BM56" s="102">
        <f t="shared" si="36"/>
        <v>0</v>
      </c>
      <c r="BN56" s="101">
        <f t="shared" si="37"/>
        <v>0</v>
      </c>
      <c r="BO56" s="101">
        <f t="shared" si="38"/>
        <v>0</v>
      </c>
      <c r="BP56" s="101">
        <f t="shared" si="39"/>
        <v>0</v>
      </c>
      <c r="BQ56" s="103">
        <f t="shared" si="60"/>
        <v>0</v>
      </c>
      <c r="BR56" s="103">
        <f t="shared" si="61"/>
        <v>0</v>
      </c>
      <c r="BS56" s="103">
        <f t="shared" si="62"/>
        <v>0</v>
      </c>
      <c r="BU56" s="78">
        <f t="shared" si="40"/>
        <v>0</v>
      </c>
      <c r="BV56" s="303" t="e">
        <f t="shared" si="63"/>
        <v>#DIV/0!</v>
      </c>
      <c r="BW56" s="75">
        <f t="shared" si="41"/>
        <v>0</v>
      </c>
      <c r="BX56" s="102">
        <f t="shared" si="42"/>
        <v>0</v>
      </c>
      <c r="BY56" s="101">
        <f t="shared" si="43"/>
        <v>0</v>
      </c>
      <c r="BZ56" s="101">
        <f t="shared" si="44"/>
        <v>0</v>
      </c>
      <c r="CA56" s="101">
        <f t="shared" si="45"/>
        <v>0</v>
      </c>
      <c r="CB56" s="103">
        <f t="shared" si="64"/>
        <v>0</v>
      </c>
      <c r="CC56" s="103">
        <f t="shared" si="65"/>
        <v>0</v>
      </c>
      <c r="CD56" s="103">
        <f t="shared" si="66"/>
        <v>0</v>
      </c>
    </row>
    <row r="57" spans="1:82" x14ac:dyDescent="0.25">
      <c r="A57" s="96">
        <f t="shared" si="46"/>
        <v>38078</v>
      </c>
      <c r="B57" s="97">
        <f t="shared" si="47"/>
        <v>3.17</v>
      </c>
      <c r="C57" s="77">
        <f t="shared" si="48"/>
        <v>0.32</v>
      </c>
      <c r="D57" s="97">
        <f t="shared" si="1"/>
        <v>0</v>
      </c>
      <c r="E57" s="100">
        <f t="shared" si="2"/>
        <v>1</v>
      </c>
      <c r="F57" s="99">
        <f t="shared" ca="1" si="3"/>
        <v>813</v>
      </c>
      <c r="G57" s="77" t="e">
        <f t="shared" si="4"/>
        <v>#DIV/0!</v>
      </c>
      <c r="H57" s="77" t="e">
        <f>IF(B$16=1,_xll.xCalcSkew(A57,I57-AO57,b)/100,0)</f>
        <v>#DIV/0!</v>
      </c>
      <c r="I57" s="98">
        <f t="shared" si="5"/>
        <v>4</v>
      </c>
      <c r="K57" s="97">
        <f t="shared" si="6"/>
        <v>2.5000000000000001E-2</v>
      </c>
      <c r="L57" s="100">
        <f t="shared" si="7"/>
        <v>1</v>
      </c>
      <c r="M57" s="99">
        <f t="shared" ca="1" si="8"/>
        <v>816</v>
      </c>
      <c r="N57" s="175" t="e">
        <f t="shared" si="9"/>
        <v>#DIV/0!</v>
      </c>
      <c r="O57" s="77" t="e">
        <f>IF(D$16=1,_xll.xCalcSkew($A57,P57-AZ57,b)/100,0)</f>
        <v>#DIV/0!</v>
      </c>
      <c r="P57" s="98">
        <f t="shared" si="10"/>
        <v>2.5</v>
      </c>
      <c r="R57" s="97">
        <f t="shared" si="11"/>
        <v>2.5000000000000001E-2</v>
      </c>
      <c r="S57" s="100">
        <f t="shared" si="12"/>
        <v>1</v>
      </c>
      <c r="T57" s="99">
        <f t="shared" ca="1" si="13"/>
        <v>816</v>
      </c>
      <c r="U57" s="175" t="e">
        <f t="shared" si="14"/>
        <v>#DIV/0!</v>
      </c>
      <c r="V57" s="77" t="e">
        <f>IF(F$16=1,_xll.xCalcSkew($A57,W57-BK57,b)/100,0)</f>
        <v>#DIV/0!</v>
      </c>
      <c r="W57" s="98">
        <f t="shared" si="15"/>
        <v>2.5</v>
      </c>
      <c r="X57" s="99"/>
      <c r="Y57" s="97">
        <f t="shared" si="16"/>
        <v>2.5000000000000001E-2</v>
      </c>
      <c r="Z57" s="100">
        <f t="shared" si="17"/>
        <v>1</v>
      </c>
      <c r="AA57" s="99">
        <f t="shared" ca="1" si="18"/>
        <v>816</v>
      </c>
      <c r="AB57" s="77" t="e">
        <f t="shared" si="19"/>
        <v>#DIV/0!</v>
      </c>
      <c r="AC57" s="77" t="e">
        <f>IF(H$16=1,_xll.xCalcSkew($A57,AD57-BV57,b)/100,0)</f>
        <v>#DIV/0!</v>
      </c>
      <c r="AD57" s="98">
        <f t="shared" si="20"/>
        <v>2.4900000000000002</v>
      </c>
      <c r="AF57" s="99">
        <f t="shared" ca="1" si="21"/>
        <v>816</v>
      </c>
      <c r="AG57" s="99">
        <f t="shared" ca="1" si="22"/>
        <v>813</v>
      </c>
      <c r="AH57" s="77">
        <f t="shared" si="67"/>
        <v>3.7021069033523098E-2</v>
      </c>
      <c r="AI57" s="154">
        <f t="shared" si="0"/>
        <v>30</v>
      </c>
      <c r="AJ57" s="101"/>
      <c r="AK57" s="101"/>
      <c r="AL57" s="101"/>
      <c r="AM57" s="101"/>
      <c r="AN57" s="78">
        <f t="shared" si="49"/>
        <v>0</v>
      </c>
      <c r="AO57" s="303" t="e">
        <f t="shared" si="50"/>
        <v>#DIV/0!</v>
      </c>
      <c r="AP57" s="75">
        <f t="shared" si="24"/>
        <v>0</v>
      </c>
      <c r="AQ57" s="102">
        <f t="shared" si="25"/>
        <v>0</v>
      </c>
      <c r="AR57" s="101">
        <f t="shared" si="26"/>
        <v>0</v>
      </c>
      <c r="AS57" s="101">
        <f t="shared" si="51"/>
        <v>0</v>
      </c>
      <c r="AT57" s="101">
        <f t="shared" si="27"/>
        <v>0</v>
      </c>
      <c r="AU57" s="103">
        <f t="shared" si="52"/>
        <v>0</v>
      </c>
      <c r="AV57" s="103">
        <f t="shared" si="53"/>
        <v>0</v>
      </c>
      <c r="AW57" s="103">
        <f t="shared" si="54"/>
        <v>0</v>
      </c>
      <c r="AY57" s="78">
        <f t="shared" si="28"/>
        <v>0</v>
      </c>
      <c r="AZ57" s="303" t="e">
        <f t="shared" si="55"/>
        <v>#DIV/0!</v>
      </c>
      <c r="BA57" s="75">
        <f t="shared" si="29"/>
        <v>0</v>
      </c>
      <c r="BB57" s="102">
        <f t="shared" si="30"/>
        <v>0</v>
      </c>
      <c r="BC57" s="101">
        <f t="shared" si="31"/>
        <v>0</v>
      </c>
      <c r="BD57" s="101">
        <f t="shared" si="32"/>
        <v>0</v>
      </c>
      <c r="BE57" s="101">
        <f t="shared" si="33"/>
        <v>0</v>
      </c>
      <c r="BF57" s="103">
        <f t="shared" si="56"/>
        <v>0</v>
      </c>
      <c r="BG57" s="103">
        <f t="shared" si="57"/>
        <v>0</v>
      </c>
      <c r="BH57" s="103">
        <f t="shared" si="58"/>
        <v>0</v>
      </c>
      <c r="BJ57" s="78">
        <f t="shared" si="34"/>
        <v>0</v>
      </c>
      <c r="BK57" s="303" t="e">
        <f t="shared" si="59"/>
        <v>#DIV/0!</v>
      </c>
      <c r="BL57" s="75">
        <f t="shared" si="35"/>
        <v>0</v>
      </c>
      <c r="BM57" s="102">
        <f t="shared" si="36"/>
        <v>0</v>
      </c>
      <c r="BN57" s="101">
        <f t="shared" si="37"/>
        <v>0</v>
      </c>
      <c r="BO57" s="101">
        <f t="shared" si="38"/>
        <v>0</v>
      </c>
      <c r="BP57" s="101">
        <f t="shared" si="39"/>
        <v>0</v>
      </c>
      <c r="BQ57" s="103">
        <f t="shared" si="60"/>
        <v>0</v>
      </c>
      <c r="BR57" s="103">
        <f t="shared" si="61"/>
        <v>0</v>
      </c>
      <c r="BS57" s="103">
        <f t="shared" si="62"/>
        <v>0</v>
      </c>
      <c r="BU57" s="78">
        <f t="shared" si="40"/>
        <v>0</v>
      </c>
      <c r="BV57" s="303" t="e">
        <f t="shared" si="63"/>
        <v>#DIV/0!</v>
      </c>
      <c r="BW57" s="75">
        <f t="shared" si="41"/>
        <v>0</v>
      </c>
      <c r="BX57" s="102">
        <f t="shared" si="42"/>
        <v>0</v>
      </c>
      <c r="BY57" s="101">
        <f t="shared" si="43"/>
        <v>0</v>
      </c>
      <c r="BZ57" s="101">
        <f t="shared" si="44"/>
        <v>0</v>
      </c>
      <c r="CA57" s="101">
        <f t="shared" si="45"/>
        <v>0</v>
      </c>
      <c r="CB57" s="103">
        <f t="shared" si="64"/>
        <v>0</v>
      </c>
      <c r="CC57" s="103">
        <f t="shared" si="65"/>
        <v>0</v>
      </c>
      <c r="CD57" s="103">
        <f t="shared" si="66"/>
        <v>0</v>
      </c>
    </row>
    <row r="58" spans="1:82" x14ac:dyDescent="0.25">
      <c r="A58" s="96">
        <f t="shared" si="46"/>
        <v>38108</v>
      </c>
      <c r="B58" s="97">
        <f t="shared" si="47"/>
        <v>3.165</v>
      </c>
      <c r="C58" s="77">
        <f t="shared" si="48"/>
        <v>0.315</v>
      </c>
      <c r="D58" s="97">
        <f t="shared" si="1"/>
        <v>0</v>
      </c>
      <c r="E58" s="100">
        <f t="shared" si="2"/>
        <v>1</v>
      </c>
      <c r="F58" s="99">
        <f t="shared" ca="1" si="3"/>
        <v>845</v>
      </c>
      <c r="G58" s="77" t="e">
        <f t="shared" si="4"/>
        <v>#DIV/0!</v>
      </c>
      <c r="H58" s="77" t="e">
        <f>IF(B$16=1,_xll.xCalcSkew(A58,I58-AO58,b)/100,0)</f>
        <v>#DIV/0!</v>
      </c>
      <c r="I58" s="98">
        <f t="shared" si="5"/>
        <v>4</v>
      </c>
      <c r="K58" s="97">
        <f t="shared" si="6"/>
        <v>2.5000000000000001E-2</v>
      </c>
      <c r="L58" s="100">
        <f t="shared" si="7"/>
        <v>1</v>
      </c>
      <c r="M58" s="99">
        <f t="shared" ca="1" si="8"/>
        <v>846</v>
      </c>
      <c r="N58" s="175" t="e">
        <f t="shared" si="9"/>
        <v>#DIV/0!</v>
      </c>
      <c r="O58" s="77" t="e">
        <f>IF(D$16=1,_xll.xCalcSkew($A58,P58-AZ58,b)/100,0)</f>
        <v>#DIV/0!</v>
      </c>
      <c r="P58" s="98">
        <f t="shared" si="10"/>
        <v>2.5</v>
      </c>
      <c r="R58" s="97">
        <f t="shared" si="11"/>
        <v>2.5000000000000001E-2</v>
      </c>
      <c r="S58" s="100">
        <f t="shared" si="12"/>
        <v>1</v>
      </c>
      <c r="T58" s="99">
        <f t="shared" ca="1" si="13"/>
        <v>846</v>
      </c>
      <c r="U58" s="175" t="e">
        <f t="shared" si="14"/>
        <v>#DIV/0!</v>
      </c>
      <c r="V58" s="77" t="e">
        <f>IF(F$16=1,_xll.xCalcSkew($A58,W58-BK58,b)/100,0)</f>
        <v>#DIV/0!</v>
      </c>
      <c r="W58" s="98">
        <f t="shared" si="15"/>
        <v>2.5</v>
      </c>
      <c r="X58" s="99"/>
      <c r="Y58" s="97">
        <f t="shared" si="16"/>
        <v>2.5000000000000001E-2</v>
      </c>
      <c r="Z58" s="100">
        <f t="shared" si="17"/>
        <v>1</v>
      </c>
      <c r="AA58" s="99">
        <f t="shared" ca="1" si="18"/>
        <v>846</v>
      </c>
      <c r="AB58" s="77" t="e">
        <f t="shared" si="19"/>
        <v>#DIV/0!</v>
      </c>
      <c r="AC58" s="77" t="e">
        <f>IF(H$16=1,_xll.xCalcSkew($A58,AD58-BV58,b)/100,0)</f>
        <v>#DIV/0!</v>
      </c>
      <c r="AD58" s="98">
        <f t="shared" si="20"/>
        <v>2.4900000000000002</v>
      </c>
      <c r="AF58" s="99">
        <f t="shared" ca="1" si="21"/>
        <v>846</v>
      </c>
      <c r="AG58" s="99">
        <f t="shared" ca="1" si="22"/>
        <v>845</v>
      </c>
      <c r="AH58" s="77">
        <f t="shared" si="67"/>
        <v>3.7717515784331003E-2</v>
      </c>
      <c r="AI58" s="154">
        <f t="shared" si="0"/>
        <v>31</v>
      </c>
      <c r="AJ58" s="101"/>
      <c r="AK58" s="101"/>
      <c r="AL58" s="101"/>
      <c r="AM58" s="101"/>
      <c r="AN58" s="78">
        <f t="shared" si="49"/>
        <v>0</v>
      </c>
      <c r="AO58" s="303" t="e">
        <f t="shared" si="50"/>
        <v>#DIV/0!</v>
      </c>
      <c r="AP58" s="75">
        <f t="shared" si="24"/>
        <v>0</v>
      </c>
      <c r="AQ58" s="102">
        <f t="shared" si="25"/>
        <v>0</v>
      </c>
      <c r="AR58" s="101">
        <f t="shared" si="26"/>
        <v>0</v>
      </c>
      <c r="AS58" s="101">
        <f t="shared" si="51"/>
        <v>0</v>
      </c>
      <c r="AT58" s="101">
        <f t="shared" si="27"/>
        <v>0</v>
      </c>
      <c r="AU58" s="103">
        <f t="shared" si="52"/>
        <v>0</v>
      </c>
      <c r="AV58" s="103">
        <f t="shared" si="53"/>
        <v>0</v>
      </c>
      <c r="AW58" s="103">
        <f t="shared" si="54"/>
        <v>0</v>
      </c>
      <c r="AY58" s="78">
        <f t="shared" si="28"/>
        <v>0</v>
      </c>
      <c r="AZ58" s="303" t="e">
        <f t="shared" si="55"/>
        <v>#DIV/0!</v>
      </c>
      <c r="BA58" s="75">
        <f t="shared" si="29"/>
        <v>0</v>
      </c>
      <c r="BB58" s="102">
        <f t="shared" si="30"/>
        <v>0</v>
      </c>
      <c r="BC58" s="101">
        <f t="shared" si="31"/>
        <v>0</v>
      </c>
      <c r="BD58" s="101">
        <f t="shared" si="32"/>
        <v>0</v>
      </c>
      <c r="BE58" s="101">
        <f t="shared" si="33"/>
        <v>0</v>
      </c>
      <c r="BF58" s="103">
        <f t="shared" si="56"/>
        <v>0</v>
      </c>
      <c r="BG58" s="103">
        <f t="shared" si="57"/>
        <v>0</v>
      </c>
      <c r="BH58" s="103">
        <f t="shared" si="58"/>
        <v>0</v>
      </c>
      <c r="BJ58" s="78">
        <f t="shared" si="34"/>
        <v>0</v>
      </c>
      <c r="BK58" s="303" t="e">
        <f t="shared" si="59"/>
        <v>#DIV/0!</v>
      </c>
      <c r="BL58" s="75">
        <f t="shared" si="35"/>
        <v>0</v>
      </c>
      <c r="BM58" s="102">
        <f t="shared" si="36"/>
        <v>0</v>
      </c>
      <c r="BN58" s="101">
        <f t="shared" si="37"/>
        <v>0</v>
      </c>
      <c r="BO58" s="101">
        <f t="shared" si="38"/>
        <v>0</v>
      </c>
      <c r="BP58" s="101">
        <f t="shared" si="39"/>
        <v>0</v>
      </c>
      <c r="BQ58" s="103">
        <f t="shared" si="60"/>
        <v>0</v>
      </c>
      <c r="BR58" s="103">
        <f t="shared" si="61"/>
        <v>0</v>
      </c>
      <c r="BS58" s="103">
        <f t="shared" si="62"/>
        <v>0</v>
      </c>
      <c r="BU58" s="78">
        <f t="shared" si="40"/>
        <v>0</v>
      </c>
      <c r="BV58" s="303" t="e">
        <f t="shared" si="63"/>
        <v>#DIV/0!</v>
      </c>
      <c r="BW58" s="75">
        <f t="shared" si="41"/>
        <v>0</v>
      </c>
      <c r="BX58" s="102">
        <f t="shared" si="42"/>
        <v>0</v>
      </c>
      <c r="BY58" s="101">
        <f t="shared" si="43"/>
        <v>0</v>
      </c>
      <c r="BZ58" s="101">
        <f t="shared" si="44"/>
        <v>0</v>
      </c>
      <c r="CA58" s="101">
        <f t="shared" si="45"/>
        <v>0</v>
      </c>
      <c r="CB58" s="103">
        <f t="shared" si="64"/>
        <v>0</v>
      </c>
      <c r="CC58" s="103">
        <f t="shared" si="65"/>
        <v>0</v>
      </c>
      <c r="CD58" s="103">
        <f t="shared" si="66"/>
        <v>0</v>
      </c>
    </row>
    <row r="59" spans="1:82" x14ac:dyDescent="0.25">
      <c r="A59" s="96">
        <f t="shared" si="46"/>
        <v>38139</v>
      </c>
      <c r="B59" s="97">
        <f t="shared" si="47"/>
        <v>3.2</v>
      </c>
      <c r="C59" s="77">
        <f t="shared" si="48"/>
        <v>0.315</v>
      </c>
      <c r="D59" s="97">
        <f t="shared" si="1"/>
        <v>0</v>
      </c>
      <c r="E59" s="100">
        <f t="shared" si="2"/>
        <v>1</v>
      </c>
      <c r="F59" s="99">
        <f t="shared" ca="1" si="3"/>
        <v>873</v>
      </c>
      <c r="G59" s="77" t="e">
        <f t="shared" si="4"/>
        <v>#DIV/0!</v>
      </c>
      <c r="H59" s="77" t="e">
        <f>IF(B$16=1,_xll.xCalcSkew(A59,I59-AO59,b)/100,0)</f>
        <v>#DIV/0!</v>
      </c>
      <c r="I59" s="98">
        <f t="shared" si="5"/>
        <v>4</v>
      </c>
      <c r="K59" s="97">
        <f t="shared" si="6"/>
        <v>0.03</v>
      </c>
      <c r="L59" s="100">
        <f t="shared" si="7"/>
        <v>1</v>
      </c>
      <c r="M59" s="99">
        <f t="shared" ca="1" si="8"/>
        <v>874</v>
      </c>
      <c r="N59" s="175" t="e">
        <f t="shared" si="9"/>
        <v>#DIV/0!</v>
      </c>
      <c r="O59" s="77" t="e">
        <f>IF(D$16=1,_xll.xCalcSkew($A59,P59-AZ59,b)/100,0)</f>
        <v>#DIV/0!</v>
      </c>
      <c r="P59" s="98">
        <f t="shared" si="10"/>
        <v>2.5</v>
      </c>
      <c r="R59" s="97">
        <f t="shared" si="11"/>
        <v>0.03</v>
      </c>
      <c r="S59" s="100">
        <f t="shared" si="12"/>
        <v>1</v>
      </c>
      <c r="T59" s="99">
        <f t="shared" ca="1" si="13"/>
        <v>874</v>
      </c>
      <c r="U59" s="175" t="e">
        <f t="shared" si="14"/>
        <v>#DIV/0!</v>
      </c>
      <c r="V59" s="77" t="e">
        <f>IF(F$16=1,_xll.xCalcSkew($A59,W59-BK59,b)/100,0)</f>
        <v>#DIV/0!</v>
      </c>
      <c r="W59" s="98">
        <f t="shared" si="15"/>
        <v>2.5</v>
      </c>
      <c r="X59" s="99"/>
      <c r="Y59" s="97">
        <f t="shared" si="16"/>
        <v>0.03</v>
      </c>
      <c r="Z59" s="100">
        <f t="shared" si="17"/>
        <v>1</v>
      </c>
      <c r="AA59" s="99">
        <f t="shared" ca="1" si="18"/>
        <v>874</v>
      </c>
      <c r="AB59" s="77" t="e">
        <f t="shared" si="19"/>
        <v>#DIV/0!</v>
      </c>
      <c r="AC59" s="77" t="e">
        <f>IF(H$16=1,_xll.xCalcSkew($A59,AD59-BV59,b)/100,0)</f>
        <v>#DIV/0!</v>
      </c>
      <c r="AD59" s="98">
        <f t="shared" si="20"/>
        <v>2.4900000000000002</v>
      </c>
      <c r="AF59" s="99">
        <f t="shared" ca="1" si="21"/>
        <v>874</v>
      </c>
      <c r="AG59" s="99">
        <f t="shared" ca="1" si="22"/>
        <v>873</v>
      </c>
      <c r="AH59" s="77">
        <f t="shared" si="67"/>
        <v>3.8437177597991E-2</v>
      </c>
      <c r="AI59" s="154">
        <f t="shared" si="0"/>
        <v>30</v>
      </c>
      <c r="AJ59" s="101"/>
      <c r="AK59" s="101"/>
      <c r="AL59" s="101"/>
      <c r="AM59" s="101"/>
      <c r="AN59" s="78">
        <f t="shared" si="49"/>
        <v>0</v>
      </c>
      <c r="AO59" s="303" t="e">
        <f t="shared" si="50"/>
        <v>#DIV/0!</v>
      </c>
      <c r="AP59" s="75">
        <f t="shared" si="24"/>
        <v>0</v>
      </c>
      <c r="AQ59" s="102">
        <f t="shared" si="25"/>
        <v>0</v>
      </c>
      <c r="AR59" s="101">
        <f t="shared" si="26"/>
        <v>0</v>
      </c>
      <c r="AS59" s="101">
        <f t="shared" si="51"/>
        <v>0</v>
      </c>
      <c r="AT59" s="101">
        <f t="shared" si="27"/>
        <v>0</v>
      </c>
      <c r="AU59" s="103">
        <f t="shared" si="52"/>
        <v>0</v>
      </c>
      <c r="AV59" s="103">
        <f t="shared" si="53"/>
        <v>0</v>
      </c>
      <c r="AW59" s="103">
        <f t="shared" si="54"/>
        <v>0</v>
      </c>
      <c r="AY59" s="78">
        <f t="shared" si="28"/>
        <v>0</v>
      </c>
      <c r="AZ59" s="303" t="e">
        <f t="shared" si="55"/>
        <v>#DIV/0!</v>
      </c>
      <c r="BA59" s="75">
        <f t="shared" si="29"/>
        <v>0</v>
      </c>
      <c r="BB59" s="102">
        <f t="shared" si="30"/>
        <v>0</v>
      </c>
      <c r="BC59" s="101">
        <f t="shared" si="31"/>
        <v>0</v>
      </c>
      <c r="BD59" s="101">
        <f t="shared" si="32"/>
        <v>0</v>
      </c>
      <c r="BE59" s="101">
        <f t="shared" si="33"/>
        <v>0</v>
      </c>
      <c r="BF59" s="103">
        <f t="shared" si="56"/>
        <v>0</v>
      </c>
      <c r="BG59" s="103">
        <f t="shared" si="57"/>
        <v>0</v>
      </c>
      <c r="BH59" s="103">
        <f t="shared" si="58"/>
        <v>0</v>
      </c>
      <c r="BJ59" s="78">
        <f t="shared" si="34"/>
        <v>0</v>
      </c>
      <c r="BK59" s="303" t="e">
        <f t="shared" si="59"/>
        <v>#DIV/0!</v>
      </c>
      <c r="BL59" s="75">
        <f t="shared" si="35"/>
        <v>0</v>
      </c>
      <c r="BM59" s="102">
        <f t="shared" si="36"/>
        <v>0</v>
      </c>
      <c r="BN59" s="101">
        <f t="shared" si="37"/>
        <v>0</v>
      </c>
      <c r="BO59" s="101">
        <f t="shared" si="38"/>
        <v>0</v>
      </c>
      <c r="BP59" s="101">
        <f t="shared" si="39"/>
        <v>0</v>
      </c>
      <c r="BQ59" s="103">
        <f t="shared" si="60"/>
        <v>0</v>
      </c>
      <c r="BR59" s="103">
        <f t="shared" si="61"/>
        <v>0</v>
      </c>
      <c r="BS59" s="103">
        <f t="shared" si="62"/>
        <v>0</v>
      </c>
      <c r="BU59" s="78">
        <f t="shared" si="40"/>
        <v>0</v>
      </c>
      <c r="BV59" s="303" t="e">
        <f t="shared" si="63"/>
        <v>#DIV/0!</v>
      </c>
      <c r="BW59" s="75">
        <f t="shared" si="41"/>
        <v>0</v>
      </c>
      <c r="BX59" s="102">
        <f t="shared" si="42"/>
        <v>0</v>
      </c>
      <c r="BY59" s="101">
        <f t="shared" si="43"/>
        <v>0</v>
      </c>
      <c r="BZ59" s="101">
        <f t="shared" si="44"/>
        <v>0</v>
      </c>
      <c r="CA59" s="101">
        <f t="shared" si="45"/>
        <v>0</v>
      </c>
      <c r="CB59" s="103">
        <f t="shared" si="64"/>
        <v>0</v>
      </c>
      <c r="CC59" s="103">
        <f t="shared" si="65"/>
        <v>0</v>
      </c>
      <c r="CD59" s="103">
        <f t="shared" si="66"/>
        <v>0</v>
      </c>
    </row>
    <row r="60" spans="1:82" x14ac:dyDescent="0.25">
      <c r="A60" s="96">
        <f t="shared" si="46"/>
        <v>38169</v>
      </c>
      <c r="B60" s="97">
        <f t="shared" si="47"/>
        <v>3.24</v>
      </c>
      <c r="C60" s="77">
        <f t="shared" si="48"/>
        <v>0.315</v>
      </c>
      <c r="D60" s="97">
        <f t="shared" si="1"/>
        <v>0</v>
      </c>
      <c r="E60" s="100">
        <f t="shared" si="2"/>
        <v>1</v>
      </c>
      <c r="F60" s="99">
        <f t="shared" ca="1" si="3"/>
        <v>904</v>
      </c>
      <c r="G60" s="77" t="e">
        <f t="shared" si="4"/>
        <v>#DIV/0!</v>
      </c>
      <c r="H60" s="77" t="e">
        <f>IF(B$16=1,_xll.xCalcSkew(A60,I60-AO60,b)/100,0)</f>
        <v>#DIV/0!</v>
      </c>
      <c r="I60" s="98">
        <f t="shared" si="5"/>
        <v>4</v>
      </c>
      <c r="K60" s="97">
        <f t="shared" si="6"/>
        <v>3.2500000000000001E-2</v>
      </c>
      <c r="L60" s="100">
        <f t="shared" si="7"/>
        <v>1</v>
      </c>
      <c r="M60" s="99">
        <f t="shared" ca="1" si="8"/>
        <v>907</v>
      </c>
      <c r="N60" s="175" t="e">
        <f t="shared" si="9"/>
        <v>#DIV/0!</v>
      </c>
      <c r="O60" s="77" t="e">
        <f>IF(D$16=1,_xll.xCalcSkew($A60,P60-AZ60,b)/100,0)</f>
        <v>#DIV/0!</v>
      </c>
      <c r="P60" s="98">
        <f t="shared" si="10"/>
        <v>2.5</v>
      </c>
      <c r="R60" s="97">
        <f t="shared" si="11"/>
        <v>3.2500000000000001E-2</v>
      </c>
      <c r="S60" s="100">
        <f t="shared" si="12"/>
        <v>1</v>
      </c>
      <c r="T60" s="99">
        <f t="shared" ca="1" si="13"/>
        <v>907</v>
      </c>
      <c r="U60" s="175" t="e">
        <f t="shared" si="14"/>
        <v>#DIV/0!</v>
      </c>
      <c r="V60" s="77" t="e">
        <f>IF(F$16=1,_xll.xCalcSkew($A60,W60-BK60,b)/100,0)</f>
        <v>#DIV/0!</v>
      </c>
      <c r="W60" s="98">
        <f t="shared" si="15"/>
        <v>2.5</v>
      </c>
      <c r="X60" s="99"/>
      <c r="Y60" s="97">
        <f t="shared" si="16"/>
        <v>3.2500000000000001E-2</v>
      </c>
      <c r="Z60" s="100">
        <f t="shared" si="17"/>
        <v>1</v>
      </c>
      <c r="AA60" s="99">
        <f t="shared" ca="1" si="18"/>
        <v>907</v>
      </c>
      <c r="AB60" s="77" t="e">
        <f t="shared" si="19"/>
        <v>#DIV/0!</v>
      </c>
      <c r="AC60" s="77" t="e">
        <f>IF(H$16=1,_xll.xCalcSkew($A60,AD60-BV60,b)/100,0)</f>
        <v>#DIV/0!</v>
      </c>
      <c r="AD60" s="98">
        <f t="shared" si="20"/>
        <v>2.4900000000000002</v>
      </c>
      <c r="AF60" s="99">
        <f t="shared" ca="1" si="21"/>
        <v>907</v>
      </c>
      <c r="AG60" s="99">
        <f t="shared" ca="1" si="22"/>
        <v>904</v>
      </c>
      <c r="AH60" s="77">
        <f t="shared" si="67"/>
        <v>3.9098228026385802E-2</v>
      </c>
      <c r="AI60" s="154">
        <f t="shared" si="0"/>
        <v>31</v>
      </c>
      <c r="AJ60" s="101"/>
      <c r="AK60" s="101"/>
      <c r="AL60" s="101"/>
      <c r="AM60" s="101"/>
      <c r="AN60" s="78">
        <f t="shared" si="49"/>
        <v>0</v>
      </c>
      <c r="AO60" s="303" t="e">
        <f t="shared" si="50"/>
        <v>#DIV/0!</v>
      </c>
      <c r="AP60" s="75">
        <f t="shared" si="24"/>
        <v>0</v>
      </c>
      <c r="AQ60" s="102">
        <f t="shared" si="25"/>
        <v>0</v>
      </c>
      <c r="AR60" s="101">
        <f t="shared" si="26"/>
        <v>0</v>
      </c>
      <c r="AS60" s="101">
        <f t="shared" si="51"/>
        <v>0</v>
      </c>
      <c r="AT60" s="101">
        <f t="shared" si="27"/>
        <v>0</v>
      </c>
      <c r="AU60" s="103">
        <f t="shared" si="52"/>
        <v>0</v>
      </c>
      <c r="AV60" s="103">
        <f t="shared" si="53"/>
        <v>0</v>
      </c>
      <c r="AW60" s="103">
        <f t="shared" si="54"/>
        <v>0</v>
      </c>
      <c r="AY60" s="78">
        <f t="shared" si="28"/>
        <v>0</v>
      </c>
      <c r="AZ60" s="303" t="e">
        <f t="shared" si="55"/>
        <v>#DIV/0!</v>
      </c>
      <c r="BA60" s="75">
        <f t="shared" si="29"/>
        <v>0</v>
      </c>
      <c r="BB60" s="102">
        <f t="shared" si="30"/>
        <v>0</v>
      </c>
      <c r="BC60" s="101">
        <f t="shared" si="31"/>
        <v>0</v>
      </c>
      <c r="BD60" s="101">
        <f t="shared" si="32"/>
        <v>0</v>
      </c>
      <c r="BE60" s="101">
        <f t="shared" si="33"/>
        <v>0</v>
      </c>
      <c r="BF60" s="103">
        <f t="shared" si="56"/>
        <v>0</v>
      </c>
      <c r="BG60" s="103">
        <f t="shared" si="57"/>
        <v>0</v>
      </c>
      <c r="BH60" s="103">
        <f t="shared" si="58"/>
        <v>0</v>
      </c>
      <c r="BJ60" s="78">
        <f t="shared" si="34"/>
        <v>0</v>
      </c>
      <c r="BK60" s="303" t="e">
        <f t="shared" si="59"/>
        <v>#DIV/0!</v>
      </c>
      <c r="BL60" s="75">
        <f t="shared" si="35"/>
        <v>0</v>
      </c>
      <c r="BM60" s="102">
        <f t="shared" si="36"/>
        <v>0</v>
      </c>
      <c r="BN60" s="101">
        <f t="shared" si="37"/>
        <v>0</v>
      </c>
      <c r="BO60" s="101">
        <f t="shared" si="38"/>
        <v>0</v>
      </c>
      <c r="BP60" s="101">
        <f t="shared" si="39"/>
        <v>0</v>
      </c>
      <c r="BQ60" s="103">
        <f t="shared" si="60"/>
        <v>0</v>
      </c>
      <c r="BR60" s="103">
        <f t="shared" si="61"/>
        <v>0</v>
      </c>
      <c r="BS60" s="103">
        <f t="shared" si="62"/>
        <v>0</v>
      </c>
      <c r="BU60" s="78">
        <f t="shared" si="40"/>
        <v>0</v>
      </c>
      <c r="BV60" s="303" t="e">
        <f t="shared" si="63"/>
        <v>#DIV/0!</v>
      </c>
      <c r="BW60" s="75">
        <f t="shared" si="41"/>
        <v>0</v>
      </c>
      <c r="BX60" s="102">
        <f t="shared" si="42"/>
        <v>0</v>
      </c>
      <c r="BY60" s="101">
        <f t="shared" si="43"/>
        <v>0</v>
      </c>
      <c r="BZ60" s="101">
        <f t="shared" si="44"/>
        <v>0</v>
      </c>
      <c r="CA60" s="101">
        <f t="shared" si="45"/>
        <v>0</v>
      </c>
      <c r="CB60" s="103">
        <f t="shared" si="64"/>
        <v>0</v>
      </c>
      <c r="CC60" s="103">
        <f t="shared" si="65"/>
        <v>0</v>
      </c>
      <c r="CD60" s="103">
        <f t="shared" si="66"/>
        <v>0</v>
      </c>
    </row>
    <row r="61" spans="1:82" x14ac:dyDescent="0.25">
      <c r="A61" s="96">
        <f t="shared" si="46"/>
        <v>38200</v>
      </c>
      <c r="B61" s="97">
        <f t="shared" si="47"/>
        <v>3.28</v>
      </c>
      <c r="C61" s="77">
        <f t="shared" si="48"/>
        <v>0.315</v>
      </c>
      <c r="D61" s="97">
        <f t="shared" si="1"/>
        <v>0</v>
      </c>
      <c r="E61" s="100">
        <f t="shared" si="2"/>
        <v>1</v>
      </c>
      <c r="F61" s="99">
        <f t="shared" ca="1" si="3"/>
        <v>936</v>
      </c>
      <c r="G61" s="77" t="e">
        <f t="shared" si="4"/>
        <v>#DIV/0!</v>
      </c>
      <c r="H61" s="77" t="e">
        <f>IF(B$16=1,_xll.xCalcSkew(A61,I61-AO61,b)/100,0)</f>
        <v>#DIV/0!</v>
      </c>
      <c r="I61" s="98">
        <f t="shared" si="5"/>
        <v>4</v>
      </c>
      <c r="K61" s="97">
        <f t="shared" si="6"/>
        <v>3.5000000000000003E-2</v>
      </c>
      <c r="L61" s="100">
        <f t="shared" si="7"/>
        <v>1</v>
      </c>
      <c r="M61" s="99">
        <f t="shared" ca="1" si="8"/>
        <v>937</v>
      </c>
      <c r="N61" s="175" t="e">
        <f t="shared" si="9"/>
        <v>#DIV/0!</v>
      </c>
      <c r="O61" s="77" t="e">
        <f>IF(D$16=1,_xll.xCalcSkew($A61,P61-AZ61,b)/100,0)</f>
        <v>#DIV/0!</v>
      </c>
      <c r="P61" s="98">
        <f t="shared" si="10"/>
        <v>2.5</v>
      </c>
      <c r="R61" s="97">
        <f t="shared" si="11"/>
        <v>3.5000000000000003E-2</v>
      </c>
      <c r="S61" s="100">
        <f t="shared" si="12"/>
        <v>1</v>
      </c>
      <c r="T61" s="99">
        <f t="shared" ca="1" si="13"/>
        <v>937</v>
      </c>
      <c r="U61" s="175" t="e">
        <f t="shared" si="14"/>
        <v>#DIV/0!</v>
      </c>
      <c r="V61" s="77" t="e">
        <f>IF(F$16=1,_xll.xCalcSkew($A61,W61-BK61,b)/100,0)</f>
        <v>#DIV/0!</v>
      </c>
      <c r="W61" s="98">
        <f t="shared" si="15"/>
        <v>2.5</v>
      </c>
      <c r="X61" s="99"/>
      <c r="Y61" s="97">
        <f t="shared" si="16"/>
        <v>3.5000000000000003E-2</v>
      </c>
      <c r="Z61" s="100">
        <f t="shared" si="17"/>
        <v>1</v>
      </c>
      <c r="AA61" s="99">
        <f t="shared" ca="1" si="18"/>
        <v>937</v>
      </c>
      <c r="AB61" s="77" t="e">
        <f t="shared" si="19"/>
        <v>#DIV/0!</v>
      </c>
      <c r="AC61" s="77" t="e">
        <f>IF(H$16=1,_xll.xCalcSkew($A61,AD61-BV61,b)/100,0)</f>
        <v>#DIV/0!</v>
      </c>
      <c r="AD61" s="98">
        <f t="shared" si="20"/>
        <v>2.4900000000000002</v>
      </c>
      <c r="AF61" s="99">
        <f t="shared" ca="1" si="21"/>
        <v>937</v>
      </c>
      <c r="AG61" s="99">
        <f t="shared" ca="1" si="22"/>
        <v>936</v>
      </c>
      <c r="AH61" s="77">
        <f t="shared" si="67"/>
        <v>3.9742489332663701E-2</v>
      </c>
      <c r="AI61" s="154">
        <f t="shared" si="0"/>
        <v>31</v>
      </c>
      <c r="AJ61" s="101"/>
      <c r="AK61" s="101"/>
      <c r="AL61" s="101"/>
      <c r="AM61" s="101"/>
      <c r="AN61" s="78">
        <f t="shared" si="49"/>
        <v>0</v>
      </c>
      <c r="AO61" s="303" t="e">
        <f t="shared" si="50"/>
        <v>#DIV/0!</v>
      </c>
      <c r="AP61" s="75">
        <f t="shared" si="24"/>
        <v>0</v>
      </c>
      <c r="AQ61" s="102">
        <f t="shared" si="25"/>
        <v>0</v>
      </c>
      <c r="AR61" s="101">
        <f t="shared" si="26"/>
        <v>0</v>
      </c>
      <c r="AS61" s="101">
        <f t="shared" si="51"/>
        <v>0</v>
      </c>
      <c r="AT61" s="101">
        <f t="shared" si="27"/>
        <v>0</v>
      </c>
      <c r="AU61" s="103">
        <f t="shared" si="52"/>
        <v>0</v>
      </c>
      <c r="AV61" s="103">
        <f t="shared" si="53"/>
        <v>0</v>
      </c>
      <c r="AW61" s="103">
        <f t="shared" si="54"/>
        <v>0</v>
      </c>
      <c r="AY61" s="78">
        <f t="shared" si="28"/>
        <v>0</v>
      </c>
      <c r="AZ61" s="303" t="e">
        <f t="shared" si="55"/>
        <v>#DIV/0!</v>
      </c>
      <c r="BA61" s="75">
        <f t="shared" si="29"/>
        <v>0</v>
      </c>
      <c r="BB61" s="102">
        <f t="shared" si="30"/>
        <v>0</v>
      </c>
      <c r="BC61" s="101">
        <f t="shared" si="31"/>
        <v>0</v>
      </c>
      <c r="BD61" s="101">
        <f t="shared" si="32"/>
        <v>0</v>
      </c>
      <c r="BE61" s="101">
        <f t="shared" si="33"/>
        <v>0</v>
      </c>
      <c r="BF61" s="103">
        <f t="shared" si="56"/>
        <v>0</v>
      </c>
      <c r="BG61" s="103">
        <f t="shared" si="57"/>
        <v>0</v>
      </c>
      <c r="BH61" s="103">
        <f t="shared" si="58"/>
        <v>0</v>
      </c>
      <c r="BJ61" s="78">
        <f t="shared" si="34"/>
        <v>0</v>
      </c>
      <c r="BK61" s="303" t="e">
        <f t="shared" si="59"/>
        <v>#DIV/0!</v>
      </c>
      <c r="BL61" s="75">
        <f t="shared" si="35"/>
        <v>0</v>
      </c>
      <c r="BM61" s="102">
        <f t="shared" si="36"/>
        <v>0</v>
      </c>
      <c r="BN61" s="101">
        <f t="shared" si="37"/>
        <v>0</v>
      </c>
      <c r="BO61" s="101">
        <f t="shared" si="38"/>
        <v>0</v>
      </c>
      <c r="BP61" s="101">
        <f t="shared" si="39"/>
        <v>0</v>
      </c>
      <c r="BQ61" s="103">
        <f t="shared" si="60"/>
        <v>0</v>
      </c>
      <c r="BR61" s="103">
        <f t="shared" si="61"/>
        <v>0</v>
      </c>
      <c r="BS61" s="103">
        <f t="shared" si="62"/>
        <v>0</v>
      </c>
      <c r="BU61" s="78">
        <f t="shared" si="40"/>
        <v>0</v>
      </c>
      <c r="BV61" s="303" t="e">
        <f t="shared" si="63"/>
        <v>#DIV/0!</v>
      </c>
      <c r="BW61" s="75">
        <f t="shared" si="41"/>
        <v>0</v>
      </c>
      <c r="BX61" s="102">
        <f t="shared" si="42"/>
        <v>0</v>
      </c>
      <c r="BY61" s="101">
        <f t="shared" si="43"/>
        <v>0</v>
      </c>
      <c r="BZ61" s="101">
        <f t="shared" si="44"/>
        <v>0</v>
      </c>
      <c r="CA61" s="101">
        <f t="shared" si="45"/>
        <v>0</v>
      </c>
      <c r="CB61" s="103">
        <f t="shared" si="64"/>
        <v>0</v>
      </c>
      <c r="CC61" s="103">
        <f t="shared" si="65"/>
        <v>0</v>
      </c>
      <c r="CD61" s="103">
        <f t="shared" si="66"/>
        <v>0</v>
      </c>
    </row>
    <row r="62" spans="1:82" x14ac:dyDescent="0.25">
      <c r="A62" s="96">
        <f t="shared" si="46"/>
        <v>38231</v>
      </c>
      <c r="B62" s="97">
        <f t="shared" si="47"/>
        <v>3.2749999999999999</v>
      </c>
      <c r="C62" s="77">
        <f t="shared" si="48"/>
        <v>0.315</v>
      </c>
      <c r="D62" s="97">
        <f t="shared" si="1"/>
        <v>0</v>
      </c>
      <c r="E62" s="100">
        <f t="shared" si="2"/>
        <v>1</v>
      </c>
      <c r="F62" s="99">
        <f t="shared" ca="1" si="3"/>
        <v>966</v>
      </c>
      <c r="G62" s="77" t="e">
        <f t="shared" si="4"/>
        <v>#DIV/0!</v>
      </c>
      <c r="H62" s="77" t="e">
        <f>IF(B$16=1,_xll.xCalcSkew(A62,I62-AO62,b)/100,0)</f>
        <v>#DIV/0!</v>
      </c>
      <c r="I62" s="98">
        <f t="shared" si="5"/>
        <v>4</v>
      </c>
      <c r="K62" s="97">
        <f t="shared" si="6"/>
        <v>2.75E-2</v>
      </c>
      <c r="L62" s="100">
        <f t="shared" si="7"/>
        <v>1</v>
      </c>
      <c r="M62" s="99">
        <f t="shared" ca="1" si="8"/>
        <v>967</v>
      </c>
      <c r="N62" s="175" t="e">
        <f t="shared" si="9"/>
        <v>#DIV/0!</v>
      </c>
      <c r="O62" s="77" t="e">
        <f>IF(D$16=1,_xll.xCalcSkew($A62,P62-AZ62,b)/100,0)</f>
        <v>#DIV/0!</v>
      </c>
      <c r="P62" s="98">
        <f t="shared" si="10"/>
        <v>2.5</v>
      </c>
      <c r="R62" s="97">
        <f t="shared" si="11"/>
        <v>2.75E-2</v>
      </c>
      <c r="S62" s="100">
        <f t="shared" si="12"/>
        <v>1</v>
      </c>
      <c r="T62" s="99">
        <f t="shared" ca="1" si="13"/>
        <v>967</v>
      </c>
      <c r="U62" s="175" t="e">
        <f t="shared" si="14"/>
        <v>#DIV/0!</v>
      </c>
      <c r="V62" s="77" t="e">
        <f>IF(F$16=1,_xll.xCalcSkew($A62,W62-BK62,b)/100,0)</f>
        <v>#DIV/0!</v>
      </c>
      <c r="W62" s="98">
        <f t="shared" si="15"/>
        <v>2.5</v>
      </c>
      <c r="X62" s="99"/>
      <c r="Y62" s="97">
        <f t="shared" si="16"/>
        <v>2.75E-2</v>
      </c>
      <c r="Z62" s="100">
        <f t="shared" si="17"/>
        <v>1</v>
      </c>
      <c r="AA62" s="99">
        <f t="shared" ca="1" si="18"/>
        <v>967</v>
      </c>
      <c r="AB62" s="77" t="e">
        <f t="shared" si="19"/>
        <v>#DIV/0!</v>
      </c>
      <c r="AC62" s="77" t="e">
        <f>IF(H$16=1,_xll.xCalcSkew($A62,AD62-BV62,b)/100,0)</f>
        <v>#DIV/0!</v>
      </c>
      <c r="AD62" s="98">
        <f t="shared" si="20"/>
        <v>2.4900000000000002</v>
      </c>
      <c r="AF62" s="99">
        <f t="shared" ca="1" si="21"/>
        <v>967</v>
      </c>
      <c r="AG62" s="99">
        <f t="shared" ca="1" si="22"/>
        <v>966</v>
      </c>
      <c r="AH62" s="77">
        <f t="shared" si="67"/>
        <v>4.0386750778223797E-2</v>
      </c>
      <c r="AI62" s="154">
        <f t="shared" si="0"/>
        <v>30</v>
      </c>
      <c r="AJ62" s="101"/>
      <c r="AK62" s="101"/>
      <c r="AL62" s="101"/>
      <c r="AM62" s="101"/>
      <c r="AN62" s="78">
        <f t="shared" si="49"/>
        <v>0</v>
      </c>
      <c r="AO62" s="303" t="e">
        <f t="shared" si="50"/>
        <v>#DIV/0!</v>
      </c>
      <c r="AP62" s="75">
        <f t="shared" si="24"/>
        <v>0</v>
      </c>
      <c r="AQ62" s="102">
        <f t="shared" si="25"/>
        <v>0</v>
      </c>
      <c r="AR62" s="101">
        <f t="shared" si="26"/>
        <v>0</v>
      </c>
      <c r="AS62" s="101">
        <f t="shared" si="51"/>
        <v>0</v>
      </c>
      <c r="AT62" s="101">
        <f t="shared" si="27"/>
        <v>0</v>
      </c>
      <c r="AU62" s="103">
        <f t="shared" si="52"/>
        <v>0</v>
      </c>
      <c r="AV62" s="103">
        <f t="shared" si="53"/>
        <v>0</v>
      </c>
      <c r="AW62" s="103">
        <f t="shared" si="54"/>
        <v>0</v>
      </c>
      <c r="AY62" s="78">
        <f t="shared" si="28"/>
        <v>0</v>
      </c>
      <c r="AZ62" s="303" t="e">
        <f t="shared" si="55"/>
        <v>#DIV/0!</v>
      </c>
      <c r="BA62" s="75">
        <f t="shared" si="29"/>
        <v>0</v>
      </c>
      <c r="BB62" s="102">
        <f t="shared" si="30"/>
        <v>0</v>
      </c>
      <c r="BC62" s="101">
        <f t="shared" si="31"/>
        <v>0</v>
      </c>
      <c r="BD62" s="101">
        <f t="shared" si="32"/>
        <v>0</v>
      </c>
      <c r="BE62" s="101">
        <f t="shared" si="33"/>
        <v>0</v>
      </c>
      <c r="BF62" s="103">
        <f t="shared" si="56"/>
        <v>0</v>
      </c>
      <c r="BG62" s="103">
        <f t="shared" si="57"/>
        <v>0</v>
      </c>
      <c r="BH62" s="103">
        <f t="shared" si="58"/>
        <v>0</v>
      </c>
      <c r="BJ62" s="78">
        <f t="shared" si="34"/>
        <v>0</v>
      </c>
      <c r="BK62" s="303" t="e">
        <f t="shared" si="59"/>
        <v>#DIV/0!</v>
      </c>
      <c r="BL62" s="75">
        <f t="shared" si="35"/>
        <v>0</v>
      </c>
      <c r="BM62" s="102">
        <f t="shared" si="36"/>
        <v>0</v>
      </c>
      <c r="BN62" s="101">
        <f t="shared" si="37"/>
        <v>0</v>
      </c>
      <c r="BO62" s="101">
        <f t="shared" si="38"/>
        <v>0</v>
      </c>
      <c r="BP62" s="101">
        <f t="shared" si="39"/>
        <v>0</v>
      </c>
      <c r="BQ62" s="103">
        <f t="shared" si="60"/>
        <v>0</v>
      </c>
      <c r="BR62" s="103">
        <f t="shared" si="61"/>
        <v>0</v>
      </c>
      <c r="BS62" s="103">
        <f t="shared" si="62"/>
        <v>0</v>
      </c>
      <c r="BU62" s="78">
        <f t="shared" si="40"/>
        <v>0</v>
      </c>
      <c r="BV62" s="303" t="e">
        <f t="shared" si="63"/>
        <v>#DIV/0!</v>
      </c>
      <c r="BW62" s="75">
        <f t="shared" si="41"/>
        <v>0</v>
      </c>
      <c r="BX62" s="102">
        <f t="shared" si="42"/>
        <v>0</v>
      </c>
      <c r="BY62" s="101">
        <f t="shared" si="43"/>
        <v>0</v>
      </c>
      <c r="BZ62" s="101">
        <f t="shared" si="44"/>
        <v>0</v>
      </c>
      <c r="CA62" s="101">
        <f t="shared" si="45"/>
        <v>0</v>
      </c>
      <c r="CB62" s="103">
        <f t="shared" si="64"/>
        <v>0</v>
      </c>
      <c r="CC62" s="103">
        <f t="shared" si="65"/>
        <v>0</v>
      </c>
      <c r="CD62" s="103">
        <f t="shared" si="66"/>
        <v>0</v>
      </c>
    </row>
    <row r="63" spans="1:82" x14ac:dyDescent="0.25">
      <c r="A63" s="96">
        <f t="shared" si="46"/>
        <v>38261</v>
      </c>
      <c r="B63" s="97">
        <f t="shared" si="47"/>
        <v>3.3</v>
      </c>
      <c r="C63" s="77">
        <f t="shared" si="48"/>
        <v>0.315</v>
      </c>
      <c r="D63" s="97">
        <f t="shared" si="1"/>
        <v>0</v>
      </c>
      <c r="E63" s="100">
        <f t="shared" si="2"/>
        <v>1</v>
      </c>
      <c r="F63" s="99">
        <f t="shared" ca="1" si="3"/>
        <v>998</v>
      </c>
      <c r="G63" s="77" t="e">
        <f t="shared" si="4"/>
        <v>#DIV/0!</v>
      </c>
      <c r="H63" s="77" t="e">
        <f>IF(B$16=1,_xll.xCalcSkew(A63,I63-AO63,b)/100,0)</f>
        <v>#DIV/0!</v>
      </c>
      <c r="I63" s="98">
        <f t="shared" ref="I63:I94" si="68">IF($B$19=4,$AO63,$B$18)</f>
        <v>4</v>
      </c>
      <c r="K63" s="97">
        <f t="shared" si="6"/>
        <v>1.7500000000000002E-2</v>
      </c>
      <c r="L63" s="100">
        <f t="shared" si="7"/>
        <v>1</v>
      </c>
      <c r="M63" s="99">
        <f t="shared" ca="1" si="8"/>
        <v>999</v>
      </c>
      <c r="N63" s="175" t="e">
        <f t="shared" si="9"/>
        <v>#DIV/0!</v>
      </c>
      <c r="O63" s="77" t="e">
        <f>IF(D$16=1,_xll.xCalcSkew($A63,P63-AZ63,b)/100,0)</f>
        <v>#DIV/0!</v>
      </c>
      <c r="P63" s="98">
        <f t="shared" ref="P63:P94" si="69">IF($D$19=4,$AZ63,$D$18)</f>
        <v>2.5</v>
      </c>
      <c r="R63" s="97">
        <f t="shared" si="11"/>
        <v>1.7500000000000002E-2</v>
      </c>
      <c r="S63" s="100">
        <f t="shared" si="12"/>
        <v>1</v>
      </c>
      <c r="T63" s="99">
        <f t="shared" ca="1" si="13"/>
        <v>999</v>
      </c>
      <c r="U63" s="175" t="e">
        <f t="shared" si="14"/>
        <v>#DIV/0!</v>
      </c>
      <c r="V63" s="77" t="e">
        <f>IF(F$16=1,_xll.xCalcSkew($A63,W63-BK63,b)/100,0)</f>
        <v>#DIV/0!</v>
      </c>
      <c r="W63" s="98">
        <f t="shared" ref="W63:W94" si="70">IF($F$19=4,$BK63,$F$18)</f>
        <v>2.5</v>
      </c>
      <c r="X63" s="99"/>
      <c r="Y63" s="97">
        <f t="shared" si="16"/>
        <v>1.7500000000000002E-2</v>
      </c>
      <c r="Z63" s="100">
        <f t="shared" si="17"/>
        <v>1</v>
      </c>
      <c r="AA63" s="99">
        <f t="shared" ca="1" si="18"/>
        <v>999</v>
      </c>
      <c r="AB63" s="77" t="e">
        <f t="shared" si="19"/>
        <v>#DIV/0!</v>
      </c>
      <c r="AC63" s="77" t="e">
        <f>IF(H$16=1,_xll.xCalcSkew($A63,AD63-BV63,b)/100,0)</f>
        <v>#DIV/0!</v>
      </c>
      <c r="AD63" s="98">
        <f t="shared" ref="AD63:AD94" si="71">IF($H$19=4,$BV63,$H$18)</f>
        <v>2.4900000000000002</v>
      </c>
      <c r="AF63" s="99">
        <f t="shared" ca="1" si="21"/>
        <v>999</v>
      </c>
      <c r="AG63" s="99">
        <f t="shared" ca="1" si="22"/>
        <v>998</v>
      </c>
      <c r="AH63" s="77">
        <f t="shared" si="67"/>
        <v>4.0975446534947203E-2</v>
      </c>
      <c r="AI63" s="154">
        <f t="shared" si="0"/>
        <v>31</v>
      </c>
      <c r="AJ63" s="101"/>
      <c r="AK63" s="101"/>
      <c r="AL63" s="101"/>
      <c r="AM63" s="101"/>
      <c r="AN63" s="78">
        <f t="shared" si="49"/>
        <v>0</v>
      </c>
      <c r="AO63" s="303" t="e">
        <f t="shared" si="50"/>
        <v>#DIV/0!</v>
      </c>
      <c r="AP63" s="75">
        <f t="shared" ref="AP63:AP94" si="72">AN63*($B63+B$13)</f>
        <v>0</v>
      </c>
      <c r="AQ63" s="102">
        <f t="shared" ref="AQ63:AQ94" si="73">IF(ISNUMBER(((AP63/AN63)+B$14+$D63)*AN63),((AP63/AN63)+B$14+$D63)*AN63,0)</f>
        <v>0</v>
      </c>
      <c r="AR63" s="101">
        <f t="shared" si="26"/>
        <v>0</v>
      </c>
      <c r="AS63" s="101">
        <f t="shared" si="51"/>
        <v>0</v>
      </c>
      <c r="AT63" s="101">
        <f t="shared" si="27"/>
        <v>0</v>
      </c>
      <c r="AU63" s="103">
        <f t="shared" si="52"/>
        <v>0</v>
      </c>
      <c r="AV63" s="103">
        <f t="shared" si="53"/>
        <v>0</v>
      </c>
      <c r="AW63" s="103">
        <f t="shared" si="54"/>
        <v>0</v>
      </c>
      <c r="AY63" s="78">
        <f t="shared" si="28"/>
        <v>0</v>
      </c>
      <c r="AZ63" s="303" t="e">
        <f t="shared" si="55"/>
        <v>#DIV/0!</v>
      </c>
      <c r="BA63" s="75">
        <f t="shared" ref="BA63:BA94" si="74">AY63*($B63+D$13)</f>
        <v>0</v>
      </c>
      <c r="BB63" s="102">
        <f t="shared" ref="BB63:BB94" si="75">IF(ISNUMBER(((BA63/AY63)+D$14+$K63)*AY63),((BA63/AY63)+D$14+$K63)*AY63,0)</f>
        <v>0</v>
      </c>
      <c r="BC63" s="101">
        <f t="shared" si="31"/>
        <v>0</v>
      </c>
      <c r="BD63" s="101">
        <f t="shared" si="32"/>
        <v>0</v>
      </c>
      <c r="BE63" s="101">
        <f t="shared" si="33"/>
        <v>0</v>
      </c>
      <c r="BF63" s="103">
        <f t="shared" si="56"/>
        <v>0</v>
      </c>
      <c r="BG63" s="103">
        <f t="shared" si="57"/>
        <v>0</v>
      </c>
      <c r="BH63" s="103">
        <f t="shared" si="58"/>
        <v>0</v>
      </c>
      <c r="BJ63" s="78">
        <f t="shared" si="34"/>
        <v>0</v>
      </c>
      <c r="BK63" s="303" t="e">
        <f t="shared" si="59"/>
        <v>#DIV/0!</v>
      </c>
      <c r="BL63" s="75">
        <f t="shared" ref="BL63:BL94" si="76">BJ63*($B63+F$13)</f>
        <v>0</v>
      </c>
      <c r="BM63" s="102">
        <f t="shared" ref="BM63:BM94" si="77">IF(ISNUMBER(((BL63/BJ63)+F$14+$R63)*BJ63),((BL63/BJ63)+F$14+$R63)*BJ63,0)</f>
        <v>0</v>
      </c>
      <c r="BN63" s="101">
        <f t="shared" si="37"/>
        <v>0</v>
      </c>
      <c r="BO63" s="101">
        <f t="shared" si="38"/>
        <v>0</v>
      </c>
      <c r="BP63" s="101">
        <f t="shared" si="39"/>
        <v>0</v>
      </c>
      <c r="BQ63" s="103">
        <f t="shared" si="60"/>
        <v>0</v>
      </c>
      <c r="BR63" s="103">
        <f t="shared" si="61"/>
        <v>0</v>
      </c>
      <c r="BS63" s="103">
        <f t="shared" si="62"/>
        <v>0</v>
      </c>
      <c r="BU63" s="78">
        <f t="shared" si="40"/>
        <v>0</v>
      </c>
      <c r="BV63" s="303" t="e">
        <f t="shared" si="63"/>
        <v>#DIV/0!</v>
      </c>
      <c r="BW63" s="75">
        <f t="shared" ref="BW63:BW94" si="78">BU63*($B63+H$13)</f>
        <v>0</v>
      </c>
      <c r="BX63" s="102">
        <f t="shared" ref="BX63:BX94" si="79">IF(ISNUMBER(((BW63/BU63)+H$14+$Y63)*BU63),((BW63/BU63)+H$14+$Y63)*BU63,0)</f>
        <v>0</v>
      </c>
      <c r="BY63" s="101">
        <f t="shared" si="43"/>
        <v>0</v>
      </c>
      <c r="BZ63" s="101">
        <f t="shared" si="44"/>
        <v>0</v>
      </c>
      <c r="CA63" s="101">
        <f t="shared" si="45"/>
        <v>0</v>
      </c>
      <c r="CB63" s="103">
        <f t="shared" si="64"/>
        <v>0</v>
      </c>
      <c r="CC63" s="103">
        <f t="shared" si="65"/>
        <v>0</v>
      </c>
      <c r="CD63" s="103">
        <f t="shared" si="66"/>
        <v>0</v>
      </c>
    </row>
    <row r="64" spans="1:82" x14ac:dyDescent="0.25">
      <c r="A64" s="96">
        <f t="shared" si="46"/>
        <v>38292</v>
      </c>
      <c r="B64" s="97">
        <f t="shared" si="47"/>
        <v>3.452</v>
      </c>
      <c r="C64" s="77">
        <f t="shared" si="48"/>
        <v>0.315</v>
      </c>
      <c r="D64" s="97">
        <f t="shared" si="1"/>
        <v>0</v>
      </c>
      <c r="E64" s="100">
        <f t="shared" si="2"/>
        <v>1</v>
      </c>
      <c r="F64" s="99">
        <f t="shared" ca="1" si="3"/>
        <v>1027</v>
      </c>
      <c r="G64" s="77" t="e">
        <f t="shared" si="4"/>
        <v>#DIV/0!</v>
      </c>
      <c r="H64" s="77" t="e">
        <f>IF(B$16=1,_xll.xCalcSkew(A64,I64-AO64,b)/100,0)</f>
        <v>#DIV/0!</v>
      </c>
      <c r="I64" s="98">
        <f t="shared" si="68"/>
        <v>4</v>
      </c>
      <c r="K64" s="97">
        <f t="shared" si="6"/>
        <v>-2.5000000000000001E-2</v>
      </c>
      <c r="L64" s="100">
        <f t="shared" si="7"/>
        <v>1</v>
      </c>
      <c r="M64" s="99">
        <f t="shared" ca="1" si="8"/>
        <v>1028</v>
      </c>
      <c r="N64" s="175" t="e">
        <f t="shared" si="9"/>
        <v>#DIV/0!</v>
      </c>
      <c r="O64" s="77" t="e">
        <f>IF(D$16=1,_xll.xCalcSkew($A64,P64-AZ64,b)/100,0)</f>
        <v>#DIV/0!</v>
      </c>
      <c r="P64" s="98">
        <f t="shared" si="69"/>
        <v>2.5</v>
      </c>
      <c r="R64" s="97">
        <f t="shared" si="11"/>
        <v>-2.5000000000000001E-2</v>
      </c>
      <c r="S64" s="100">
        <f t="shared" si="12"/>
        <v>1</v>
      </c>
      <c r="T64" s="99">
        <f t="shared" ca="1" si="13"/>
        <v>1028</v>
      </c>
      <c r="U64" s="175" t="e">
        <f t="shared" si="14"/>
        <v>#DIV/0!</v>
      </c>
      <c r="V64" s="77" t="e">
        <f>IF(F$16=1,_xll.xCalcSkew($A64,W64-BK64,b)/100,0)</f>
        <v>#DIV/0!</v>
      </c>
      <c r="W64" s="98">
        <f t="shared" si="70"/>
        <v>2.5</v>
      </c>
      <c r="X64" s="99"/>
      <c r="Y64" s="97">
        <f t="shared" si="16"/>
        <v>-2.5000000000000001E-2</v>
      </c>
      <c r="Z64" s="100">
        <f t="shared" si="17"/>
        <v>1</v>
      </c>
      <c r="AA64" s="99">
        <f t="shared" ca="1" si="18"/>
        <v>1028</v>
      </c>
      <c r="AB64" s="77" t="e">
        <f t="shared" si="19"/>
        <v>#DIV/0!</v>
      </c>
      <c r="AC64" s="77" t="e">
        <f>IF(H$16=1,_xll.xCalcSkew($A64,AD64-BV64,b)/100,0)</f>
        <v>#DIV/0!</v>
      </c>
      <c r="AD64" s="98">
        <f t="shared" si="71"/>
        <v>2.4900000000000002</v>
      </c>
      <c r="AF64" s="99">
        <f t="shared" ca="1" si="21"/>
        <v>1028</v>
      </c>
      <c r="AG64" s="99">
        <f t="shared" ca="1" si="22"/>
        <v>1027</v>
      </c>
      <c r="AH64" s="77">
        <f t="shared" si="67"/>
        <v>4.1550342233317203E-2</v>
      </c>
      <c r="AI64" s="154">
        <f t="shared" si="0"/>
        <v>30</v>
      </c>
      <c r="AJ64" s="101"/>
      <c r="AK64" s="101"/>
      <c r="AL64" s="101"/>
      <c r="AM64" s="101"/>
      <c r="AN64" s="78">
        <f t="shared" si="49"/>
        <v>0</v>
      </c>
      <c r="AO64" s="303" t="e">
        <f t="shared" si="50"/>
        <v>#DIV/0!</v>
      </c>
      <c r="AP64" s="75">
        <f t="shared" si="72"/>
        <v>0</v>
      </c>
      <c r="AQ64" s="102">
        <f t="shared" si="73"/>
        <v>0</v>
      </c>
      <c r="AR64" s="101">
        <f t="shared" si="26"/>
        <v>0</v>
      </c>
      <c r="AS64" s="101">
        <f t="shared" si="51"/>
        <v>0</v>
      </c>
      <c r="AT64" s="101">
        <f t="shared" si="27"/>
        <v>0</v>
      </c>
      <c r="AU64" s="103">
        <f t="shared" si="52"/>
        <v>0</v>
      </c>
      <c r="AV64" s="103">
        <f t="shared" si="53"/>
        <v>0</v>
      </c>
      <c r="AW64" s="103">
        <f t="shared" si="54"/>
        <v>0</v>
      </c>
      <c r="AY64" s="78">
        <f t="shared" si="28"/>
        <v>0</v>
      </c>
      <c r="AZ64" s="303" t="e">
        <f t="shared" si="55"/>
        <v>#DIV/0!</v>
      </c>
      <c r="BA64" s="75">
        <f t="shared" si="74"/>
        <v>0</v>
      </c>
      <c r="BB64" s="102">
        <f t="shared" si="75"/>
        <v>0</v>
      </c>
      <c r="BC64" s="101">
        <f t="shared" si="31"/>
        <v>0</v>
      </c>
      <c r="BD64" s="101">
        <f t="shared" si="32"/>
        <v>0</v>
      </c>
      <c r="BE64" s="101">
        <f t="shared" si="33"/>
        <v>0</v>
      </c>
      <c r="BF64" s="103">
        <f t="shared" si="56"/>
        <v>0</v>
      </c>
      <c r="BG64" s="103">
        <f t="shared" si="57"/>
        <v>0</v>
      </c>
      <c r="BH64" s="103">
        <f t="shared" si="58"/>
        <v>0</v>
      </c>
      <c r="BJ64" s="78">
        <f t="shared" si="34"/>
        <v>0</v>
      </c>
      <c r="BK64" s="303" t="e">
        <f t="shared" si="59"/>
        <v>#DIV/0!</v>
      </c>
      <c r="BL64" s="75">
        <f t="shared" si="76"/>
        <v>0</v>
      </c>
      <c r="BM64" s="102">
        <f t="shared" si="77"/>
        <v>0</v>
      </c>
      <c r="BN64" s="101">
        <f t="shared" si="37"/>
        <v>0</v>
      </c>
      <c r="BO64" s="101">
        <f t="shared" si="38"/>
        <v>0</v>
      </c>
      <c r="BP64" s="101">
        <f t="shared" si="39"/>
        <v>0</v>
      </c>
      <c r="BQ64" s="103">
        <f t="shared" si="60"/>
        <v>0</v>
      </c>
      <c r="BR64" s="103">
        <f t="shared" si="61"/>
        <v>0</v>
      </c>
      <c r="BS64" s="103">
        <f t="shared" si="62"/>
        <v>0</v>
      </c>
      <c r="BU64" s="78">
        <f t="shared" si="40"/>
        <v>0</v>
      </c>
      <c r="BV64" s="303" t="e">
        <f t="shared" si="63"/>
        <v>#DIV/0!</v>
      </c>
      <c r="BW64" s="75">
        <f t="shared" si="78"/>
        <v>0</v>
      </c>
      <c r="BX64" s="102">
        <f t="shared" si="79"/>
        <v>0</v>
      </c>
      <c r="BY64" s="101">
        <f t="shared" si="43"/>
        <v>0</v>
      </c>
      <c r="BZ64" s="101">
        <f t="shared" si="44"/>
        <v>0</v>
      </c>
      <c r="CA64" s="101">
        <f t="shared" si="45"/>
        <v>0</v>
      </c>
      <c r="CB64" s="103">
        <f t="shared" si="64"/>
        <v>0</v>
      </c>
      <c r="CC64" s="103">
        <f t="shared" si="65"/>
        <v>0</v>
      </c>
      <c r="CD64" s="103">
        <f t="shared" si="66"/>
        <v>0</v>
      </c>
    </row>
    <row r="65" spans="1:82" x14ac:dyDescent="0.25">
      <c r="A65" s="96">
        <f t="shared" si="46"/>
        <v>38322</v>
      </c>
      <c r="B65" s="97">
        <f t="shared" si="47"/>
        <v>3.5950000000000002</v>
      </c>
      <c r="C65" s="77">
        <f t="shared" si="48"/>
        <v>0.315</v>
      </c>
      <c r="D65" s="97">
        <f t="shared" si="1"/>
        <v>0</v>
      </c>
      <c r="E65" s="100">
        <f t="shared" si="2"/>
        <v>1</v>
      </c>
      <c r="F65" s="99">
        <f t="shared" ca="1" si="3"/>
        <v>1056</v>
      </c>
      <c r="G65" s="77" t="e">
        <f t="shared" si="4"/>
        <v>#DIV/0!</v>
      </c>
      <c r="H65" s="77" t="e">
        <f>IF(B$16=1,_xll.xCalcSkew(A65,I65-AO65,b)/100,0)</f>
        <v>#DIV/0!</v>
      </c>
      <c r="I65" s="98">
        <f t="shared" si="68"/>
        <v>4</v>
      </c>
      <c r="K65" s="97">
        <f t="shared" si="6"/>
        <v>-4.7500000000000001E-2</v>
      </c>
      <c r="L65" s="100">
        <f t="shared" si="7"/>
        <v>1</v>
      </c>
      <c r="M65" s="99">
        <f t="shared" ca="1" si="8"/>
        <v>1058</v>
      </c>
      <c r="N65" s="175" t="e">
        <f t="shared" si="9"/>
        <v>#DIV/0!</v>
      </c>
      <c r="O65" s="77" t="e">
        <f>IF(D$16=1,_xll.xCalcSkew($A65,P65-AZ65,b)/100,0)</f>
        <v>#DIV/0!</v>
      </c>
      <c r="P65" s="98">
        <f t="shared" si="69"/>
        <v>2.5</v>
      </c>
      <c r="R65" s="97">
        <f t="shared" si="11"/>
        <v>-4.7500000000000001E-2</v>
      </c>
      <c r="S65" s="100">
        <f t="shared" si="12"/>
        <v>1</v>
      </c>
      <c r="T65" s="99">
        <f t="shared" ca="1" si="13"/>
        <v>1058</v>
      </c>
      <c r="U65" s="175" t="e">
        <f t="shared" si="14"/>
        <v>#DIV/0!</v>
      </c>
      <c r="V65" s="77" t="e">
        <f>IF(F$16=1,_xll.xCalcSkew($A65,W65-BK65,b)/100,0)</f>
        <v>#DIV/0!</v>
      </c>
      <c r="W65" s="98">
        <f t="shared" si="70"/>
        <v>2.5</v>
      </c>
      <c r="X65" s="99"/>
      <c r="Y65" s="97">
        <f t="shared" si="16"/>
        <v>-4.7500000000000001E-2</v>
      </c>
      <c r="Z65" s="100">
        <f t="shared" si="17"/>
        <v>1</v>
      </c>
      <c r="AA65" s="99">
        <f t="shared" ca="1" si="18"/>
        <v>1058</v>
      </c>
      <c r="AB65" s="77" t="e">
        <f t="shared" si="19"/>
        <v>#DIV/0!</v>
      </c>
      <c r="AC65" s="77" t="e">
        <f>IF(H$16=1,_xll.xCalcSkew($A65,AD65-BV65,b)/100,0)</f>
        <v>#DIV/0!</v>
      </c>
      <c r="AD65" s="98">
        <f t="shared" si="71"/>
        <v>2.4900000000000002</v>
      </c>
      <c r="AF65" s="99">
        <f t="shared" ca="1" si="21"/>
        <v>1058</v>
      </c>
      <c r="AG65" s="99">
        <f t="shared" ca="1" si="22"/>
        <v>1056</v>
      </c>
      <c r="AH65" s="77">
        <f t="shared" si="67"/>
        <v>4.2106693014662501E-2</v>
      </c>
      <c r="AI65" s="154">
        <f t="shared" si="0"/>
        <v>31</v>
      </c>
      <c r="AJ65" s="101"/>
      <c r="AK65" s="101"/>
      <c r="AL65" s="101"/>
      <c r="AM65" s="101"/>
      <c r="AN65" s="78">
        <f t="shared" si="49"/>
        <v>0</v>
      </c>
      <c r="AO65" s="303" t="e">
        <f t="shared" si="50"/>
        <v>#DIV/0!</v>
      </c>
      <c r="AP65" s="75">
        <f t="shared" si="72"/>
        <v>0</v>
      </c>
      <c r="AQ65" s="102">
        <f t="shared" si="73"/>
        <v>0</v>
      </c>
      <c r="AR65" s="101">
        <f t="shared" si="26"/>
        <v>0</v>
      </c>
      <c r="AS65" s="101">
        <f t="shared" si="51"/>
        <v>0</v>
      </c>
      <c r="AT65" s="101">
        <f t="shared" si="27"/>
        <v>0</v>
      </c>
      <c r="AU65" s="103">
        <f t="shared" si="52"/>
        <v>0</v>
      </c>
      <c r="AV65" s="103">
        <f t="shared" si="53"/>
        <v>0</v>
      </c>
      <c r="AW65" s="103">
        <f t="shared" si="54"/>
        <v>0</v>
      </c>
      <c r="AY65" s="78">
        <f t="shared" si="28"/>
        <v>0</v>
      </c>
      <c r="AZ65" s="303" t="e">
        <f t="shared" si="55"/>
        <v>#DIV/0!</v>
      </c>
      <c r="BA65" s="75">
        <f t="shared" si="74"/>
        <v>0</v>
      </c>
      <c r="BB65" s="102">
        <f t="shared" si="75"/>
        <v>0</v>
      </c>
      <c r="BC65" s="101">
        <f t="shared" si="31"/>
        <v>0</v>
      </c>
      <c r="BD65" s="101">
        <f t="shared" si="32"/>
        <v>0</v>
      </c>
      <c r="BE65" s="101">
        <f t="shared" si="33"/>
        <v>0</v>
      </c>
      <c r="BF65" s="103">
        <f t="shared" si="56"/>
        <v>0</v>
      </c>
      <c r="BG65" s="103">
        <f t="shared" si="57"/>
        <v>0</v>
      </c>
      <c r="BH65" s="103">
        <f t="shared" si="58"/>
        <v>0</v>
      </c>
      <c r="BJ65" s="78">
        <f t="shared" si="34"/>
        <v>0</v>
      </c>
      <c r="BK65" s="303" t="e">
        <f t="shared" si="59"/>
        <v>#DIV/0!</v>
      </c>
      <c r="BL65" s="75">
        <f t="shared" si="76"/>
        <v>0</v>
      </c>
      <c r="BM65" s="102">
        <f t="shared" si="77"/>
        <v>0</v>
      </c>
      <c r="BN65" s="101">
        <f t="shared" si="37"/>
        <v>0</v>
      </c>
      <c r="BO65" s="101">
        <f t="shared" si="38"/>
        <v>0</v>
      </c>
      <c r="BP65" s="101">
        <f t="shared" si="39"/>
        <v>0</v>
      </c>
      <c r="BQ65" s="103">
        <f t="shared" si="60"/>
        <v>0</v>
      </c>
      <c r="BR65" s="103">
        <f t="shared" si="61"/>
        <v>0</v>
      </c>
      <c r="BS65" s="103">
        <f t="shared" si="62"/>
        <v>0</v>
      </c>
      <c r="BU65" s="78">
        <f t="shared" si="40"/>
        <v>0</v>
      </c>
      <c r="BV65" s="303" t="e">
        <f t="shared" si="63"/>
        <v>#DIV/0!</v>
      </c>
      <c r="BW65" s="75">
        <f t="shared" si="78"/>
        <v>0</v>
      </c>
      <c r="BX65" s="102">
        <f t="shared" si="79"/>
        <v>0</v>
      </c>
      <c r="BY65" s="101">
        <f t="shared" si="43"/>
        <v>0</v>
      </c>
      <c r="BZ65" s="101">
        <f t="shared" si="44"/>
        <v>0</v>
      </c>
      <c r="CA65" s="101">
        <f t="shared" si="45"/>
        <v>0</v>
      </c>
      <c r="CB65" s="103">
        <f t="shared" si="64"/>
        <v>0</v>
      </c>
      <c r="CC65" s="103">
        <f t="shared" si="65"/>
        <v>0</v>
      </c>
      <c r="CD65" s="103">
        <f t="shared" si="66"/>
        <v>0</v>
      </c>
    </row>
    <row r="66" spans="1:82" x14ac:dyDescent="0.25">
      <c r="A66" s="96">
        <f t="shared" si="46"/>
        <v>38353</v>
      </c>
      <c r="B66" s="97">
        <f t="shared" si="47"/>
        <v>3.6549999999999998</v>
      </c>
      <c r="C66" s="77">
        <f t="shared" si="48"/>
        <v>0.315</v>
      </c>
      <c r="D66" s="97">
        <f t="shared" si="1"/>
        <v>0</v>
      </c>
      <c r="E66" s="100">
        <f t="shared" si="2"/>
        <v>1</v>
      </c>
      <c r="F66" s="99">
        <f t="shared" ca="1" si="3"/>
        <v>1089</v>
      </c>
      <c r="G66" s="77" t="e">
        <f t="shared" si="4"/>
        <v>#DIV/0!</v>
      </c>
      <c r="H66" s="77" t="e">
        <f>IF(B$16=1,_xll.xCalcSkew(A66,I66-AO66,b)/100,0)</f>
        <v>#DIV/0!</v>
      </c>
      <c r="I66" s="98">
        <f t="shared" si="68"/>
        <v>4</v>
      </c>
      <c r="K66" s="97">
        <f t="shared" si="6"/>
        <v>-0.05</v>
      </c>
      <c r="L66" s="100">
        <f t="shared" si="7"/>
        <v>1</v>
      </c>
      <c r="M66" s="99">
        <f t="shared" ca="1" si="8"/>
        <v>1090</v>
      </c>
      <c r="N66" s="175" t="e">
        <f t="shared" si="9"/>
        <v>#DIV/0!</v>
      </c>
      <c r="O66" s="77" t="e">
        <f>IF(D$16=1,_xll.xCalcSkew($A66,P66-AZ66,b)/100,0)</f>
        <v>#DIV/0!</v>
      </c>
      <c r="P66" s="98">
        <f t="shared" si="69"/>
        <v>2.5</v>
      </c>
      <c r="R66" s="97">
        <f t="shared" si="11"/>
        <v>-0.05</v>
      </c>
      <c r="S66" s="100">
        <f t="shared" si="12"/>
        <v>1</v>
      </c>
      <c r="T66" s="99">
        <f t="shared" ca="1" si="13"/>
        <v>1090</v>
      </c>
      <c r="U66" s="175" t="e">
        <f t="shared" si="14"/>
        <v>#DIV/0!</v>
      </c>
      <c r="V66" s="77" t="e">
        <f>IF(F$16=1,_xll.xCalcSkew($A66,W66-BK66,b)/100,0)</f>
        <v>#DIV/0!</v>
      </c>
      <c r="W66" s="98">
        <f t="shared" si="70"/>
        <v>2.5</v>
      </c>
      <c r="X66" s="99"/>
      <c r="Y66" s="97">
        <f t="shared" si="16"/>
        <v>-0.05</v>
      </c>
      <c r="Z66" s="100">
        <f t="shared" si="17"/>
        <v>1</v>
      </c>
      <c r="AA66" s="99">
        <f t="shared" ca="1" si="18"/>
        <v>1090</v>
      </c>
      <c r="AB66" s="77" t="e">
        <f t="shared" si="19"/>
        <v>#DIV/0!</v>
      </c>
      <c r="AC66" s="77" t="e">
        <f>IF(H$16=1,_xll.xCalcSkew($A66,AD66-BV66,b)/100,0)</f>
        <v>#DIV/0!</v>
      </c>
      <c r="AD66" s="98">
        <f t="shared" si="71"/>
        <v>2.4900000000000002</v>
      </c>
      <c r="AF66" s="99">
        <f t="shared" ca="1" si="21"/>
        <v>1090</v>
      </c>
      <c r="AG66" s="99">
        <f t="shared" ca="1" si="22"/>
        <v>1089</v>
      </c>
      <c r="AH66" s="77">
        <f t="shared" si="67"/>
        <v>4.26576899474638E-2</v>
      </c>
      <c r="AI66" s="154">
        <f t="shared" si="0"/>
        <v>31</v>
      </c>
      <c r="AJ66" s="101"/>
      <c r="AK66" s="101"/>
      <c r="AL66" s="101"/>
      <c r="AM66" s="101"/>
      <c r="AN66" s="78">
        <f t="shared" si="49"/>
        <v>0</v>
      </c>
      <c r="AO66" s="303" t="e">
        <f t="shared" si="50"/>
        <v>#DIV/0!</v>
      </c>
      <c r="AP66" s="75">
        <f t="shared" si="72"/>
        <v>0</v>
      </c>
      <c r="AQ66" s="102">
        <f t="shared" si="73"/>
        <v>0</v>
      </c>
      <c r="AR66" s="101">
        <f t="shared" si="26"/>
        <v>0</v>
      </c>
      <c r="AS66" s="101">
        <f t="shared" si="51"/>
        <v>0</v>
      </c>
      <c r="AT66" s="101">
        <f t="shared" si="27"/>
        <v>0</v>
      </c>
      <c r="AU66" s="103">
        <f t="shared" si="52"/>
        <v>0</v>
      </c>
      <c r="AV66" s="103">
        <f t="shared" si="53"/>
        <v>0</v>
      </c>
      <c r="AW66" s="103">
        <f t="shared" si="54"/>
        <v>0</v>
      </c>
      <c r="AY66" s="78">
        <f t="shared" si="28"/>
        <v>0</v>
      </c>
      <c r="AZ66" s="303" t="e">
        <f t="shared" si="55"/>
        <v>#DIV/0!</v>
      </c>
      <c r="BA66" s="75">
        <f t="shared" si="74"/>
        <v>0</v>
      </c>
      <c r="BB66" s="102">
        <f t="shared" si="75"/>
        <v>0</v>
      </c>
      <c r="BC66" s="101">
        <f t="shared" si="31"/>
        <v>0</v>
      </c>
      <c r="BD66" s="101">
        <f t="shared" si="32"/>
        <v>0</v>
      </c>
      <c r="BE66" s="101">
        <f t="shared" si="33"/>
        <v>0</v>
      </c>
      <c r="BF66" s="103">
        <f t="shared" si="56"/>
        <v>0</v>
      </c>
      <c r="BG66" s="103">
        <f t="shared" si="57"/>
        <v>0</v>
      </c>
      <c r="BH66" s="103">
        <f t="shared" si="58"/>
        <v>0</v>
      </c>
      <c r="BJ66" s="78">
        <f t="shared" si="34"/>
        <v>0</v>
      </c>
      <c r="BK66" s="303" t="e">
        <f t="shared" si="59"/>
        <v>#DIV/0!</v>
      </c>
      <c r="BL66" s="75">
        <f t="shared" si="76"/>
        <v>0</v>
      </c>
      <c r="BM66" s="102">
        <f t="shared" si="77"/>
        <v>0</v>
      </c>
      <c r="BN66" s="101">
        <f t="shared" si="37"/>
        <v>0</v>
      </c>
      <c r="BO66" s="101">
        <f t="shared" si="38"/>
        <v>0</v>
      </c>
      <c r="BP66" s="101">
        <f t="shared" si="39"/>
        <v>0</v>
      </c>
      <c r="BQ66" s="103">
        <f t="shared" si="60"/>
        <v>0</v>
      </c>
      <c r="BR66" s="103">
        <f t="shared" si="61"/>
        <v>0</v>
      </c>
      <c r="BS66" s="103">
        <f t="shared" si="62"/>
        <v>0</v>
      </c>
      <c r="BU66" s="78">
        <f t="shared" si="40"/>
        <v>0</v>
      </c>
      <c r="BV66" s="303" t="e">
        <f t="shared" si="63"/>
        <v>#DIV/0!</v>
      </c>
      <c r="BW66" s="75">
        <f t="shared" si="78"/>
        <v>0</v>
      </c>
      <c r="BX66" s="102">
        <f t="shared" si="79"/>
        <v>0</v>
      </c>
      <c r="BY66" s="101">
        <f t="shared" si="43"/>
        <v>0</v>
      </c>
      <c r="BZ66" s="101">
        <f t="shared" si="44"/>
        <v>0</v>
      </c>
      <c r="CA66" s="101">
        <f t="shared" si="45"/>
        <v>0</v>
      </c>
      <c r="CB66" s="103">
        <f t="shared" si="64"/>
        <v>0</v>
      </c>
      <c r="CC66" s="103">
        <f t="shared" si="65"/>
        <v>0</v>
      </c>
      <c r="CD66" s="103">
        <f t="shared" si="66"/>
        <v>0</v>
      </c>
    </row>
    <row r="67" spans="1:82" x14ac:dyDescent="0.25">
      <c r="A67" s="96">
        <f t="shared" si="46"/>
        <v>38384</v>
      </c>
      <c r="B67" s="97">
        <f t="shared" si="47"/>
        <v>3.57</v>
      </c>
      <c r="C67" s="77">
        <f t="shared" si="48"/>
        <v>0.3125</v>
      </c>
      <c r="D67" s="97">
        <f t="shared" si="1"/>
        <v>0</v>
      </c>
      <c r="E67" s="100">
        <f t="shared" si="2"/>
        <v>1</v>
      </c>
      <c r="F67" s="99">
        <f t="shared" ca="1" si="3"/>
        <v>1119</v>
      </c>
      <c r="G67" s="77" t="e">
        <f t="shared" si="4"/>
        <v>#DIV/0!</v>
      </c>
      <c r="H67" s="77" t="e">
        <f>IF(B$16=1,_xll.xCalcSkew(A67,I67-AO67,b)/100,0)</f>
        <v>#DIV/0!</v>
      </c>
      <c r="I67" s="98">
        <f t="shared" si="68"/>
        <v>4</v>
      </c>
      <c r="K67" s="97">
        <f t="shared" si="6"/>
        <v>-3.2500000000000001E-2</v>
      </c>
      <c r="L67" s="100">
        <f t="shared" si="7"/>
        <v>1</v>
      </c>
      <c r="M67" s="99">
        <f t="shared" ca="1" si="8"/>
        <v>1120</v>
      </c>
      <c r="N67" s="175" t="e">
        <f t="shared" si="9"/>
        <v>#DIV/0!</v>
      </c>
      <c r="O67" s="77" t="e">
        <f>IF(D$16=1,_xll.xCalcSkew($A67,P67-AZ67,b)/100,0)</f>
        <v>#DIV/0!</v>
      </c>
      <c r="P67" s="98">
        <f t="shared" si="69"/>
        <v>2.5</v>
      </c>
      <c r="R67" s="97">
        <f t="shared" si="11"/>
        <v>-3.2500000000000001E-2</v>
      </c>
      <c r="S67" s="100">
        <f t="shared" si="12"/>
        <v>1</v>
      </c>
      <c r="T67" s="99">
        <f t="shared" ca="1" si="13"/>
        <v>1120</v>
      </c>
      <c r="U67" s="175" t="e">
        <f t="shared" si="14"/>
        <v>#DIV/0!</v>
      </c>
      <c r="V67" s="77" t="e">
        <f>IF(F$16=1,_xll.xCalcSkew($A67,W67-BK67,b)/100,0)</f>
        <v>#DIV/0!</v>
      </c>
      <c r="W67" s="98">
        <f t="shared" si="70"/>
        <v>2.5</v>
      </c>
      <c r="X67" s="99"/>
      <c r="Y67" s="97">
        <f t="shared" si="16"/>
        <v>-3.2500000000000001E-2</v>
      </c>
      <c r="Z67" s="100">
        <f t="shared" si="17"/>
        <v>1</v>
      </c>
      <c r="AA67" s="99">
        <f t="shared" ca="1" si="18"/>
        <v>1120</v>
      </c>
      <c r="AB67" s="77" t="e">
        <f t="shared" si="19"/>
        <v>#DIV/0!</v>
      </c>
      <c r="AC67" s="77" t="e">
        <f>IF(H$16=1,_xll.xCalcSkew($A67,AD67-BV67,b)/100,0)</f>
        <v>#DIV/0!</v>
      </c>
      <c r="AD67" s="98">
        <f t="shared" si="71"/>
        <v>2.4900000000000002</v>
      </c>
      <c r="AF67" s="99">
        <f t="shared" ca="1" si="21"/>
        <v>1120</v>
      </c>
      <c r="AG67" s="99">
        <f t="shared" ca="1" si="22"/>
        <v>1119</v>
      </c>
      <c r="AH67" s="77">
        <f t="shared" si="67"/>
        <v>4.3189005462617398E-2</v>
      </c>
      <c r="AI67" s="154">
        <f t="shared" si="0"/>
        <v>28</v>
      </c>
      <c r="AJ67" s="101"/>
      <c r="AK67" s="101"/>
      <c r="AL67" s="101"/>
      <c r="AM67" s="101"/>
      <c r="AN67" s="78">
        <f t="shared" si="49"/>
        <v>0</v>
      </c>
      <c r="AO67" s="303" t="e">
        <f t="shared" si="50"/>
        <v>#DIV/0!</v>
      </c>
      <c r="AP67" s="75">
        <f t="shared" si="72"/>
        <v>0</v>
      </c>
      <c r="AQ67" s="102">
        <f t="shared" si="73"/>
        <v>0</v>
      </c>
      <c r="AR67" s="101">
        <f t="shared" si="26"/>
        <v>0</v>
      </c>
      <c r="AS67" s="101">
        <f t="shared" si="51"/>
        <v>0</v>
      </c>
      <c r="AT67" s="101">
        <f t="shared" si="27"/>
        <v>0</v>
      </c>
      <c r="AU67" s="103">
        <f t="shared" si="52"/>
        <v>0</v>
      </c>
      <c r="AV67" s="103">
        <f t="shared" si="53"/>
        <v>0</v>
      </c>
      <c r="AW67" s="103">
        <f t="shared" si="54"/>
        <v>0</v>
      </c>
      <c r="AY67" s="78">
        <f t="shared" si="28"/>
        <v>0</v>
      </c>
      <c r="AZ67" s="303" t="e">
        <f t="shared" si="55"/>
        <v>#DIV/0!</v>
      </c>
      <c r="BA67" s="75">
        <f t="shared" si="74"/>
        <v>0</v>
      </c>
      <c r="BB67" s="102">
        <f t="shared" si="75"/>
        <v>0</v>
      </c>
      <c r="BC67" s="101">
        <f t="shared" si="31"/>
        <v>0</v>
      </c>
      <c r="BD67" s="101">
        <f t="shared" si="32"/>
        <v>0</v>
      </c>
      <c r="BE67" s="101">
        <f t="shared" si="33"/>
        <v>0</v>
      </c>
      <c r="BF67" s="103">
        <f t="shared" si="56"/>
        <v>0</v>
      </c>
      <c r="BG67" s="103">
        <f t="shared" si="57"/>
        <v>0</v>
      </c>
      <c r="BH67" s="103">
        <f t="shared" si="58"/>
        <v>0</v>
      </c>
      <c r="BJ67" s="78">
        <f t="shared" si="34"/>
        <v>0</v>
      </c>
      <c r="BK67" s="303" t="e">
        <f t="shared" si="59"/>
        <v>#DIV/0!</v>
      </c>
      <c r="BL67" s="75">
        <f t="shared" si="76"/>
        <v>0</v>
      </c>
      <c r="BM67" s="102">
        <f t="shared" si="77"/>
        <v>0</v>
      </c>
      <c r="BN67" s="101">
        <f t="shared" si="37"/>
        <v>0</v>
      </c>
      <c r="BO67" s="101">
        <f t="shared" si="38"/>
        <v>0</v>
      </c>
      <c r="BP67" s="101">
        <f t="shared" si="39"/>
        <v>0</v>
      </c>
      <c r="BQ67" s="103">
        <f t="shared" si="60"/>
        <v>0</v>
      </c>
      <c r="BR67" s="103">
        <f t="shared" si="61"/>
        <v>0</v>
      </c>
      <c r="BS67" s="103">
        <f t="shared" si="62"/>
        <v>0</v>
      </c>
      <c r="BU67" s="78">
        <f t="shared" si="40"/>
        <v>0</v>
      </c>
      <c r="BV67" s="303" t="e">
        <f t="shared" si="63"/>
        <v>#DIV/0!</v>
      </c>
      <c r="BW67" s="75">
        <f t="shared" si="78"/>
        <v>0</v>
      </c>
      <c r="BX67" s="102">
        <f t="shared" si="79"/>
        <v>0</v>
      </c>
      <c r="BY67" s="101">
        <f t="shared" si="43"/>
        <v>0</v>
      </c>
      <c r="BZ67" s="101">
        <f t="shared" si="44"/>
        <v>0</v>
      </c>
      <c r="CA67" s="101">
        <f t="shared" si="45"/>
        <v>0</v>
      </c>
      <c r="CB67" s="103">
        <f t="shared" si="64"/>
        <v>0</v>
      </c>
      <c r="CC67" s="103">
        <f t="shared" si="65"/>
        <v>0</v>
      </c>
      <c r="CD67" s="103">
        <f t="shared" si="66"/>
        <v>0</v>
      </c>
    </row>
    <row r="68" spans="1:82" x14ac:dyDescent="0.25">
      <c r="A68" s="96">
        <f t="shared" si="46"/>
        <v>38412</v>
      </c>
      <c r="B68" s="97">
        <f t="shared" si="47"/>
        <v>3.44</v>
      </c>
      <c r="C68" s="77">
        <f t="shared" si="48"/>
        <v>0.30249999999999999</v>
      </c>
      <c r="D68" s="97">
        <f t="shared" si="1"/>
        <v>0</v>
      </c>
      <c r="E68" s="100">
        <f t="shared" si="2"/>
        <v>1</v>
      </c>
      <c r="F68" s="99">
        <f t="shared" ca="1" si="3"/>
        <v>1147</v>
      </c>
      <c r="G68" s="77" t="e">
        <f t="shared" si="4"/>
        <v>#DIV/0!</v>
      </c>
      <c r="H68" s="77" t="e">
        <f>IF(B$16=1,_xll.xCalcSkew(A68,I68-AO68,b)/100,0)</f>
        <v>#DIV/0!</v>
      </c>
      <c r="I68" s="98">
        <f t="shared" si="68"/>
        <v>4</v>
      </c>
      <c r="K68" s="97">
        <f t="shared" si="6"/>
        <v>-0.02</v>
      </c>
      <c r="L68" s="100">
        <f t="shared" si="7"/>
        <v>1</v>
      </c>
      <c r="M68" s="99">
        <f t="shared" ca="1" si="8"/>
        <v>1148</v>
      </c>
      <c r="N68" s="175" t="e">
        <f t="shared" si="9"/>
        <v>#DIV/0!</v>
      </c>
      <c r="O68" s="77" t="e">
        <f>IF(D$16=1,_xll.xCalcSkew($A68,P68-AZ68,b)/100,0)</f>
        <v>#DIV/0!</v>
      </c>
      <c r="P68" s="98">
        <f t="shared" si="69"/>
        <v>2.5</v>
      </c>
      <c r="R68" s="97">
        <f t="shared" si="11"/>
        <v>-0.02</v>
      </c>
      <c r="S68" s="100">
        <f t="shared" si="12"/>
        <v>1</v>
      </c>
      <c r="T68" s="99">
        <f t="shared" ca="1" si="13"/>
        <v>1148</v>
      </c>
      <c r="U68" s="175" t="e">
        <f t="shared" si="14"/>
        <v>#DIV/0!</v>
      </c>
      <c r="V68" s="77" t="e">
        <f>IF(F$16=1,_xll.xCalcSkew($A68,W68-BK68,b)/100,0)</f>
        <v>#DIV/0!</v>
      </c>
      <c r="W68" s="98">
        <f t="shared" si="70"/>
        <v>2.5</v>
      </c>
      <c r="X68" s="99"/>
      <c r="Y68" s="97">
        <f t="shared" si="16"/>
        <v>-0.02</v>
      </c>
      <c r="Z68" s="100">
        <f t="shared" si="17"/>
        <v>1</v>
      </c>
      <c r="AA68" s="99">
        <f t="shared" ca="1" si="18"/>
        <v>1148</v>
      </c>
      <c r="AB68" s="77" t="e">
        <f t="shared" si="19"/>
        <v>#DIV/0!</v>
      </c>
      <c r="AC68" s="77" t="e">
        <f>IF(H$16=1,_xll.xCalcSkew($A68,AD68-BV68,b)/100,0)</f>
        <v>#DIV/0!</v>
      </c>
      <c r="AD68" s="98">
        <f t="shared" si="71"/>
        <v>2.4900000000000002</v>
      </c>
      <c r="AF68" s="99">
        <f t="shared" ca="1" si="21"/>
        <v>1148</v>
      </c>
      <c r="AG68" s="99">
        <f t="shared" ca="1" si="22"/>
        <v>1147</v>
      </c>
      <c r="AH68" s="77">
        <f t="shared" si="67"/>
        <v>4.3668903428556699E-2</v>
      </c>
      <c r="AI68" s="154">
        <f t="shared" si="0"/>
        <v>31</v>
      </c>
      <c r="AJ68" s="101"/>
      <c r="AK68" s="101"/>
      <c r="AL68" s="101"/>
      <c r="AM68" s="101"/>
      <c r="AN68" s="78">
        <f t="shared" si="49"/>
        <v>0</v>
      </c>
      <c r="AO68" s="303" t="e">
        <f t="shared" si="50"/>
        <v>#DIV/0!</v>
      </c>
      <c r="AP68" s="75">
        <f t="shared" si="72"/>
        <v>0</v>
      </c>
      <c r="AQ68" s="102">
        <f t="shared" si="73"/>
        <v>0</v>
      </c>
      <c r="AR68" s="101">
        <f t="shared" si="26"/>
        <v>0</v>
      </c>
      <c r="AS68" s="101">
        <f t="shared" si="51"/>
        <v>0</v>
      </c>
      <c r="AT68" s="101">
        <f t="shared" si="27"/>
        <v>0</v>
      </c>
      <c r="AU68" s="103">
        <f t="shared" si="52"/>
        <v>0</v>
      </c>
      <c r="AV68" s="103">
        <f t="shared" si="53"/>
        <v>0</v>
      </c>
      <c r="AW68" s="103">
        <f t="shared" si="54"/>
        <v>0</v>
      </c>
      <c r="AY68" s="78">
        <f t="shared" si="28"/>
        <v>0</v>
      </c>
      <c r="AZ68" s="303" t="e">
        <f t="shared" si="55"/>
        <v>#DIV/0!</v>
      </c>
      <c r="BA68" s="75">
        <f t="shared" si="74"/>
        <v>0</v>
      </c>
      <c r="BB68" s="102">
        <f t="shared" si="75"/>
        <v>0</v>
      </c>
      <c r="BC68" s="101">
        <f t="shared" si="31"/>
        <v>0</v>
      </c>
      <c r="BD68" s="101">
        <f t="shared" si="32"/>
        <v>0</v>
      </c>
      <c r="BE68" s="101">
        <f t="shared" si="33"/>
        <v>0</v>
      </c>
      <c r="BF68" s="103">
        <f t="shared" si="56"/>
        <v>0</v>
      </c>
      <c r="BG68" s="103">
        <f t="shared" si="57"/>
        <v>0</v>
      </c>
      <c r="BH68" s="103">
        <f t="shared" si="58"/>
        <v>0</v>
      </c>
      <c r="BJ68" s="78">
        <f t="shared" si="34"/>
        <v>0</v>
      </c>
      <c r="BK68" s="303" t="e">
        <f t="shared" si="59"/>
        <v>#DIV/0!</v>
      </c>
      <c r="BL68" s="75">
        <f t="shared" si="76"/>
        <v>0</v>
      </c>
      <c r="BM68" s="102">
        <f t="shared" si="77"/>
        <v>0</v>
      </c>
      <c r="BN68" s="101">
        <f t="shared" si="37"/>
        <v>0</v>
      </c>
      <c r="BO68" s="101">
        <f t="shared" si="38"/>
        <v>0</v>
      </c>
      <c r="BP68" s="101">
        <f t="shared" si="39"/>
        <v>0</v>
      </c>
      <c r="BQ68" s="103">
        <f t="shared" si="60"/>
        <v>0</v>
      </c>
      <c r="BR68" s="103">
        <f t="shared" si="61"/>
        <v>0</v>
      </c>
      <c r="BS68" s="103">
        <f t="shared" si="62"/>
        <v>0</v>
      </c>
      <c r="BU68" s="78">
        <f t="shared" si="40"/>
        <v>0</v>
      </c>
      <c r="BV68" s="303" t="e">
        <f t="shared" si="63"/>
        <v>#DIV/0!</v>
      </c>
      <c r="BW68" s="75">
        <f t="shared" si="78"/>
        <v>0</v>
      </c>
      <c r="BX68" s="102">
        <f t="shared" si="79"/>
        <v>0</v>
      </c>
      <c r="BY68" s="101">
        <f t="shared" si="43"/>
        <v>0</v>
      </c>
      <c r="BZ68" s="101">
        <f t="shared" si="44"/>
        <v>0</v>
      </c>
      <c r="CA68" s="101">
        <f t="shared" si="45"/>
        <v>0</v>
      </c>
      <c r="CB68" s="103">
        <f t="shared" si="64"/>
        <v>0</v>
      </c>
      <c r="CC68" s="103">
        <f t="shared" si="65"/>
        <v>0</v>
      </c>
      <c r="CD68" s="103">
        <f t="shared" si="66"/>
        <v>0</v>
      </c>
    </row>
    <row r="69" spans="1:82" x14ac:dyDescent="0.25">
      <c r="A69" s="96">
        <f t="shared" si="46"/>
        <v>38443</v>
      </c>
      <c r="B69" s="97">
        <f t="shared" si="47"/>
        <v>3.2549999999999999</v>
      </c>
      <c r="C69" s="77">
        <f t="shared" si="48"/>
        <v>0.29249999999999998</v>
      </c>
      <c r="D69" s="97">
        <f t="shared" si="1"/>
        <v>0</v>
      </c>
      <c r="E69" s="100">
        <f t="shared" si="2"/>
        <v>1</v>
      </c>
      <c r="F69" s="99">
        <f t="shared" ca="1" si="3"/>
        <v>1180</v>
      </c>
      <c r="G69" s="77" t="e">
        <f t="shared" si="4"/>
        <v>#DIV/0!</v>
      </c>
      <c r="H69" s="77" t="e">
        <f>IF(B$16=1,_xll.xCalcSkew(A69,I69-AO69,b)/100,0)</f>
        <v>#DIV/0!</v>
      </c>
      <c r="I69" s="98">
        <f t="shared" si="68"/>
        <v>4</v>
      </c>
      <c r="K69" s="97">
        <f t="shared" si="6"/>
        <v>1.7500000000000002E-2</v>
      </c>
      <c r="L69" s="100">
        <f t="shared" si="7"/>
        <v>1</v>
      </c>
      <c r="M69" s="99">
        <f t="shared" ca="1" si="8"/>
        <v>1181</v>
      </c>
      <c r="N69" s="175" t="e">
        <f t="shared" si="9"/>
        <v>#DIV/0!</v>
      </c>
      <c r="O69" s="77" t="e">
        <f>IF(D$16=1,_xll.xCalcSkew($A69,P69-AZ69,b)/100,0)</f>
        <v>#DIV/0!</v>
      </c>
      <c r="P69" s="98">
        <f t="shared" si="69"/>
        <v>2.5</v>
      </c>
      <c r="R69" s="97">
        <f t="shared" si="11"/>
        <v>1.7500000000000002E-2</v>
      </c>
      <c r="S69" s="100">
        <f t="shared" si="12"/>
        <v>1</v>
      </c>
      <c r="T69" s="99">
        <f t="shared" ca="1" si="13"/>
        <v>1181</v>
      </c>
      <c r="U69" s="175" t="e">
        <f t="shared" si="14"/>
        <v>#DIV/0!</v>
      </c>
      <c r="V69" s="77" t="e">
        <f>IF(F$16=1,_xll.xCalcSkew($A69,W69-BK69,b)/100,0)</f>
        <v>#DIV/0!</v>
      </c>
      <c r="W69" s="98">
        <f t="shared" si="70"/>
        <v>2.5</v>
      </c>
      <c r="X69" s="99"/>
      <c r="Y69" s="97">
        <f t="shared" si="16"/>
        <v>1.7500000000000002E-2</v>
      </c>
      <c r="Z69" s="100">
        <f t="shared" si="17"/>
        <v>1</v>
      </c>
      <c r="AA69" s="99">
        <f t="shared" ca="1" si="18"/>
        <v>1181</v>
      </c>
      <c r="AB69" s="77" t="e">
        <f t="shared" si="19"/>
        <v>#DIV/0!</v>
      </c>
      <c r="AC69" s="77" t="e">
        <f>IF(H$16=1,_xll.xCalcSkew($A69,AD69-BV69,b)/100,0)</f>
        <v>#DIV/0!</v>
      </c>
      <c r="AD69" s="98">
        <f t="shared" si="71"/>
        <v>2.4900000000000002</v>
      </c>
      <c r="AF69" s="99">
        <f t="shared" ca="1" si="21"/>
        <v>1181</v>
      </c>
      <c r="AG69" s="99">
        <f t="shared" ca="1" si="22"/>
        <v>1180</v>
      </c>
      <c r="AH69" s="77">
        <f t="shared" si="67"/>
        <v>4.4162985915453798E-2</v>
      </c>
      <c r="AI69" s="154">
        <f t="shared" si="0"/>
        <v>30</v>
      </c>
      <c r="AJ69" s="101"/>
      <c r="AK69" s="101"/>
      <c r="AL69" s="101"/>
      <c r="AM69" s="101"/>
      <c r="AN69" s="78">
        <f t="shared" si="49"/>
        <v>0</v>
      </c>
      <c r="AO69" s="303" t="e">
        <f t="shared" si="50"/>
        <v>#DIV/0!</v>
      </c>
      <c r="AP69" s="75">
        <f t="shared" si="72"/>
        <v>0</v>
      </c>
      <c r="AQ69" s="102">
        <f t="shared" si="73"/>
        <v>0</v>
      </c>
      <c r="AR69" s="101">
        <f t="shared" si="26"/>
        <v>0</v>
      </c>
      <c r="AS69" s="101">
        <f t="shared" si="51"/>
        <v>0</v>
      </c>
      <c r="AT69" s="101">
        <f t="shared" si="27"/>
        <v>0</v>
      </c>
      <c r="AU69" s="103">
        <f t="shared" si="52"/>
        <v>0</v>
      </c>
      <c r="AV69" s="103">
        <f t="shared" si="53"/>
        <v>0</v>
      </c>
      <c r="AW69" s="103">
        <f t="shared" si="54"/>
        <v>0</v>
      </c>
      <c r="AY69" s="78">
        <f t="shared" si="28"/>
        <v>0</v>
      </c>
      <c r="AZ69" s="303" t="e">
        <f t="shared" si="55"/>
        <v>#DIV/0!</v>
      </c>
      <c r="BA69" s="75">
        <f t="shared" si="74"/>
        <v>0</v>
      </c>
      <c r="BB69" s="102">
        <f t="shared" si="75"/>
        <v>0</v>
      </c>
      <c r="BC69" s="101">
        <f t="shared" si="31"/>
        <v>0</v>
      </c>
      <c r="BD69" s="101">
        <f t="shared" si="32"/>
        <v>0</v>
      </c>
      <c r="BE69" s="101">
        <f t="shared" si="33"/>
        <v>0</v>
      </c>
      <c r="BF69" s="103">
        <f t="shared" si="56"/>
        <v>0</v>
      </c>
      <c r="BG69" s="103">
        <f t="shared" si="57"/>
        <v>0</v>
      </c>
      <c r="BH69" s="103">
        <f t="shared" si="58"/>
        <v>0</v>
      </c>
      <c r="BJ69" s="78">
        <f t="shared" si="34"/>
        <v>0</v>
      </c>
      <c r="BK69" s="303" t="e">
        <f t="shared" si="59"/>
        <v>#DIV/0!</v>
      </c>
      <c r="BL69" s="75">
        <f t="shared" si="76"/>
        <v>0</v>
      </c>
      <c r="BM69" s="102">
        <f t="shared" si="77"/>
        <v>0</v>
      </c>
      <c r="BN69" s="101">
        <f t="shared" si="37"/>
        <v>0</v>
      </c>
      <c r="BO69" s="101">
        <f t="shared" si="38"/>
        <v>0</v>
      </c>
      <c r="BP69" s="101">
        <f t="shared" si="39"/>
        <v>0</v>
      </c>
      <c r="BQ69" s="103">
        <f t="shared" si="60"/>
        <v>0</v>
      </c>
      <c r="BR69" s="103">
        <f t="shared" si="61"/>
        <v>0</v>
      </c>
      <c r="BS69" s="103">
        <f t="shared" si="62"/>
        <v>0</v>
      </c>
      <c r="BU69" s="78">
        <f t="shared" si="40"/>
        <v>0</v>
      </c>
      <c r="BV69" s="303" t="e">
        <f t="shared" si="63"/>
        <v>#DIV/0!</v>
      </c>
      <c r="BW69" s="75">
        <f t="shared" si="78"/>
        <v>0</v>
      </c>
      <c r="BX69" s="102">
        <f t="shared" si="79"/>
        <v>0</v>
      </c>
      <c r="BY69" s="101">
        <f t="shared" si="43"/>
        <v>0</v>
      </c>
      <c r="BZ69" s="101">
        <f t="shared" si="44"/>
        <v>0</v>
      </c>
      <c r="CA69" s="101">
        <f t="shared" si="45"/>
        <v>0</v>
      </c>
      <c r="CB69" s="103">
        <f t="shared" si="64"/>
        <v>0</v>
      </c>
      <c r="CC69" s="103">
        <f t="shared" si="65"/>
        <v>0</v>
      </c>
      <c r="CD69" s="103">
        <f t="shared" si="66"/>
        <v>0</v>
      </c>
    </row>
    <row r="70" spans="1:82" x14ac:dyDescent="0.25">
      <c r="A70" s="96">
        <f t="shared" si="46"/>
        <v>38473</v>
      </c>
      <c r="B70" s="97">
        <f t="shared" si="47"/>
        <v>3.25</v>
      </c>
      <c r="C70" s="77">
        <f t="shared" si="48"/>
        <v>0.28499999999999998</v>
      </c>
      <c r="D70" s="97">
        <f t="shared" si="1"/>
        <v>0</v>
      </c>
      <c r="E70" s="100">
        <f t="shared" si="2"/>
        <v>1</v>
      </c>
      <c r="F70" s="99">
        <f t="shared" ca="1" si="3"/>
        <v>1209</v>
      </c>
      <c r="G70" s="77" t="e">
        <f t="shared" si="4"/>
        <v>#DIV/0!</v>
      </c>
      <c r="H70" s="77" t="e">
        <f>IF(B$16=1,_xll.xCalcSkew(A70,I70-AO70,b)/100,0)</f>
        <v>#DIV/0!</v>
      </c>
      <c r="I70" s="98">
        <f t="shared" si="68"/>
        <v>4</v>
      </c>
      <c r="K70" s="97">
        <f t="shared" si="6"/>
        <v>1.7500000000000002E-2</v>
      </c>
      <c r="L70" s="100">
        <f t="shared" si="7"/>
        <v>1</v>
      </c>
      <c r="M70" s="99">
        <f t="shared" ca="1" si="8"/>
        <v>1210</v>
      </c>
      <c r="N70" s="175" t="e">
        <f t="shared" si="9"/>
        <v>#DIV/0!</v>
      </c>
      <c r="O70" s="77" t="e">
        <f>IF(D$16=1,_xll.xCalcSkew($A70,P70-AZ70,b)/100,0)</f>
        <v>#DIV/0!</v>
      </c>
      <c r="P70" s="98">
        <f t="shared" si="69"/>
        <v>2.5</v>
      </c>
      <c r="R70" s="97">
        <f t="shared" si="11"/>
        <v>1.7500000000000002E-2</v>
      </c>
      <c r="S70" s="100">
        <f t="shared" si="12"/>
        <v>1</v>
      </c>
      <c r="T70" s="99">
        <f t="shared" ca="1" si="13"/>
        <v>1210</v>
      </c>
      <c r="U70" s="175" t="e">
        <f t="shared" si="14"/>
        <v>#DIV/0!</v>
      </c>
      <c r="V70" s="77" t="e">
        <f>IF(F$16=1,_xll.xCalcSkew($A70,W70-BK70,b)/100,0)</f>
        <v>#DIV/0!</v>
      </c>
      <c r="W70" s="98">
        <f t="shared" si="70"/>
        <v>2.5</v>
      </c>
      <c r="X70" s="99"/>
      <c r="Y70" s="97">
        <f t="shared" si="16"/>
        <v>1.7500000000000002E-2</v>
      </c>
      <c r="Z70" s="100">
        <f t="shared" si="17"/>
        <v>1</v>
      </c>
      <c r="AA70" s="99">
        <f t="shared" ca="1" si="18"/>
        <v>1210</v>
      </c>
      <c r="AB70" s="77" t="e">
        <f t="shared" si="19"/>
        <v>#DIV/0!</v>
      </c>
      <c r="AC70" s="77" t="e">
        <f>IF(H$16=1,_xll.xCalcSkew($A70,AD70-BV70,b)/100,0)</f>
        <v>#DIV/0!</v>
      </c>
      <c r="AD70" s="98">
        <f t="shared" si="71"/>
        <v>2.4900000000000002</v>
      </c>
      <c r="AF70" s="99">
        <f t="shared" ca="1" si="21"/>
        <v>1210</v>
      </c>
      <c r="AG70" s="99">
        <f t="shared" ca="1" si="22"/>
        <v>1209</v>
      </c>
      <c r="AH70" s="77">
        <f t="shared" si="67"/>
        <v>4.4608713967775299E-2</v>
      </c>
      <c r="AI70" s="154">
        <f t="shared" si="0"/>
        <v>31</v>
      </c>
      <c r="AJ70" s="101"/>
      <c r="AK70" s="101"/>
      <c r="AL70" s="101"/>
      <c r="AM70" s="101"/>
      <c r="AN70" s="78">
        <f t="shared" si="49"/>
        <v>0</v>
      </c>
      <c r="AO70" s="303" t="e">
        <f t="shared" si="50"/>
        <v>#DIV/0!</v>
      </c>
      <c r="AP70" s="75">
        <f t="shared" si="72"/>
        <v>0</v>
      </c>
      <c r="AQ70" s="102">
        <f t="shared" si="73"/>
        <v>0</v>
      </c>
      <c r="AR70" s="101">
        <f t="shared" si="26"/>
        <v>0</v>
      </c>
      <c r="AS70" s="101">
        <f t="shared" si="51"/>
        <v>0</v>
      </c>
      <c r="AT70" s="101">
        <f t="shared" si="27"/>
        <v>0</v>
      </c>
      <c r="AU70" s="103">
        <f t="shared" si="52"/>
        <v>0</v>
      </c>
      <c r="AV70" s="103">
        <f t="shared" si="53"/>
        <v>0</v>
      </c>
      <c r="AW70" s="103">
        <f t="shared" si="54"/>
        <v>0</v>
      </c>
      <c r="AY70" s="78">
        <f t="shared" si="28"/>
        <v>0</v>
      </c>
      <c r="AZ70" s="303" t="e">
        <f t="shared" si="55"/>
        <v>#DIV/0!</v>
      </c>
      <c r="BA70" s="75">
        <f t="shared" si="74"/>
        <v>0</v>
      </c>
      <c r="BB70" s="102">
        <f t="shared" si="75"/>
        <v>0</v>
      </c>
      <c r="BC70" s="101">
        <f t="shared" si="31"/>
        <v>0</v>
      </c>
      <c r="BD70" s="101">
        <f t="shared" si="32"/>
        <v>0</v>
      </c>
      <c r="BE70" s="101">
        <f t="shared" si="33"/>
        <v>0</v>
      </c>
      <c r="BF70" s="103">
        <f t="shared" si="56"/>
        <v>0</v>
      </c>
      <c r="BG70" s="103">
        <f t="shared" si="57"/>
        <v>0</v>
      </c>
      <c r="BH70" s="103">
        <f t="shared" si="58"/>
        <v>0</v>
      </c>
      <c r="BJ70" s="78">
        <f t="shared" si="34"/>
        <v>0</v>
      </c>
      <c r="BK70" s="303" t="e">
        <f t="shared" si="59"/>
        <v>#DIV/0!</v>
      </c>
      <c r="BL70" s="75">
        <f t="shared" si="76"/>
        <v>0</v>
      </c>
      <c r="BM70" s="102">
        <f t="shared" si="77"/>
        <v>0</v>
      </c>
      <c r="BN70" s="101">
        <f t="shared" si="37"/>
        <v>0</v>
      </c>
      <c r="BO70" s="101">
        <f t="shared" si="38"/>
        <v>0</v>
      </c>
      <c r="BP70" s="101">
        <f t="shared" si="39"/>
        <v>0</v>
      </c>
      <c r="BQ70" s="103">
        <f t="shared" si="60"/>
        <v>0</v>
      </c>
      <c r="BR70" s="103">
        <f t="shared" si="61"/>
        <v>0</v>
      </c>
      <c r="BS70" s="103">
        <f t="shared" si="62"/>
        <v>0</v>
      </c>
      <c r="BU70" s="78">
        <f t="shared" si="40"/>
        <v>0</v>
      </c>
      <c r="BV70" s="303" t="e">
        <f t="shared" si="63"/>
        <v>#DIV/0!</v>
      </c>
      <c r="BW70" s="75">
        <f t="shared" si="78"/>
        <v>0</v>
      </c>
      <c r="BX70" s="102">
        <f t="shared" si="79"/>
        <v>0</v>
      </c>
      <c r="BY70" s="101">
        <f t="shared" si="43"/>
        <v>0</v>
      </c>
      <c r="BZ70" s="101">
        <f t="shared" si="44"/>
        <v>0</v>
      </c>
      <c r="CA70" s="101">
        <f t="shared" si="45"/>
        <v>0</v>
      </c>
      <c r="CB70" s="103">
        <f t="shared" si="64"/>
        <v>0</v>
      </c>
      <c r="CC70" s="103">
        <f t="shared" si="65"/>
        <v>0</v>
      </c>
      <c r="CD70" s="103">
        <f t="shared" si="66"/>
        <v>0</v>
      </c>
    </row>
    <row r="71" spans="1:82" x14ac:dyDescent="0.25">
      <c r="A71" s="96">
        <f t="shared" si="46"/>
        <v>38504</v>
      </c>
      <c r="B71" s="97">
        <f t="shared" si="47"/>
        <v>3.2850000000000001</v>
      </c>
      <c r="C71" s="77">
        <f t="shared" si="48"/>
        <v>0.28499999999999998</v>
      </c>
      <c r="D71" s="97">
        <f t="shared" si="1"/>
        <v>0</v>
      </c>
      <c r="E71" s="100">
        <f t="shared" si="2"/>
        <v>1</v>
      </c>
      <c r="F71" s="99">
        <f t="shared" ca="1" si="3"/>
        <v>1238</v>
      </c>
      <c r="G71" s="77" t="e">
        <f t="shared" si="4"/>
        <v>#DIV/0!</v>
      </c>
      <c r="H71" s="77" t="e">
        <f>IF(B$16=1,_xll.xCalcSkew(A71,I71-AO71,b)/100,0)</f>
        <v>#DIV/0!</v>
      </c>
      <c r="I71" s="98">
        <f t="shared" si="68"/>
        <v>4</v>
      </c>
      <c r="K71" s="97">
        <f t="shared" si="6"/>
        <v>2.2499999999999999E-2</v>
      </c>
      <c r="L71" s="100">
        <f t="shared" si="7"/>
        <v>1</v>
      </c>
      <c r="M71" s="99">
        <f t="shared" ca="1" si="8"/>
        <v>1239</v>
      </c>
      <c r="N71" s="175" t="e">
        <f t="shared" si="9"/>
        <v>#DIV/0!</v>
      </c>
      <c r="O71" s="77" t="e">
        <f>IF(D$16=1,_xll.xCalcSkew($A71,P71-AZ71,b)/100,0)</f>
        <v>#DIV/0!</v>
      </c>
      <c r="P71" s="98">
        <f t="shared" si="69"/>
        <v>2.5</v>
      </c>
      <c r="R71" s="97">
        <f t="shared" si="11"/>
        <v>2.2499999999999999E-2</v>
      </c>
      <c r="S71" s="100">
        <f t="shared" si="12"/>
        <v>1</v>
      </c>
      <c r="T71" s="99">
        <f t="shared" ca="1" si="13"/>
        <v>1239</v>
      </c>
      <c r="U71" s="175" t="e">
        <f t="shared" si="14"/>
        <v>#DIV/0!</v>
      </c>
      <c r="V71" s="77" t="e">
        <f>IF(F$16=1,_xll.xCalcSkew($A71,W71-BK71,b)/100,0)</f>
        <v>#DIV/0!</v>
      </c>
      <c r="W71" s="98">
        <f t="shared" si="70"/>
        <v>2.5</v>
      </c>
      <c r="X71" s="99"/>
      <c r="Y71" s="97">
        <f t="shared" si="16"/>
        <v>2.2499999999999999E-2</v>
      </c>
      <c r="Z71" s="100">
        <f t="shared" si="17"/>
        <v>1</v>
      </c>
      <c r="AA71" s="99">
        <f t="shared" ca="1" si="18"/>
        <v>1239</v>
      </c>
      <c r="AB71" s="77" t="e">
        <f t="shared" si="19"/>
        <v>#DIV/0!</v>
      </c>
      <c r="AC71" s="77" t="e">
        <f>IF(H$16=1,_xll.xCalcSkew($A71,AD71-BV71,b)/100,0)</f>
        <v>#DIV/0!</v>
      </c>
      <c r="AD71" s="98">
        <f t="shared" si="71"/>
        <v>2.4900000000000002</v>
      </c>
      <c r="AF71" s="99">
        <f t="shared" ca="1" si="21"/>
        <v>1239</v>
      </c>
      <c r="AG71" s="99">
        <f t="shared" ca="1" si="22"/>
        <v>1238</v>
      </c>
      <c r="AH71" s="77">
        <f t="shared" si="67"/>
        <v>4.5069299691712597E-2</v>
      </c>
      <c r="AI71" s="154">
        <f t="shared" si="0"/>
        <v>30</v>
      </c>
      <c r="AJ71" s="101"/>
      <c r="AK71" s="101"/>
      <c r="AL71" s="101"/>
      <c r="AM71" s="101"/>
      <c r="AN71" s="78">
        <f t="shared" si="49"/>
        <v>0</v>
      </c>
      <c r="AO71" s="303" t="e">
        <f t="shared" si="50"/>
        <v>#DIV/0!</v>
      </c>
      <c r="AP71" s="75">
        <f t="shared" si="72"/>
        <v>0</v>
      </c>
      <c r="AQ71" s="102">
        <f t="shared" si="73"/>
        <v>0</v>
      </c>
      <c r="AR71" s="101">
        <f t="shared" si="26"/>
        <v>0</v>
      </c>
      <c r="AS71" s="101">
        <f t="shared" si="51"/>
        <v>0</v>
      </c>
      <c r="AT71" s="101">
        <f t="shared" si="27"/>
        <v>0</v>
      </c>
      <c r="AU71" s="103">
        <f t="shared" si="52"/>
        <v>0</v>
      </c>
      <c r="AV71" s="103">
        <f t="shared" si="53"/>
        <v>0</v>
      </c>
      <c r="AW71" s="103">
        <f t="shared" si="54"/>
        <v>0</v>
      </c>
      <c r="AY71" s="78">
        <f t="shared" si="28"/>
        <v>0</v>
      </c>
      <c r="AZ71" s="303" t="e">
        <f t="shared" si="55"/>
        <v>#DIV/0!</v>
      </c>
      <c r="BA71" s="75">
        <f t="shared" si="74"/>
        <v>0</v>
      </c>
      <c r="BB71" s="102">
        <f t="shared" si="75"/>
        <v>0</v>
      </c>
      <c r="BC71" s="101">
        <f t="shared" si="31"/>
        <v>0</v>
      </c>
      <c r="BD71" s="101">
        <f t="shared" si="32"/>
        <v>0</v>
      </c>
      <c r="BE71" s="101">
        <f t="shared" si="33"/>
        <v>0</v>
      </c>
      <c r="BF71" s="103">
        <f t="shared" si="56"/>
        <v>0</v>
      </c>
      <c r="BG71" s="103">
        <f t="shared" si="57"/>
        <v>0</v>
      </c>
      <c r="BH71" s="103">
        <f t="shared" si="58"/>
        <v>0</v>
      </c>
      <c r="BJ71" s="78">
        <f t="shared" si="34"/>
        <v>0</v>
      </c>
      <c r="BK71" s="303" t="e">
        <f t="shared" si="59"/>
        <v>#DIV/0!</v>
      </c>
      <c r="BL71" s="75">
        <f t="shared" si="76"/>
        <v>0</v>
      </c>
      <c r="BM71" s="102">
        <f t="shared" si="77"/>
        <v>0</v>
      </c>
      <c r="BN71" s="101">
        <f t="shared" si="37"/>
        <v>0</v>
      </c>
      <c r="BO71" s="101">
        <f t="shared" si="38"/>
        <v>0</v>
      </c>
      <c r="BP71" s="101">
        <f t="shared" si="39"/>
        <v>0</v>
      </c>
      <c r="BQ71" s="103">
        <f t="shared" si="60"/>
        <v>0</v>
      </c>
      <c r="BR71" s="103">
        <f t="shared" si="61"/>
        <v>0</v>
      </c>
      <c r="BS71" s="103">
        <f t="shared" si="62"/>
        <v>0</v>
      </c>
      <c r="BU71" s="78">
        <f t="shared" si="40"/>
        <v>0</v>
      </c>
      <c r="BV71" s="303" t="e">
        <f t="shared" si="63"/>
        <v>#DIV/0!</v>
      </c>
      <c r="BW71" s="75">
        <f t="shared" si="78"/>
        <v>0</v>
      </c>
      <c r="BX71" s="102">
        <f t="shared" si="79"/>
        <v>0</v>
      </c>
      <c r="BY71" s="101">
        <f t="shared" si="43"/>
        <v>0</v>
      </c>
      <c r="BZ71" s="101">
        <f t="shared" si="44"/>
        <v>0</v>
      </c>
      <c r="CA71" s="101">
        <f t="shared" si="45"/>
        <v>0</v>
      </c>
      <c r="CB71" s="103">
        <f t="shared" si="64"/>
        <v>0</v>
      </c>
      <c r="CC71" s="103">
        <f t="shared" si="65"/>
        <v>0</v>
      </c>
      <c r="CD71" s="103">
        <f t="shared" si="66"/>
        <v>0</v>
      </c>
    </row>
    <row r="72" spans="1:82" x14ac:dyDescent="0.25">
      <c r="A72" s="96">
        <f t="shared" si="46"/>
        <v>38534</v>
      </c>
      <c r="B72" s="97">
        <f t="shared" si="47"/>
        <v>3.3250000000000002</v>
      </c>
      <c r="C72" s="77">
        <f t="shared" si="48"/>
        <v>0.28000000000000003</v>
      </c>
      <c r="D72" s="97">
        <f t="shared" si="1"/>
        <v>0</v>
      </c>
      <c r="E72" s="100">
        <f t="shared" si="2"/>
        <v>1</v>
      </c>
      <c r="F72" s="99">
        <f t="shared" ca="1" si="3"/>
        <v>1271</v>
      </c>
      <c r="G72" s="77" t="e">
        <f t="shared" si="4"/>
        <v>#DIV/0!</v>
      </c>
      <c r="H72" s="77" t="e">
        <f>IF(B$16=1,_xll.xCalcSkew(A72,I72-AO72,b)/100,0)</f>
        <v>#DIV/0!</v>
      </c>
      <c r="I72" s="98">
        <f t="shared" si="68"/>
        <v>4</v>
      </c>
      <c r="K72" s="97">
        <f t="shared" si="6"/>
        <v>2.5000000000000001E-2</v>
      </c>
      <c r="L72" s="100">
        <f t="shared" si="7"/>
        <v>1</v>
      </c>
      <c r="M72" s="99">
        <f t="shared" ca="1" si="8"/>
        <v>1272</v>
      </c>
      <c r="N72" s="175" t="e">
        <f t="shared" si="9"/>
        <v>#DIV/0!</v>
      </c>
      <c r="O72" s="77" t="e">
        <f>IF(D$16=1,_xll.xCalcSkew($A72,P72-AZ72,b)/100,0)</f>
        <v>#DIV/0!</v>
      </c>
      <c r="P72" s="98">
        <f t="shared" si="69"/>
        <v>2.5</v>
      </c>
      <c r="R72" s="97">
        <f t="shared" si="11"/>
        <v>2.5000000000000001E-2</v>
      </c>
      <c r="S72" s="100">
        <f t="shared" si="12"/>
        <v>1</v>
      </c>
      <c r="T72" s="99">
        <f t="shared" ca="1" si="13"/>
        <v>1272</v>
      </c>
      <c r="U72" s="175" t="e">
        <f t="shared" si="14"/>
        <v>#DIV/0!</v>
      </c>
      <c r="V72" s="77" t="e">
        <f>IF(F$16=1,_xll.xCalcSkew($A72,W72-BK72,b)/100,0)</f>
        <v>#DIV/0!</v>
      </c>
      <c r="W72" s="98">
        <f t="shared" si="70"/>
        <v>2.5</v>
      </c>
      <c r="X72" s="99"/>
      <c r="Y72" s="97">
        <f t="shared" si="16"/>
        <v>2.5000000000000001E-2</v>
      </c>
      <c r="Z72" s="100">
        <f t="shared" si="17"/>
        <v>1</v>
      </c>
      <c r="AA72" s="99">
        <f t="shared" ca="1" si="18"/>
        <v>1272</v>
      </c>
      <c r="AB72" s="77" t="e">
        <f t="shared" si="19"/>
        <v>#DIV/0!</v>
      </c>
      <c r="AC72" s="77" t="e">
        <f>IF(H$16=1,_xll.xCalcSkew($A72,AD72-BV72,b)/100,0)</f>
        <v>#DIV/0!</v>
      </c>
      <c r="AD72" s="98">
        <f t="shared" si="71"/>
        <v>2.4900000000000002</v>
      </c>
      <c r="AF72" s="99">
        <f t="shared" ca="1" si="21"/>
        <v>1272</v>
      </c>
      <c r="AG72" s="99">
        <f t="shared" ca="1" si="22"/>
        <v>1271</v>
      </c>
      <c r="AH72" s="77">
        <f t="shared" si="67"/>
        <v>4.54931128840683E-2</v>
      </c>
      <c r="AI72" s="154">
        <f t="shared" si="0"/>
        <v>31</v>
      </c>
      <c r="AJ72" s="101"/>
      <c r="AK72" s="101"/>
      <c r="AL72" s="101"/>
      <c r="AM72" s="101"/>
      <c r="AN72" s="78">
        <f t="shared" si="49"/>
        <v>0</v>
      </c>
      <c r="AO72" s="303" t="e">
        <f t="shared" si="50"/>
        <v>#DIV/0!</v>
      </c>
      <c r="AP72" s="75">
        <f t="shared" si="72"/>
        <v>0</v>
      </c>
      <c r="AQ72" s="102">
        <f t="shared" si="73"/>
        <v>0</v>
      </c>
      <c r="AR72" s="101">
        <f t="shared" si="26"/>
        <v>0</v>
      </c>
      <c r="AS72" s="101">
        <f t="shared" si="51"/>
        <v>0</v>
      </c>
      <c r="AT72" s="101">
        <f t="shared" si="27"/>
        <v>0</v>
      </c>
      <c r="AU72" s="103">
        <f t="shared" si="52"/>
        <v>0</v>
      </c>
      <c r="AV72" s="103">
        <f t="shared" si="53"/>
        <v>0</v>
      </c>
      <c r="AW72" s="103">
        <f t="shared" si="54"/>
        <v>0</v>
      </c>
      <c r="AY72" s="78">
        <f t="shared" si="28"/>
        <v>0</v>
      </c>
      <c r="AZ72" s="303" t="e">
        <f t="shared" si="55"/>
        <v>#DIV/0!</v>
      </c>
      <c r="BA72" s="75">
        <f t="shared" si="74"/>
        <v>0</v>
      </c>
      <c r="BB72" s="102">
        <f t="shared" si="75"/>
        <v>0</v>
      </c>
      <c r="BC72" s="101">
        <f t="shared" si="31"/>
        <v>0</v>
      </c>
      <c r="BD72" s="101">
        <f t="shared" si="32"/>
        <v>0</v>
      </c>
      <c r="BE72" s="101">
        <f t="shared" si="33"/>
        <v>0</v>
      </c>
      <c r="BF72" s="103">
        <f t="shared" si="56"/>
        <v>0</v>
      </c>
      <c r="BG72" s="103">
        <f t="shared" si="57"/>
        <v>0</v>
      </c>
      <c r="BH72" s="103">
        <f t="shared" si="58"/>
        <v>0</v>
      </c>
      <c r="BJ72" s="78">
        <f t="shared" si="34"/>
        <v>0</v>
      </c>
      <c r="BK72" s="303" t="e">
        <f t="shared" si="59"/>
        <v>#DIV/0!</v>
      </c>
      <c r="BL72" s="75">
        <f t="shared" si="76"/>
        <v>0</v>
      </c>
      <c r="BM72" s="102">
        <f t="shared" si="77"/>
        <v>0</v>
      </c>
      <c r="BN72" s="101">
        <f t="shared" si="37"/>
        <v>0</v>
      </c>
      <c r="BO72" s="101">
        <f t="shared" si="38"/>
        <v>0</v>
      </c>
      <c r="BP72" s="101">
        <f t="shared" si="39"/>
        <v>0</v>
      </c>
      <c r="BQ72" s="103">
        <f t="shared" si="60"/>
        <v>0</v>
      </c>
      <c r="BR72" s="103">
        <f t="shared" si="61"/>
        <v>0</v>
      </c>
      <c r="BS72" s="103">
        <f t="shared" si="62"/>
        <v>0</v>
      </c>
      <c r="BU72" s="78">
        <f t="shared" si="40"/>
        <v>0</v>
      </c>
      <c r="BV72" s="303" t="e">
        <f t="shared" si="63"/>
        <v>#DIV/0!</v>
      </c>
      <c r="BW72" s="75">
        <f t="shared" si="78"/>
        <v>0</v>
      </c>
      <c r="BX72" s="102">
        <f t="shared" si="79"/>
        <v>0</v>
      </c>
      <c r="BY72" s="101">
        <f t="shared" si="43"/>
        <v>0</v>
      </c>
      <c r="BZ72" s="101">
        <f t="shared" si="44"/>
        <v>0</v>
      </c>
      <c r="CA72" s="101">
        <f t="shared" si="45"/>
        <v>0</v>
      </c>
      <c r="CB72" s="103">
        <f t="shared" si="64"/>
        <v>0</v>
      </c>
      <c r="CC72" s="103">
        <f t="shared" si="65"/>
        <v>0</v>
      </c>
      <c r="CD72" s="103">
        <f t="shared" si="66"/>
        <v>0</v>
      </c>
    </row>
    <row r="73" spans="1:82" x14ac:dyDescent="0.25">
      <c r="A73" s="96">
        <f t="shared" si="46"/>
        <v>38565</v>
      </c>
      <c r="B73" s="97">
        <f t="shared" si="47"/>
        <v>3.3650000000000002</v>
      </c>
      <c r="C73" s="77">
        <f t="shared" si="48"/>
        <v>0.28000000000000003</v>
      </c>
      <c r="D73" s="97">
        <f t="shared" si="1"/>
        <v>0</v>
      </c>
      <c r="E73" s="100">
        <f t="shared" si="2"/>
        <v>1</v>
      </c>
      <c r="F73" s="99">
        <f t="shared" ca="1" si="3"/>
        <v>1300</v>
      </c>
      <c r="G73" s="77" t="e">
        <f t="shared" si="4"/>
        <v>#DIV/0!</v>
      </c>
      <c r="H73" s="77" t="e">
        <f>IF(B$16=1,_xll.xCalcSkew(A73,I73-AO73,b)/100,0)</f>
        <v>#DIV/0!</v>
      </c>
      <c r="I73" s="98">
        <f t="shared" si="68"/>
        <v>4</v>
      </c>
      <c r="K73" s="97">
        <f t="shared" si="6"/>
        <v>2.75E-2</v>
      </c>
      <c r="L73" s="100">
        <f t="shared" si="7"/>
        <v>1</v>
      </c>
      <c r="M73" s="99">
        <f t="shared" ca="1" si="8"/>
        <v>1301</v>
      </c>
      <c r="N73" s="175" t="e">
        <f t="shared" si="9"/>
        <v>#DIV/0!</v>
      </c>
      <c r="O73" s="77" t="e">
        <f>IF(D$16=1,_xll.xCalcSkew($A73,P73-AZ73,b)/100,0)</f>
        <v>#DIV/0!</v>
      </c>
      <c r="P73" s="98">
        <f t="shared" si="69"/>
        <v>2.5</v>
      </c>
      <c r="R73" s="97">
        <f t="shared" si="11"/>
        <v>2.75E-2</v>
      </c>
      <c r="S73" s="100">
        <f t="shared" si="12"/>
        <v>1</v>
      </c>
      <c r="T73" s="99">
        <f t="shared" ca="1" si="13"/>
        <v>1301</v>
      </c>
      <c r="U73" s="175" t="e">
        <f t="shared" si="14"/>
        <v>#DIV/0!</v>
      </c>
      <c r="V73" s="77" t="e">
        <f>IF(F$16=1,_xll.xCalcSkew($A73,W73-BK73,b)/100,0)</f>
        <v>#DIV/0!</v>
      </c>
      <c r="W73" s="98">
        <f t="shared" si="70"/>
        <v>2.5</v>
      </c>
      <c r="X73" s="99"/>
      <c r="Y73" s="97">
        <f t="shared" si="16"/>
        <v>2.75E-2</v>
      </c>
      <c r="Z73" s="100">
        <f t="shared" si="17"/>
        <v>1</v>
      </c>
      <c r="AA73" s="99">
        <f t="shared" ca="1" si="18"/>
        <v>1301</v>
      </c>
      <c r="AB73" s="77" t="e">
        <f t="shared" si="19"/>
        <v>#DIV/0!</v>
      </c>
      <c r="AC73" s="77" t="e">
        <f>IF(H$16=1,_xll.xCalcSkew($A73,AD73-BV73,b)/100,0)</f>
        <v>#DIV/0!</v>
      </c>
      <c r="AD73" s="98">
        <f t="shared" si="71"/>
        <v>2.4900000000000002</v>
      </c>
      <c r="AF73" s="99">
        <f t="shared" ca="1" si="21"/>
        <v>1301</v>
      </c>
      <c r="AG73" s="99">
        <f t="shared" ca="1" si="22"/>
        <v>1300</v>
      </c>
      <c r="AH73" s="77">
        <f t="shared" si="67"/>
        <v>4.5909969215756997E-2</v>
      </c>
      <c r="AI73" s="154">
        <f t="shared" si="0"/>
        <v>31</v>
      </c>
      <c r="AJ73" s="101"/>
      <c r="AK73" s="101"/>
      <c r="AL73" s="101"/>
      <c r="AM73" s="101"/>
      <c r="AN73" s="78">
        <f t="shared" si="49"/>
        <v>0</v>
      </c>
      <c r="AO73" s="303" t="e">
        <f t="shared" si="50"/>
        <v>#DIV/0!</v>
      </c>
      <c r="AP73" s="75">
        <f t="shared" si="72"/>
        <v>0</v>
      </c>
      <c r="AQ73" s="102">
        <f t="shared" si="73"/>
        <v>0</v>
      </c>
      <c r="AR73" s="101">
        <f t="shared" si="26"/>
        <v>0</v>
      </c>
      <c r="AS73" s="101">
        <f t="shared" si="51"/>
        <v>0</v>
      </c>
      <c r="AT73" s="101">
        <f t="shared" si="27"/>
        <v>0</v>
      </c>
      <c r="AU73" s="103">
        <f t="shared" si="52"/>
        <v>0</v>
      </c>
      <c r="AV73" s="103">
        <f t="shared" si="53"/>
        <v>0</v>
      </c>
      <c r="AW73" s="103">
        <f t="shared" si="54"/>
        <v>0</v>
      </c>
      <c r="AY73" s="78">
        <f t="shared" si="28"/>
        <v>0</v>
      </c>
      <c r="AZ73" s="303" t="e">
        <f t="shared" si="55"/>
        <v>#DIV/0!</v>
      </c>
      <c r="BA73" s="75">
        <f t="shared" si="74"/>
        <v>0</v>
      </c>
      <c r="BB73" s="102">
        <f t="shared" si="75"/>
        <v>0</v>
      </c>
      <c r="BC73" s="101">
        <f t="shared" si="31"/>
        <v>0</v>
      </c>
      <c r="BD73" s="101">
        <f t="shared" si="32"/>
        <v>0</v>
      </c>
      <c r="BE73" s="101">
        <f t="shared" si="33"/>
        <v>0</v>
      </c>
      <c r="BF73" s="103">
        <f t="shared" si="56"/>
        <v>0</v>
      </c>
      <c r="BG73" s="103">
        <f t="shared" si="57"/>
        <v>0</v>
      </c>
      <c r="BH73" s="103">
        <f t="shared" si="58"/>
        <v>0</v>
      </c>
      <c r="BJ73" s="78">
        <f t="shared" si="34"/>
        <v>0</v>
      </c>
      <c r="BK73" s="303" t="e">
        <f t="shared" si="59"/>
        <v>#DIV/0!</v>
      </c>
      <c r="BL73" s="75">
        <f t="shared" si="76"/>
        <v>0</v>
      </c>
      <c r="BM73" s="102">
        <f t="shared" si="77"/>
        <v>0</v>
      </c>
      <c r="BN73" s="101">
        <f t="shared" si="37"/>
        <v>0</v>
      </c>
      <c r="BO73" s="101">
        <f t="shared" si="38"/>
        <v>0</v>
      </c>
      <c r="BP73" s="101">
        <f t="shared" si="39"/>
        <v>0</v>
      </c>
      <c r="BQ73" s="103">
        <f t="shared" si="60"/>
        <v>0</v>
      </c>
      <c r="BR73" s="103">
        <f t="shared" si="61"/>
        <v>0</v>
      </c>
      <c r="BS73" s="103">
        <f t="shared" si="62"/>
        <v>0</v>
      </c>
      <c r="BU73" s="78">
        <f t="shared" si="40"/>
        <v>0</v>
      </c>
      <c r="BV73" s="303" t="e">
        <f t="shared" si="63"/>
        <v>#DIV/0!</v>
      </c>
      <c r="BW73" s="75">
        <f t="shared" si="78"/>
        <v>0</v>
      </c>
      <c r="BX73" s="102">
        <f t="shared" si="79"/>
        <v>0</v>
      </c>
      <c r="BY73" s="101">
        <f t="shared" si="43"/>
        <v>0</v>
      </c>
      <c r="BZ73" s="101">
        <f t="shared" si="44"/>
        <v>0</v>
      </c>
      <c r="CA73" s="101">
        <f t="shared" si="45"/>
        <v>0</v>
      </c>
      <c r="CB73" s="103">
        <f t="shared" si="64"/>
        <v>0</v>
      </c>
      <c r="CC73" s="103">
        <f t="shared" si="65"/>
        <v>0</v>
      </c>
      <c r="CD73" s="103">
        <f t="shared" si="66"/>
        <v>0</v>
      </c>
    </row>
    <row r="74" spans="1:82" x14ac:dyDescent="0.25">
      <c r="A74" s="96">
        <f t="shared" si="46"/>
        <v>38596</v>
      </c>
      <c r="B74" s="97">
        <f t="shared" si="47"/>
        <v>3.36</v>
      </c>
      <c r="C74" s="77">
        <f t="shared" si="48"/>
        <v>0.28000000000000003</v>
      </c>
      <c r="D74" s="97">
        <f t="shared" si="1"/>
        <v>0</v>
      </c>
      <c r="E74" s="100">
        <f t="shared" si="2"/>
        <v>1</v>
      </c>
      <c r="F74" s="99">
        <f t="shared" ca="1" si="3"/>
        <v>1331</v>
      </c>
      <c r="G74" s="77" t="e">
        <f t="shared" si="4"/>
        <v>#DIV/0!</v>
      </c>
      <c r="H74" s="77" t="e">
        <f>IF(B$16=1,_xll.xCalcSkew(A74,I74-AO74,b)/100,0)</f>
        <v>#DIV/0!</v>
      </c>
      <c r="I74" s="98">
        <f t="shared" si="68"/>
        <v>4</v>
      </c>
      <c r="K74" s="97">
        <f t="shared" si="6"/>
        <v>0.02</v>
      </c>
      <c r="L74" s="100">
        <f t="shared" si="7"/>
        <v>1</v>
      </c>
      <c r="M74" s="99">
        <f t="shared" ca="1" si="8"/>
        <v>1334</v>
      </c>
      <c r="N74" s="175" t="e">
        <f t="shared" si="9"/>
        <v>#DIV/0!</v>
      </c>
      <c r="O74" s="77" t="e">
        <f>IF(D$16=1,_xll.xCalcSkew($A74,P74-AZ74,b)/100,0)</f>
        <v>#DIV/0!</v>
      </c>
      <c r="P74" s="98">
        <f t="shared" si="69"/>
        <v>2.5</v>
      </c>
      <c r="R74" s="97">
        <f t="shared" si="11"/>
        <v>0.02</v>
      </c>
      <c r="S74" s="100">
        <f t="shared" si="12"/>
        <v>1</v>
      </c>
      <c r="T74" s="99">
        <f t="shared" ca="1" si="13"/>
        <v>1334</v>
      </c>
      <c r="U74" s="175" t="e">
        <f t="shared" si="14"/>
        <v>#DIV/0!</v>
      </c>
      <c r="V74" s="77" t="e">
        <f>IF(F$16=1,_xll.xCalcSkew($A74,W74-BK74,b)/100,0)</f>
        <v>#DIV/0!</v>
      </c>
      <c r="W74" s="98">
        <f t="shared" si="70"/>
        <v>2.5</v>
      </c>
      <c r="X74" s="99"/>
      <c r="Y74" s="97">
        <f t="shared" si="16"/>
        <v>0.02</v>
      </c>
      <c r="Z74" s="100">
        <f t="shared" si="17"/>
        <v>1</v>
      </c>
      <c r="AA74" s="99">
        <f t="shared" ca="1" si="18"/>
        <v>1334</v>
      </c>
      <c r="AB74" s="77" t="e">
        <f t="shared" si="19"/>
        <v>#DIV/0!</v>
      </c>
      <c r="AC74" s="77" t="e">
        <f>IF(H$16=1,_xll.xCalcSkew($A74,AD74-BV74,b)/100,0)</f>
        <v>#DIV/0!</v>
      </c>
      <c r="AD74" s="98">
        <f t="shared" si="71"/>
        <v>2.4900000000000002</v>
      </c>
      <c r="AF74" s="99">
        <f t="shared" ca="1" si="21"/>
        <v>1334</v>
      </c>
      <c r="AG74" s="99">
        <f t="shared" ca="1" si="22"/>
        <v>1331</v>
      </c>
      <c r="AH74" s="77">
        <f t="shared" si="67"/>
        <v>4.6326825605579998E-2</v>
      </c>
      <c r="AI74" s="154">
        <f t="shared" si="0"/>
        <v>30</v>
      </c>
      <c r="AJ74" s="101"/>
      <c r="AK74" s="101"/>
      <c r="AL74" s="101"/>
      <c r="AM74" s="101"/>
      <c r="AN74" s="78">
        <f t="shared" si="49"/>
        <v>0</v>
      </c>
      <c r="AO74" s="303" t="e">
        <f t="shared" si="50"/>
        <v>#DIV/0!</v>
      </c>
      <c r="AP74" s="75">
        <f t="shared" si="72"/>
        <v>0</v>
      </c>
      <c r="AQ74" s="102">
        <f t="shared" si="73"/>
        <v>0</v>
      </c>
      <c r="AR74" s="101">
        <f t="shared" si="26"/>
        <v>0</v>
      </c>
      <c r="AS74" s="101">
        <f t="shared" si="51"/>
        <v>0</v>
      </c>
      <c r="AT74" s="101">
        <f t="shared" si="27"/>
        <v>0</v>
      </c>
      <c r="AU74" s="103">
        <f t="shared" si="52"/>
        <v>0</v>
      </c>
      <c r="AV74" s="103">
        <f t="shared" si="53"/>
        <v>0</v>
      </c>
      <c r="AW74" s="103">
        <f t="shared" si="54"/>
        <v>0</v>
      </c>
      <c r="AY74" s="78">
        <f t="shared" si="28"/>
        <v>0</v>
      </c>
      <c r="AZ74" s="303" t="e">
        <f t="shared" si="55"/>
        <v>#DIV/0!</v>
      </c>
      <c r="BA74" s="75">
        <f t="shared" si="74"/>
        <v>0</v>
      </c>
      <c r="BB74" s="102">
        <f t="shared" si="75"/>
        <v>0</v>
      </c>
      <c r="BC74" s="101">
        <f t="shared" si="31"/>
        <v>0</v>
      </c>
      <c r="BD74" s="101">
        <f t="shared" si="32"/>
        <v>0</v>
      </c>
      <c r="BE74" s="101">
        <f t="shared" si="33"/>
        <v>0</v>
      </c>
      <c r="BF74" s="103">
        <f t="shared" si="56"/>
        <v>0</v>
      </c>
      <c r="BG74" s="103">
        <f t="shared" si="57"/>
        <v>0</v>
      </c>
      <c r="BH74" s="103">
        <f t="shared" si="58"/>
        <v>0</v>
      </c>
      <c r="BJ74" s="78">
        <f t="shared" si="34"/>
        <v>0</v>
      </c>
      <c r="BK74" s="303" t="e">
        <f t="shared" si="59"/>
        <v>#DIV/0!</v>
      </c>
      <c r="BL74" s="75">
        <f t="shared" si="76"/>
        <v>0</v>
      </c>
      <c r="BM74" s="102">
        <f t="shared" si="77"/>
        <v>0</v>
      </c>
      <c r="BN74" s="101">
        <f t="shared" si="37"/>
        <v>0</v>
      </c>
      <c r="BO74" s="101">
        <f t="shared" si="38"/>
        <v>0</v>
      </c>
      <c r="BP74" s="101">
        <f t="shared" si="39"/>
        <v>0</v>
      </c>
      <c r="BQ74" s="103">
        <f t="shared" si="60"/>
        <v>0</v>
      </c>
      <c r="BR74" s="103">
        <f t="shared" si="61"/>
        <v>0</v>
      </c>
      <c r="BS74" s="103">
        <f t="shared" si="62"/>
        <v>0</v>
      </c>
      <c r="BU74" s="78">
        <f t="shared" si="40"/>
        <v>0</v>
      </c>
      <c r="BV74" s="303" t="e">
        <f t="shared" si="63"/>
        <v>#DIV/0!</v>
      </c>
      <c r="BW74" s="75">
        <f t="shared" si="78"/>
        <v>0</v>
      </c>
      <c r="BX74" s="102">
        <f t="shared" si="79"/>
        <v>0</v>
      </c>
      <c r="BY74" s="101">
        <f t="shared" si="43"/>
        <v>0</v>
      </c>
      <c r="BZ74" s="101">
        <f t="shared" si="44"/>
        <v>0</v>
      </c>
      <c r="CA74" s="101">
        <f t="shared" si="45"/>
        <v>0</v>
      </c>
      <c r="CB74" s="103">
        <f t="shared" si="64"/>
        <v>0</v>
      </c>
      <c r="CC74" s="103">
        <f t="shared" si="65"/>
        <v>0</v>
      </c>
      <c r="CD74" s="103">
        <f t="shared" si="66"/>
        <v>0</v>
      </c>
    </row>
    <row r="75" spans="1:82" x14ac:dyDescent="0.25">
      <c r="A75" s="96">
        <f t="shared" si="46"/>
        <v>38626</v>
      </c>
      <c r="B75" s="97">
        <f t="shared" si="47"/>
        <v>3.3849999999999998</v>
      </c>
      <c r="C75" s="77">
        <f t="shared" si="48"/>
        <v>0.28000000000000003</v>
      </c>
      <c r="D75" s="97">
        <f t="shared" si="1"/>
        <v>0</v>
      </c>
      <c r="E75" s="100">
        <f t="shared" si="2"/>
        <v>1</v>
      </c>
      <c r="F75" s="99">
        <f t="shared" ca="1" si="3"/>
        <v>1363</v>
      </c>
      <c r="G75" s="77" t="e">
        <f t="shared" si="4"/>
        <v>#DIV/0!</v>
      </c>
      <c r="H75" s="77" t="e">
        <f>IF(B$16=1,_xll.xCalcSkew(A75,I75-AO75,b)/100,0)</f>
        <v>#DIV/0!</v>
      </c>
      <c r="I75" s="98">
        <f t="shared" si="68"/>
        <v>4</v>
      </c>
      <c r="K75" s="97">
        <f t="shared" si="6"/>
        <v>0.01</v>
      </c>
      <c r="L75" s="100">
        <f t="shared" si="7"/>
        <v>1</v>
      </c>
      <c r="M75" s="99">
        <f t="shared" ca="1" si="8"/>
        <v>1364</v>
      </c>
      <c r="N75" s="175" t="e">
        <f t="shared" si="9"/>
        <v>#DIV/0!</v>
      </c>
      <c r="O75" s="77" t="e">
        <f>IF(D$16=1,_xll.xCalcSkew($A75,P75-AZ75,b)/100,0)</f>
        <v>#DIV/0!</v>
      </c>
      <c r="P75" s="98">
        <f t="shared" si="69"/>
        <v>2.5</v>
      </c>
      <c r="R75" s="97">
        <f t="shared" si="11"/>
        <v>0.01</v>
      </c>
      <c r="S75" s="100">
        <f t="shared" si="12"/>
        <v>1</v>
      </c>
      <c r="T75" s="99">
        <f t="shared" ca="1" si="13"/>
        <v>1364</v>
      </c>
      <c r="U75" s="175" t="e">
        <f t="shared" si="14"/>
        <v>#DIV/0!</v>
      </c>
      <c r="V75" s="77" t="e">
        <f>IF(F$16=1,_xll.xCalcSkew($A75,W75-BK75,b)/100,0)</f>
        <v>#DIV/0!</v>
      </c>
      <c r="W75" s="98">
        <f t="shared" si="70"/>
        <v>2.5</v>
      </c>
      <c r="X75" s="99"/>
      <c r="Y75" s="97">
        <f t="shared" si="16"/>
        <v>0.01</v>
      </c>
      <c r="Z75" s="100">
        <f t="shared" si="17"/>
        <v>1</v>
      </c>
      <c r="AA75" s="99">
        <f t="shared" ca="1" si="18"/>
        <v>1364</v>
      </c>
      <c r="AB75" s="77" t="e">
        <f t="shared" si="19"/>
        <v>#DIV/0!</v>
      </c>
      <c r="AC75" s="77" t="e">
        <f>IF(H$16=1,_xll.xCalcSkew($A75,AD75-BV75,b)/100,0)</f>
        <v>#DIV/0!</v>
      </c>
      <c r="AD75" s="98">
        <f t="shared" si="71"/>
        <v>2.4900000000000002</v>
      </c>
      <c r="AF75" s="99">
        <f t="shared" ca="1" si="21"/>
        <v>1364</v>
      </c>
      <c r="AG75" s="99">
        <f t="shared" ca="1" si="22"/>
        <v>1363</v>
      </c>
      <c r="AH75" s="77">
        <f t="shared" si="67"/>
        <v>4.6716549265346498E-2</v>
      </c>
      <c r="AI75" s="154">
        <f t="shared" si="0"/>
        <v>31</v>
      </c>
      <c r="AL75" s="99"/>
      <c r="AM75" s="78"/>
      <c r="AN75" s="78">
        <f t="shared" si="49"/>
        <v>0</v>
      </c>
      <c r="AO75" s="303" t="e">
        <f t="shared" si="50"/>
        <v>#DIV/0!</v>
      </c>
      <c r="AP75" s="75">
        <f t="shared" si="72"/>
        <v>0</v>
      </c>
      <c r="AQ75" s="102">
        <f t="shared" si="73"/>
        <v>0</v>
      </c>
      <c r="AR75" s="101">
        <f t="shared" si="26"/>
        <v>0</v>
      </c>
      <c r="AS75" s="101">
        <f t="shared" si="51"/>
        <v>0</v>
      </c>
      <c r="AT75" s="101">
        <f t="shared" si="27"/>
        <v>0</v>
      </c>
      <c r="AU75" s="103">
        <f t="shared" si="52"/>
        <v>0</v>
      </c>
      <c r="AV75" s="103">
        <f t="shared" si="53"/>
        <v>0</v>
      </c>
      <c r="AW75" s="103">
        <f t="shared" si="54"/>
        <v>0</v>
      </c>
      <c r="AY75" s="78">
        <f t="shared" si="28"/>
        <v>0</v>
      </c>
      <c r="AZ75" s="303" t="e">
        <f t="shared" si="55"/>
        <v>#DIV/0!</v>
      </c>
      <c r="BA75" s="75">
        <f t="shared" si="74"/>
        <v>0</v>
      </c>
      <c r="BB75" s="102">
        <f t="shared" si="75"/>
        <v>0</v>
      </c>
      <c r="BC75" s="101">
        <f t="shared" si="31"/>
        <v>0</v>
      </c>
      <c r="BD75" s="101">
        <f t="shared" si="32"/>
        <v>0</v>
      </c>
      <c r="BE75" s="101">
        <f t="shared" si="33"/>
        <v>0</v>
      </c>
      <c r="BF75" s="103">
        <f t="shared" si="56"/>
        <v>0</v>
      </c>
      <c r="BG75" s="103">
        <f t="shared" si="57"/>
        <v>0</v>
      </c>
      <c r="BH75" s="103">
        <f t="shared" si="58"/>
        <v>0</v>
      </c>
      <c r="BJ75" s="78">
        <f t="shared" si="34"/>
        <v>0</v>
      </c>
      <c r="BK75" s="303" t="e">
        <f t="shared" si="59"/>
        <v>#DIV/0!</v>
      </c>
      <c r="BL75" s="75">
        <f t="shared" si="76"/>
        <v>0</v>
      </c>
      <c r="BM75" s="102">
        <f t="shared" si="77"/>
        <v>0</v>
      </c>
      <c r="BN75" s="101">
        <f t="shared" si="37"/>
        <v>0</v>
      </c>
      <c r="BO75" s="101">
        <f t="shared" si="38"/>
        <v>0</v>
      </c>
      <c r="BP75" s="101">
        <f t="shared" si="39"/>
        <v>0</v>
      </c>
      <c r="BQ75" s="103">
        <f t="shared" si="60"/>
        <v>0</v>
      </c>
      <c r="BR75" s="103">
        <f t="shared" si="61"/>
        <v>0</v>
      </c>
      <c r="BS75" s="103">
        <f t="shared" si="62"/>
        <v>0</v>
      </c>
      <c r="BU75" s="78">
        <f t="shared" si="40"/>
        <v>0</v>
      </c>
      <c r="BV75" s="303" t="e">
        <f t="shared" si="63"/>
        <v>#DIV/0!</v>
      </c>
      <c r="BW75" s="75">
        <f t="shared" si="78"/>
        <v>0</v>
      </c>
      <c r="BX75" s="102">
        <f t="shared" si="79"/>
        <v>0</v>
      </c>
      <c r="BY75" s="101">
        <f t="shared" si="43"/>
        <v>0</v>
      </c>
      <c r="BZ75" s="101">
        <f t="shared" si="44"/>
        <v>0</v>
      </c>
      <c r="CA75" s="101">
        <f t="shared" si="45"/>
        <v>0</v>
      </c>
      <c r="CB75" s="103">
        <f t="shared" si="64"/>
        <v>0</v>
      </c>
      <c r="CC75" s="103">
        <f t="shared" si="65"/>
        <v>0</v>
      </c>
      <c r="CD75" s="103">
        <f t="shared" si="66"/>
        <v>0</v>
      </c>
    </row>
    <row r="76" spans="1:82" x14ac:dyDescent="0.25">
      <c r="A76" s="96">
        <f t="shared" si="46"/>
        <v>38657</v>
      </c>
      <c r="B76" s="97">
        <f t="shared" si="47"/>
        <v>3.5369999999999999</v>
      </c>
      <c r="C76" s="77">
        <f t="shared" si="48"/>
        <v>0.28000000000000003</v>
      </c>
      <c r="D76" s="97">
        <f t="shared" si="1"/>
        <v>0</v>
      </c>
      <c r="E76" s="100">
        <f t="shared" si="2"/>
        <v>1</v>
      </c>
      <c r="F76" s="99">
        <f t="shared" ca="1" si="3"/>
        <v>1392</v>
      </c>
      <c r="G76" s="77" t="e">
        <f t="shared" si="4"/>
        <v>#DIV/0!</v>
      </c>
      <c r="H76" s="77" t="e">
        <f>IF(B$16=1,_xll.xCalcSkew(A76,I76-AO76,b)/100,0)</f>
        <v>#DIV/0!</v>
      </c>
      <c r="I76" s="98">
        <f t="shared" si="68"/>
        <v>4</v>
      </c>
      <c r="K76" s="97">
        <f t="shared" si="6"/>
        <v>-2.2499999999999999E-2</v>
      </c>
      <c r="L76" s="100">
        <f t="shared" si="7"/>
        <v>1</v>
      </c>
      <c r="M76" s="99">
        <f t="shared" ca="1" si="8"/>
        <v>1393</v>
      </c>
      <c r="N76" s="175" t="e">
        <f t="shared" si="9"/>
        <v>#DIV/0!</v>
      </c>
      <c r="O76" s="77" t="e">
        <f>IF(D$16=1,_xll.xCalcSkew($A76,P76-AZ76,b)/100,0)</f>
        <v>#DIV/0!</v>
      </c>
      <c r="P76" s="98">
        <f t="shared" si="69"/>
        <v>2.5</v>
      </c>
      <c r="R76" s="97">
        <f t="shared" si="11"/>
        <v>-2.2499999999999999E-2</v>
      </c>
      <c r="S76" s="100">
        <f t="shared" si="12"/>
        <v>1</v>
      </c>
      <c r="T76" s="99">
        <f t="shared" ca="1" si="13"/>
        <v>1393</v>
      </c>
      <c r="U76" s="175" t="e">
        <f t="shared" si="14"/>
        <v>#DIV/0!</v>
      </c>
      <c r="V76" s="77" t="e">
        <f>IF(F$16=1,_xll.xCalcSkew($A76,W76-BK76,b)/100,0)</f>
        <v>#DIV/0!</v>
      </c>
      <c r="W76" s="98">
        <f t="shared" si="70"/>
        <v>2.5</v>
      </c>
      <c r="X76" s="99"/>
      <c r="Y76" s="97">
        <f t="shared" si="16"/>
        <v>-2.2499999999999999E-2</v>
      </c>
      <c r="Z76" s="100">
        <f t="shared" si="17"/>
        <v>1</v>
      </c>
      <c r="AA76" s="99">
        <f t="shared" ca="1" si="18"/>
        <v>1393</v>
      </c>
      <c r="AB76" s="77" t="e">
        <f t="shared" si="19"/>
        <v>#DIV/0!</v>
      </c>
      <c r="AC76" s="77" t="e">
        <f>IF(H$16=1,_xll.xCalcSkew($A76,AD76-BV76,b)/100,0)</f>
        <v>#DIV/0!</v>
      </c>
      <c r="AD76" s="98">
        <f t="shared" si="71"/>
        <v>2.4900000000000002</v>
      </c>
      <c r="AF76" s="99">
        <f t="shared" ca="1" si="21"/>
        <v>1393</v>
      </c>
      <c r="AG76" s="99">
        <f t="shared" ca="1" si="22"/>
        <v>1392</v>
      </c>
      <c r="AH76" s="77">
        <f t="shared" si="67"/>
        <v>4.70928800068173E-2</v>
      </c>
      <c r="AI76" s="154">
        <f t="shared" si="0"/>
        <v>30</v>
      </c>
      <c r="AL76" s="99"/>
      <c r="AM76" s="78"/>
      <c r="AN76" s="78">
        <f t="shared" si="49"/>
        <v>0</v>
      </c>
      <c r="AO76" s="303" t="e">
        <f t="shared" si="50"/>
        <v>#DIV/0!</v>
      </c>
      <c r="AP76" s="75">
        <f t="shared" si="72"/>
        <v>0</v>
      </c>
      <c r="AQ76" s="102">
        <f t="shared" si="73"/>
        <v>0</v>
      </c>
      <c r="AR76" s="101">
        <f t="shared" si="26"/>
        <v>0</v>
      </c>
      <c r="AS76" s="101">
        <f t="shared" si="51"/>
        <v>0</v>
      </c>
      <c r="AT76" s="101">
        <f t="shared" si="27"/>
        <v>0</v>
      </c>
      <c r="AU76" s="103">
        <f t="shared" si="52"/>
        <v>0</v>
      </c>
      <c r="AV76" s="103">
        <f t="shared" si="53"/>
        <v>0</v>
      </c>
      <c r="AW76" s="103">
        <f t="shared" si="54"/>
        <v>0</v>
      </c>
      <c r="AY76" s="78">
        <f t="shared" si="28"/>
        <v>0</v>
      </c>
      <c r="AZ76" s="303" t="e">
        <f t="shared" si="55"/>
        <v>#DIV/0!</v>
      </c>
      <c r="BA76" s="75">
        <f t="shared" si="74"/>
        <v>0</v>
      </c>
      <c r="BB76" s="102">
        <f t="shared" si="75"/>
        <v>0</v>
      </c>
      <c r="BC76" s="101">
        <f t="shared" si="31"/>
        <v>0</v>
      </c>
      <c r="BD76" s="101">
        <f t="shared" si="32"/>
        <v>0</v>
      </c>
      <c r="BE76" s="101">
        <f t="shared" si="33"/>
        <v>0</v>
      </c>
      <c r="BF76" s="103">
        <f t="shared" si="56"/>
        <v>0</v>
      </c>
      <c r="BG76" s="103">
        <f t="shared" si="57"/>
        <v>0</v>
      </c>
      <c r="BH76" s="103">
        <f t="shared" si="58"/>
        <v>0</v>
      </c>
      <c r="BJ76" s="78">
        <f t="shared" si="34"/>
        <v>0</v>
      </c>
      <c r="BK76" s="303" t="e">
        <f t="shared" si="59"/>
        <v>#DIV/0!</v>
      </c>
      <c r="BL76" s="75">
        <f t="shared" si="76"/>
        <v>0</v>
      </c>
      <c r="BM76" s="102">
        <f t="shared" si="77"/>
        <v>0</v>
      </c>
      <c r="BN76" s="101">
        <f t="shared" si="37"/>
        <v>0</v>
      </c>
      <c r="BO76" s="101">
        <f t="shared" si="38"/>
        <v>0</v>
      </c>
      <c r="BP76" s="101">
        <f t="shared" si="39"/>
        <v>0</v>
      </c>
      <c r="BQ76" s="103">
        <f t="shared" si="60"/>
        <v>0</v>
      </c>
      <c r="BR76" s="103">
        <f t="shared" si="61"/>
        <v>0</v>
      </c>
      <c r="BS76" s="103">
        <f t="shared" si="62"/>
        <v>0</v>
      </c>
      <c r="BU76" s="78">
        <f t="shared" si="40"/>
        <v>0</v>
      </c>
      <c r="BV76" s="303" t="e">
        <f t="shared" si="63"/>
        <v>#DIV/0!</v>
      </c>
      <c r="BW76" s="75">
        <f t="shared" si="78"/>
        <v>0</v>
      </c>
      <c r="BX76" s="102">
        <f t="shared" si="79"/>
        <v>0</v>
      </c>
      <c r="BY76" s="101">
        <f t="shared" si="43"/>
        <v>0</v>
      </c>
      <c r="BZ76" s="101">
        <f t="shared" si="44"/>
        <v>0</v>
      </c>
      <c r="CA76" s="101">
        <f t="shared" si="45"/>
        <v>0</v>
      </c>
      <c r="CB76" s="103">
        <f t="shared" si="64"/>
        <v>0</v>
      </c>
      <c r="CC76" s="103">
        <f t="shared" si="65"/>
        <v>0</v>
      </c>
      <c r="CD76" s="103">
        <f t="shared" si="66"/>
        <v>0</v>
      </c>
    </row>
    <row r="77" spans="1:82" x14ac:dyDescent="0.25">
      <c r="A77" s="96">
        <f t="shared" si="46"/>
        <v>38687</v>
      </c>
      <c r="B77" s="97">
        <f t="shared" si="47"/>
        <v>3.68</v>
      </c>
      <c r="C77" s="77">
        <f t="shared" si="48"/>
        <v>0.28000000000000003</v>
      </c>
      <c r="D77" s="97">
        <f t="shared" si="1"/>
        <v>0</v>
      </c>
      <c r="E77" s="100">
        <f t="shared" si="2"/>
        <v>1</v>
      </c>
      <c r="F77" s="99">
        <f t="shared" ca="1" si="3"/>
        <v>1422</v>
      </c>
      <c r="G77" s="77" t="e">
        <f t="shared" si="4"/>
        <v>#DIV/0!</v>
      </c>
      <c r="H77" s="77" t="e">
        <f>IF(B$16=1,_xll.xCalcSkew(A77,I77-AO77,b)/100,0)</f>
        <v>#DIV/0!</v>
      </c>
      <c r="I77" s="98">
        <f t="shared" si="68"/>
        <v>4</v>
      </c>
      <c r="K77" s="97">
        <f t="shared" si="6"/>
        <v>-4.4999999999999998E-2</v>
      </c>
      <c r="L77" s="100">
        <f t="shared" si="7"/>
        <v>1</v>
      </c>
      <c r="M77" s="99">
        <f t="shared" ca="1" si="8"/>
        <v>1425</v>
      </c>
      <c r="N77" s="175" t="e">
        <f t="shared" si="9"/>
        <v>#DIV/0!</v>
      </c>
      <c r="O77" s="77" t="e">
        <f>IF(D$16=1,_xll.xCalcSkew($A77,P77-AZ77,b)/100,0)</f>
        <v>#DIV/0!</v>
      </c>
      <c r="P77" s="98">
        <f t="shared" si="69"/>
        <v>2.5</v>
      </c>
      <c r="R77" s="97">
        <f t="shared" si="11"/>
        <v>-4.4999999999999998E-2</v>
      </c>
      <c r="S77" s="100">
        <f t="shared" si="12"/>
        <v>1</v>
      </c>
      <c r="T77" s="99">
        <f t="shared" ca="1" si="13"/>
        <v>1425</v>
      </c>
      <c r="U77" s="175" t="e">
        <f t="shared" si="14"/>
        <v>#DIV/0!</v>
      </c>
      <c r="V77" s="77" t="e">
        <f>IF(F$16=1,_xll.xCalcSkew($A77,W77-BK77,b)/100,0)</f>
        <v>#DIV/0!</v>
      </c>
      <c r="W77" s="98">
        <f t="shared" si="70"/>
        <v>2.5</v>
      </c>
      <c r="X77" s="99"/>
      <c r="Y77" s="97">
        <f t="shared" si="16"/>
        <v>-4.4999999999999998E-2</v>
      </c>
      <c r="Z77" s="100">
        <f t="shared" si="17"/>
        <v>1</v>
      </c>
      <c r="AA77" s="99">
        <f t="shared" ca="1" si="18"/>
        <v>1425</v>
      </c>
      <c r="AB77" s="77" t="e">
        <f t="shared" si="19"/>
        <v>#DIV/0!</v>
      </c>
      <c r="AC77" s="77" t="e">
        <f>IF(H$16=1,_xll.xCalcSkew($A77,AD77-BV77,b)/100,0)</f>
        <v>#DIV/0!</v>
      </c>
      <c r="AD77" s="98">
        <f t="shared" si="71"/>
        <v>2.4900000000000002</v>
      </c>
      <c r="AF77" s="99">
        <f t="shared" ca="1" si="21"/>
        <v>1425</v>
      </c>
      <c r="AG77" s="99">
        <f t="shared" ca="1" si="22"/>
        <v>1422</v>
      </c>
      <c r="AH77" s="77">
        <f t="shared" si="67"/>
        <v>4.7457071092037201E-2</v>
      </c>
      <c r="AI77" s="154">
        <f t="shared" si="0"/>
        <v>31</v>
      </c>
      <c r="AL77" s="99"/>
      <c r="AM77" s="78"/>
      <c r="AN77" s="78">
        <f t="shared" si="49"/>
        <v>0</v>
      </c>
      <c r="AO77" s="303" t="e">
        <f t="shared" si="50"/>
        <v>#DIV/0!</v>
      </c>
      <c r="AP77" s="75">
        <f t="shared" si="72"/>
        <v>0</v>
      </c>
      <c r="AQ77" s="102">
        <f t="shared" si="73"/>
        <v>0</v>
      </c>
      <c r="AR77" s="101">
        <f t="shared" si="26"/>
        <v>0</v>
      </c>
      <c r="AS77" s="101">
        <f t="shared" si="51"/>
        <v>0</v>
      </c>
      <c r="AT77" s="101">
        <f t="shared" si="27"/>
        <v>0</v>
      </c>
      <c r="AU77" s="103">
        <f t="shared" si="52"/>
        <v>0</v>
      </c>
      <c r="AV77" s="103">
        <f t="shared" si="53"/>
        <v>0</v>
      </c>
      <c r="AW77" s="103">
        <f t="shared" si="54"/>
        <v>0</v>
      </c>
      <c r="AY77" s="78">
        <f t="shared" si="28"/>
        <v>0</v>
      </c>
      <c r="AZ77" s="303" t="e">
        <f t="shared" si="55"/>
        <v>#DIV/0!</v>
      </c>
      <c r="BA77" s="75">
        <f t="shared" si="74"/>
        <v>0</v>
      </c>
      <c r="BB77" s="102">
        <f t="shared" si="75"/>
        <v>0</v>
      </c>
      <c r="BC77" s="101">
        <f t="shared" si="31"/>
        <v>0</v>
      </c>
      <c r="BD77" s="101">
        <f t="shared" si="32"/>
        <v>0</v>
      </c>
      <c r="BE77" s="101">
        <f t="shared" si="33"/>
        <v>0</v>
      </c>
      <c r="BF77" s="103">
        <f t="shared" si="56"/>
        <v>0</v>
      </c>
      <c r="BG77" s="103">
        <f t="shared" si="57"/>
        <v>0</v>
      </c>
      <c r="BH77" s="103">
        <f t="shared" si="58"/>
        <v>0</v>
      </c>
      <c r="BJ77" s="78">
        <f t="shared" si="34"/>
        <v>0</v>
      </c>
      <c r="BK77" s="303" t="e">
        <f t="shared" si="59"/>
        <v>#DIV/0!</v>
      </c>
      <c r="BL77" s="75">
        <f t="shared" si="76"/>
        <v>0</v>
      </c>
      <c r="BM77" s="102">
        <f t="shared" si="77"/>
        <v>0</v>
      </c>
      <c r="BN77" s="101">
        <f t="shared" si="37"/>
        <v>0</v>
      </c>
      <c r="BO77" s="101">
        <f t="shared" si="38"/>
        <v>0</v>
      </c>
      <c r="BP77" s="101">
        <f t="shared" si="39"/>
        <v>0</v>
      </c>
      <c r="BQ77" s="103">
        <f t="shared" si="60"/>
        <v>0</v>
      </c>
      <c r="BR77" s="103">
        <f t="shared" si="61"/>
        <v>0</v>
      </c>
      <c r="BS77" s="103">
        <f t="shared" si="62"/>
        <v>0</v>
      </c>
      <c r="BU77" s="78">
        <f t="shared" si="40"/>
        <v>0</v>
      </c>
      <c r="BV77" s="303" t="e">
        <f t="shared" si="63"/>
        <v>#DIV/0!</v>
      </c>
      <c r="BW77" s="75">
        <f t="shared" si="78"/>
        <v>0</v>
      </c>
      <c r="BX77" s="102">
        <f t="shared" si="79"/>
        <v>0</v>
      </c>
      <c r="BY77" s="101">
        <f t="shared" si="43"/>
        <v>0</v>
      </c>
      <c r="BZ77" s="101">
        <f t="shared" si="44"/>
        <v>0</v>
      </c>
      <c r="CA77" s="101">
        <f t="shared" si="45"/>
        <v>0</v>
      </c>
      <c r="CB77" s="103">
        <f t="shared" si="64"/>
        <v>0</v>
      </c>
      <c r="CC77" s="103">
        <f t="shared" si="65"/>
        <v>0</v>
      </c>
      <c r="CD77" s="103">
        <f t="shared" si="66"/>
        <v>0</v>
      </c>
    </row>
    <row r="78" spans="1:82" x14ac:dyDescent="0.25">
      <c r="A78" s="96">
        <f t="shared" si="46"/>
        <v>38718</v>
      </c>
      <c r="B78" s="97">
        <f t="shared" si="47"/>
        <v>3.7349999999999999</v>
      </c>
      <c r="C78" s="77">
        <f t="shared" si="48"/>
        <v>0.28499999999999998</v>
      </c>
      <c r="D78" s="97">
        <f t="shared" si="1"/>
        <v>0</v>
      </c>
      <c r="E78" s="100">
        <f t="shared" si="2"/>
        <v>1</v>
      </c>
      <c r="F78" s="99">
        <f t="shared" ca="1" si="3"/>
        <v>1454</v>
      </c>
      <c r="G78" s="77" t="e">
        <f t="shared" si="4"/>
        <v>#DIV/0!</v>
      </c>
      <c r="H78" s="77" t="e">
        <f>IF(B$16=1,_xll.xCalcSkew(A78,I78-AO78,b)/100,0)</f>
        <v>#DIV/0!</v>
      </c>
      <c r="I78" s="98">
        <f t="shared" si="68"/>
        <v>4</v>
      </c>
      <c r="K78" s="97">
        <f t="shared" si="6"/>
        <v>-4.7500000000000001E-2</v>
      </c>
      <c r="L78" s="100">
        <f t="shared" si="7"/>
        <v>1</v>
      </c>
      <c r="M78" s="99">
        <f t="shared" ca="1" si="8"/>
        <v>1455</v>
      </c>
      <c r="N78" s="175" t="e">
        <f t="shared" si="9"/>
        <v>#DIV/0!</v>
      </c>
      <c r="O78" s="77" t="e">
        <f>IF(D$16=1,_xll.xCalcSkew($A78,P78-AZ78,b)/100,0)</f>
        <v>#DIV/0!</v>
      </c>
      <c r="P78" s="98">
        <f t="shared" si="69"/>
        <v>2.5</v>
      </c>
      <c r="R78" s="97">
        <f t="shared" si="11"/>
        <v>-4.7500000000000001E-2</v>
      </c>
      <c r="S78" s="100">
        <f t="shared" si="12"/>
        <v>1</v>
      </c>
      <c r="T78" s="99">
        <f t="shared" ca="1" si="13"/>
        <v>1455</v>
      </c>
      <c r="U78" s="175" t="e">
        <f t="shared" si="14"/>
        <v>#DIV/0!</v>
      </c>
      <c r="V78" s="77" t="e">
        <f>IF(F$16=1,_xll.xCalcSkew($A78,W78-BK78,b)/100,0)</f>
        <v>#DIV/0!</v>
      </c>
      <c r="W78" s="98">
        <f t="shared" si="70"/>
        <v>2.5</v>
      </c>
      <c r="X78" s="99"/>
      <c r="Y78" s="97">
        <f t="shared" si="16"/>
        <v>-4.7500000000000001E-2</v>
      </c>
      <c r="Z78" s="100">
        <f t="shared" si="17"/>
        <v>1</v>
      </c>
      <c r="AA78" s="99">
        <f t="shared" ca="1" si="18"/>
        <v>1455</v>
      </c>
      <c r="AB78" s="77" t="e">
        <f t="shared" si="19"/>
        <v>#DIV/0!</v>
      </c>
      <c r="AC78" s="77" t="e">
        <f>IF(H$16=1,_xll.xCalcSkew($A78,AD78-BV78,b)/100,0)</f>
        <v>#DIV/0!</v>
      </c>
      <c r="AD78" s="98">
        <f t="shared" si="71"/>
        <v>2.4900000000000002</v>
      </c>
      <c r="AF78" s="99">
        <f t="shared" ca="1" si="21"/>
        <v>1455</v>
      </c>
      <c r="AG78" s="99">
        <f t="shared" ca="1" si="22"/>
        <v>1454</v>
      </c>
      <c r="AH78" s="77">
        <f t="shared" si="67"/>
        <v>4.7810067825002203E-2</v>
      </c>
      <c r="AI78" s="154">
        <f t="shared" si="0"/>
        <v>31</v>
      </c>
      <c r="AL78" s="99"/>
      <c r="AM78" s="78"/>
      <c r="AN78" s="78">
        <f t="shared" si="49"/>
        <v>0</v>
      </c>
      <c r="AO78" s="303" t="e">
        <f t="shared" si="50"/>
        <v>#DIV/0!</v>
      </c>
      <c r="AP78" s="75">
        <f t="shared" si="72"/>
        <v>0</v>
      </c>
      <c r="AQ78" s="102">
        <f t="shared" si="73"/>
        <v>0</v>
      </c>
      <c r="AR78" s="101">
        <f t="shared" si="26"/>
        <v>0</v>
      </c>
      <c r="AS78" s="101">
        <f t="shared" si="51"/>
        <v>0</v>
      </c>
      <c r="AT78" s="101">
        <f t="shared" si="27"/>
        <v>0</v>
      </c>
      <c r="AU78" s="103">
        <f t="shared" si="52"/>
        <v>0</v>
      </c>
      <c r="AV78" s="103">
        <f t="shared" si="53"/>
        <v>0</v>
      </c>
      <c r="AW78" s="103">
        <f t="shared" si="54"/>
        <v>0</v>
      </c>
      <c r="AY78" s="78">
        <f t="shared" si="28"/>
        <v>0</v>
      </c>
      <c r="AZ78" s="303" t="e">
        <f t="shared" si="55"/>
        <v>#DIV/0!</v>
      </c>
      <c r="BA78" s="75">
        <f t="shared" si="74"/>
        <v>0</v>
      </c>
      <c r="BB78" s="102">
        <f t="shared" si="75"/>
        <v>0</v>
      </c>
      <c r="BC78" s="101">
        <f t="shared" si="31"/>
        <v>0</v>
      </c>
      <c r="BD78" s="101">
        <f t="shared" si="32"/>
        <v>0</v>
      </c>
      <c r="BE78" s="101">
        <f t="shared" si="33"/>
        <v>0</v>
      </c>
      <c r="BF78" s="103">
        <f t="shared" si="56"/>
        <v>0</v>
      </c>
      <c r="BG78" s="103">
        <f t="shared" si="57"/>
        <v>0</v>
      </c>
      <c r="BH78" s="103">
        <f t="shared" si="58"/>
        <v>0</v>
      </c>
      <c r="BJ78" s="78">
        <f t="shared" si="34"/>
        <v>0</v>
      </c>
      <c r="BK78" s="303" t="e">
        <f t="shared" si="59"/>
        <v>#DIV/0!</v>
      </c>
      <c r="BL78" s="75">
        <f t="shared" si="76"/>
        <v>0</v>
      </c>
      <c r="BM78" s="102">
        <f t="shared" si="77"/>
        <v>0</v>
      </c>
      <c r="BN78" s="101">
        <f t="shared" si="37"/>
        <v>0</v>
      </c>
      <c r="BO78" s="101">
        <f t="shared" si="38"/>
        <v>0</v>
      </c>
      <c r="BP78" s="101">
        <f t="shared" si="39"/>
        <v>0</v>
      </c>
      <c r="BQ78" s="103">
        <f t="shared" si="60"/>
        <v>0</v>
      </c>
      <c r="BR78" s="103">
        <f t="shared" si="61"/>
        <v>0</v>
      </c>
      <c r="BS78" s="103">
        <f t="shared" si="62"/>
        <v>0</v>
      </c>
      <c r="BU78" s="78">
        <f t="shared" si="40"/>
        <v>0</v>
      </c>
      <c r="BV78" s="303" t="e">
        <f t="shared" si="63"/>
        <v>#DIV/0!</v>
      </c>
      <c r="BW78" s="75">
        <f t="shared" si="78"/>
        <v>0</v>
      </c>
      <c r="BX78" s="102">
        <f t="shared" si="79"/>
        <v>0</v>
      </c>
      <c r="BY78" s="101">
        <f t="shared" si="43"/>
        <v>0</v>
      </c>
      <c r="BZ78" s="101">
        <f t="shared" si="44"/>
        <v>0</v>
      </c>
      <c r="CA78" s="101">
        <f t="shared" si="45"/>
        <v>0</v>
      </c>
      <c r="CB78" s="103">
        <f t="shared" si="64"/>
        <v>0</v>
      </c>
      <c r="CC78" s="103">
        <f t="shared" si="65"/>
        <v>0</v>
      </c>
      <c r="CD78" s="103">
        <f t="shared" si="66"/>
        <v>0</v>
      </c>
    </row>
    <row r="79" spans="1:82" x14ac:dyDescent="0.25">
      <c r="A79" s="96">
        <f t="shared" si="46"/>
        <v>38749</v>
      </c>
      <c r="B79" s="97">
        <f t="shared" si="47"/>
        <v>3.65</v>
      </c>
      <c r="C79" s="77">
        <f t="shared" si="48"/>
        <v>0.28000000000000003</v>
      </c>
      <c r="D79" s="97">
        <f t="shared" si="1"/>
        <v>0</v>
      </c>
      <c r="E79" s="100">
        <f t="shared" si="2"/>
        <v>1</v>
      </c>
      <c r="F79" s="99">
        <f t="shared" ca="1" si="3"/>
        <v>1484</v>
      </c>
      <c r="G79" s="77" t="e">
        <f t="shared" si="4"/>
        <v>#DIV/0!</v>
      </c>
      <c r="H79" s="77" t="e">
        <f>IF(B$16=1,_xll.xCalcSkew(A79,I79-AO79,b)/100,0)</f>
        <v>#DIV/0!</v>
      </c>
      <c r="I79" s="98">
        <f t="shared" si="68"/>
        <v>4</v>
      </c>
      <c r="K79" s="97">
        <f t="shared" si="6"/>
        <v>-0.03</v>
      </c>
      <c r="L79" s="100">
        <f t="shared" si="7"/>
        <v>1</v>
      </c>
      <c r="M79" s="99">
        <f t="shared" ca="1" si="8"/>
        <v>1485</v>
      </c>
      <c r="N79" s="175" t="e">
        <f t="shared" si="9"/>
        <v>#DIV/0!</v>
      </c>
      <c r="O79" s="77" t="e">
        <f>IF(D$16=1,_xll.xCalcSkew($A79,P79-AZ79,b)/100,0)</f>
        <v>#DIV/0!</v>
      </c>
      <c r="P79" s="98">
        <f t="shared" si="69"/>
        <v>2.5</v>
      </c>
      <c r="R79" s="97">
        <f t="shared" si="11"/>
        <v>-0.03</v>
      </c>
      <c r="S79" s="100">
        <f t="shared" si="12"/>
        <v>1</v>
      </c>
      <c r="T79" s="99">
        <f t="shared" ca="1" si="13"/>
        <v>1485</v>
      </c>
      <c r="U79" s="175" t="e">
        <f t="shared" si="14"/>
        <v>#DIV/0!</v>
      </c>
      <c r="V79" s="77" t="e">
        <f>IF(F$16=1,_xll.xCalcSkew($A79,W79-BK79,b)/100,0)</f>
        <v>#DIV/0!</v>
      </c>
      <c r="W79" s="98">
        <f t="shared" si="70"/>
        <v>2.5</v>
      </c>
      <c r="X79" s="99"/>
      <c r="Y79" s="97">
        <f t="shared" si="16"/>
        <v>-0.03</v>
      </c>
      <c r="Z79" s="100">
        <f t="shared" si="17"/>
        <v>1</v>
      </c>
      <c r="AA79" s="99">
        <f t="shared" ca="1" si="18"/>
        <v>1485</v>
      </c>
      <c r="AB79" s="77" t="e">
        <f t="shared" si="19"/>
        <v>#DIV/0!</v>
      </c>
      <c r="AC79" s="77" t="e">
        <f>IF(H$16=1,_xll.xCalcSkew($A79,AD79-BV79,b)/100,0)</f>
        <v>#DIV/0!</v>
      </c>
      <c r="AD79" s="98">
        <f t="shared" si="71"/>
        <v>2.4900000000000002</v>
      </c>
      <c r="AF79" s="99">
        <f t="shared" ca="1" si="21"/>
        <v>1485</v>
      </c>
      <c r="AG79" s="99">
        <f t="shared" ca="1" si="22"/>
        <v>1484</v>
      </c>
      <c r="AH79" s="77">
        <f t="shared" si="67"/>
        <v>4.8120638955663403E-2</v>
      </c>
      <c r="AI79" s="154">
        <f t="shared" si="0"/>
        <v>28</v>
      </c>
      <c r="AL79" s="99"/>
      <c r="AM79" s="78"/>
      <c r="AN79" s="78">
        <f t="shared" si="49"/>
        <v>0</v>
      </c>
      <c r="AO79" s="303" t="e">
        <f t="shared" si="50"/>
        <v>#DIV/0!</v>
      </c>
      <c r="AP79" s="75">
        <f t="shared" si="72"/>
        <v>0</v>
      </c>
      <c r="AQ79" s="102">
        <f t="shared" si="73"/>
        <v>0</v>
      </c>
      <c r="AR79" s="101">
        <f t="shared" si="26"/>
        <v>0</v>
      </c>
      <c r="AS79" s="101">
        <f t="shared" si="51"/>
        <v>0</v>
      </c>
      <c r="AT79" s="101">
        <f t="shared" si="27"/>
        <v>0</v>
      </c>
      <c r="AU79" s="103">
        <f t="shared" si="52"/>
        <v>0</v>
      </c>
      <c r="AV79" s="103">
        <f t="shared" si="53"/>
        <v>0</v>
      </c>
      <c r="AW79" s="103">
        <f t="shared" si="54"/>
        <v>0</v>
      </c>
      <c r="AY79" s="78">
        <f t="shared" si="28"/>
        <v>0</v>
      </c>
      <c r="AZ79" s="303" t="e">
        <f t="shared" si="55"/>
        <v>#DIV/0!</v>
      </c>
      <c r="BA79" s="75">
        <f t="shared" si="74"/>
        <v>0</v>
      </c>
      <c r="BB79" s="102">
        <f t="shared" si="75"/>
        <v>0</v>
      </c>
      <c r="BC79" s="101">
        <f t="shared" si="31"/>
        <v>0</v>
      </c>
      <c r="BD79" s="101">
        <f t="shared" si="32"/>
        <v>0</v>
      </c>
      <c r="BE79" s="101">
        <f t="shared" si="33"/>
        <v>0</v>
      </c>
      <c r="BF79" s="103">
        <f t="shared" si="56"/>
        <v>0</v>
      </c>
      <c r="BG79" s="103">
        <f t="shared" si="57"/>
        <v>0</v>
      </c>
      <c r="BH79" s="103">
        <f t="shared" si="58"/>
        <v>0</v>
      </c>
      <c r="BJ79" s="78">
        <f t="shared" si="34"/>
        <v>0</v>
      </c>
      <c r="BK79" s="303" t="e">
        <f t="shared" si="59"/>
        <v>#DIV/0!</v>
      </c>
      <c r="BL79" s="75">
        <f t="shared" si="76"/>
        <v>0</v>
      </c>
      <c r="BM79" s="102">
        <f t="shared" si="77"/>
        <v>0</v>
      </c>
      <c r="BN79" s="101">
        <f t="shared" si="37"/>
        <v>0</v>
      </c>
      <c r="BO79" s="101">
        <f t="shared" si="38"/>
        <v>0</v>
      </c>
      <c r="BP79" s="101">
        <f t="shared" si="39"/>
        <v>0</v>
      </c>
      <c r="BQ79" s="103">
        <f t="shared" si="60"/>
        <v>0</v>
      </c>
      <c r="BR79" s="103">
        <f t="shared" si="61"/>
        <v>0</v>
      </c>
      <c r="BS79" s="103">
        <f t="shared" si="62"/>
        <v>0</v>
      </c>
      <c r="BU79" s="78">
        <f t="shared" si="40"/>
        <v>0</v>
      </c>
      <c r="BV79" s="303" t="e">
        <f t="shared" si="63"/>
        <v>#DIV/0!</v>
      </c>
      <c r="BW79" s="75">
        <f t="shared" si="78"/>
        <v>0</v>
      </c>
      <c r="BX79" s="102">
        <f t="shared" si="79"/>
        <v>0</v>
      </c>
      <c r="BY79" s="101">
        <f t="shared" si="43"/>
        <v>0</v>
      </c>
      <c r="BZ79" s="101">
        <f t="shared" si="44"/>
        <v>0</v>
      </c>
      <c r="CA79" s="101">
        <f t="shared" si="45"/>
        <v>0</v>
      </c>
      <c r="CB79" s="103">
        <f t="shared" si="64"/>
        <v>0</v>
      </c>
      <c r="CC79" s="103">
        <f t="shared" si="65"/>
        <v>0</v>
      </c>
      <c r="CD79" s="103">
        <f t="shared" si="66"/>
        <v>0</v>
      </c>
    </row>
    <row r="80" spans="1:82" x14ac:dyDescent="0.25">
      <c r="A80" s="96">
        <f t="shared" si="46"/>
        <v>38777</v>
      </c>
      <c r="B80" s="97">
        <f t="shared" si="47"/>
        <v>3.52</v>
      </c>
      <c r="C80" s="77">
        <f t="shared" si="48"/>
        <v>0.27</v>
      </c>
      <c r="D80" s="97">
        <f t="shared" si="1"/>
        <v>0</v>
      </c>
      <c r="E80" s="100">
        <f t="shared" si="2"/>
        <v>1</v>
      </c>
      <c r="F80" s="99">
        <f t="shared" ca="1" si="3"/>
        <v>1512</v>
      </c>
      <c r="G80" s="77" t="e">
        <f t="shared" si="4"/>
        <v>#DIV/0!</v>
      </c>
      <c r="H80" s="77" t="e">
        <f>IF(B$16=1,_xll.xCalcSkew(A80,I80-AO80,b)/100,0)</f>
        <v>#DIV/0!</v>
      </c>
      <c r="I80" s="98">
        <f t="shared" si="68"/>
        <v>4</v>
      </c>
      <c r="K80" s="97">
        <f t="shared" si="6"/>
        <v>-1.7500000000000002E-2</v>
      </c>
      <c r="L80" s="100">
        <f t="shared" si="7"/>
        <v>1</v>
      </c>
      <c r="M80" s="99">
        <f t="shared" ca="1" si="8"/>
        <v>1513</v>
      </c>
      <c r="N80" s="175" t="e">
        <f t="shared" si="9"/>
        <v>#DIV/0!</v>
      </c>
      <c r="O80" s="77" t="e">
        <f>IF(D$16=1,_xll.xCalcSkew($A80,P80-AZ80,b)/100,0)</f>
        <v>#DIV/0!</v>
      </c>
      <c r="P80" s="98">
        <f t="shared" si="69"/>
        <v>2.5</v>
      </c>
      <c r="R80" s="97">
        <f t="shared" si="11"/>
        <v>-1.7500000000000002E-2</v>
      </c>
      <c r="S80" s="100">
        <f t="shared" si="12"/>
        <v>1</v>
      </c>
      <c r="T80" s="99">
        <f t="shared" ca="1" si="13"/>
        <v>1513</v>
      </c>
      <c r="U80" s="175" t="e">
        <f t="shared" si="14"/>
        <v>#DIV/0!</v>
      </c>
      <c r="V80" s="77" t="e">
        <f>IF(F$16=1,_xll.xCalcSkew($A80,W80-BK80,b)/100,0)</f>
        <v>#DIV/0!</v>
      </c>
      <c r="W80" s="98">
        <f t="shared" si="70"/>
        <v>2.5</v>
      </c>
      <c r="X80" s="99"/>
      <c r="Y80" s="97">
        <f t="shared" si="16"/>
        <v>-1.7500000000000002E-2</v>
      </c>
      <c r="Z80" s="100">
        <f t="shared" si="17"/>
        <v>1</v>
      </c>
      <c r="AA80" s="99">
        <f t="shared" ca="1" si="18"/>
        <v>1513</v>
      </c>
      <c r="AB80" s="77" t="e">
        <f t="shared" si="19"/>
        <v>#DIV/0!</v>
      </c>
      <c r="AC80" s="77" t="e">
        <f>IF(H$16=1,_xll.xCalcSkew($A80,AD80-BV80,b)/100,0)</f>
        <v>#DIV/0!</v>
      </c>
      <c r="AD80" s="98">
        <f t="shared" si="71"/>
        <v>2.4900000000000002</v>
      </c>
      <c r="AF80" s="99">
        <f t="shared" ca="1" si="21"/>
        <v>1513</v>
      </c>
      <c r="AG80" s="99">
        <f t="shared" ca="1" si="22"/>
        <v>1512</v>
      </c>
      <c r="AH80" s="77">
        <f t="shared" si="67"/>
        <v>4.84011548433219E-2</v>
      </c>
      <c r="AI80" s="154">
        <f t="shared" si="0"/>
        <v>31</v>
      </c>
      <c r="AL80" s="99"/>
      <c r="AM80" s="78"/>
      <c r="AN80" s="78">
        <f t="shared" si="49"/>
        <v>0</v>
      </c>
      <c r="AO80" s="303" t="e">
        <f t="shared" si="50"/>
        <v>#DIV/0!</v>
      </c>
      <c r="AP80" s="75">
        <f t="shared" si="72"/>
        <v>0</v>
      </c>
      <c r="AQ80" s="102">
        <f t="shared" si="73"/>
        <v>0</v>
      </c>
      <c r="AR80" s="101">
        <f t="shared" si="26"/>
        <v>0</v>
      </c>
      <c r="AS80" s="101">
        <f t="shared" si="51"/>
        <v>0</v>
      </c>
      <c r="AT80" s="101">
        <f t="shared" si="27"/>
        <v>0</v>
      </c>
      <c r="AU80" s="103">
        <f t="shared" si="52"/>
        <v>0</v>
      </c>
      <c r="AV80" s="103">
        <f t="shared" si="53"/>
        <v>0</v>
      </c>
      <c r="AW80" s="103">
        <f t="shared" si="54"/>
        <v>0</v>
      </c>
      <c r="AY80" s="78">
        <f t="shared" si="28"/>
        <v>0</v>
      </c>
      <c r="AZ80" s="303" t="e">
        <f t="shared" si="55"/>
        <v>#DIV/0!</v>
      </c>
      <c r="BA80" s="75">
        <f t="shared" si="74"/>
        <v>0</v>
      </c>
      <c r="BB80" s="102">
        <f t="shared" si="75"/>
        <v>0</v>
      </c>
      <c r="BC80" s="101">
        <f t="shared" si="31"/>
        <v>0</v>
      </c>
      <c r="BD80" s="101">
        <f t="shared" si="32"/>
        <v>0</v>
      </c>
      <c r="BE80" s="101">
        <f t="shared" si="33"/>
        <v>0</v>
      </c>
      <c r="BF80" s="103">
        <f t="shared" si="56"/>
        <v>0</v>
      </c>
      <c r="BG80" s="103">
        <f t="shared" si="57"/>
        <v>0</v>
      </c>
      <c r="BH80" s="103">
        <f t="shared" si="58"/>
        <v>0</v>
      </c>
      <c r="BJ80" s="78">
        <f t="shared" si="34"/>
        <v>0</v>
      </c>
      <c r="BK80" s="303" t="e">
        <f t="shared" si="59"/>
        <v>#DIV/0!</v>
      </c>
      <c r="BL80" s="75">
        <f t="shared" si="76"/>
        <v>0</v>
      </c>
      <c r="BM80" s="102">
        <f t="shared" si="77"/>
        <v>0</v>
      </c>
      <c r="BN80" s="101">
        <f t="shared" si="37"/>
        <v>0</v>
      </c>
      <c r="BO80" s="101">
        <f t="shared" si="38"/>
        <v>0</v>
      </c>
      <c r="BP80" s="101">
        <f t="shared" si="39"/>
        <v>0</v>
      </c>
      <c r="BQ80" s="103">
        <f t="shared" si="60"/>
        <v>0</v>
      </c>
      <c r="BR80" s="103">
        <f t="shared" si="61"/>
        <v>0</v>
      </c>
      <c r="BS80" s="103">
        <f t="shared" si="62"/>
        <v>0</v>
      </c>
      <c r="BU80" s="78">
        <f t="shared" si="40"/>
        <v>0</v>
      </c>
      <c r="BV80" s="303" t="e">
        <f t="shared" si="63"/>
        <v>#DIV/0!</v>
      </c>
      <c r="BW80" s="75">
        <f t="shared" si="78"/>
        <v>0</v>
      </c>
      <c r="BX80" s="102">
        <f t="shared" si="79"/>
        <v>0</v>
      </c>
      <c r="BY80" s="101">
        <f t="shared" si="43"/>
        <v>0</v>
      </c>
      <c r="BZ80" s="101">
        <f t="shared" si="44"/>
        <v>0</v>
      </c>
      <c r="CA80" s="101">
        <f t="shared" si="45"/>
        <v>0</v>
      </c>
      <c r="CB80" s="103">
        <f t="shared" si="64"/>
        <v>0</v>
      </c>
      <c r="CC80" s="103">
        <f t="shared" si="65"/>
        <v>0</v>
      </c>
      <c r="CD80" s="103">
        <f t="shared" si="66"/>
        <v>0</v>
      </c>
    </row>
    <row r="81" spans="1:82" x14ac:dyDescent="0.25">
      <c r="A81" s="96">
        <f t="shared" si="46"/>
        <v>38808</v>
      </c>
      <c r="B81" s="97">
        <f t="shared" si="47"/>
        <v>3.335</v>
      </c>
      <c r="C81" s="77">
        <f t="shared" si="48"/>
        <v>0.25</v>
      </c>
      <c r="D81" s="97">
        <f t="shared" si="1"/>
        <v>0</v>
      </c>
      <c r="E81" s="100">
        <f t="shared" si="2"/>
        <v>1</v>
      </c>
      <c r="F81" s="99">
        <f t="shared" ca="1" si="3"/>
        <v>1545</v>
      </c>
      <c r="G81" s="77" t="e">
        <f t="shared" si="4"/>
        <v>#DIV/0!</v>
      </c>
      <c r="H81" s="77" t="e">
        <f>IF(B$16=1,_xll.xCalcSkew(A81,I81-AO81,b)/100,0)</f>
        <v>#DIV/0!</v>
      </c>
      <c r="I81" s="98">
        <f t="shared" si="68"/>
        <v>4</v>
      </c>
      <c r="K81" s="97">
        <f t="shared" si="6"/>
        <v>0.02</v>
      </c>
      <c r="L81" s="100">
        <f t="shared" si="7"/>
        <v>1</v>
      </c>
      <c r="M81" s="99">
        <f t="shared" ca="1" si="8"/>
        <v>1546</v>
      </c>
      <c r="N81" s="175" t="e">
        <f t="shared" si="9"/>
        <v>#DIV/0!</v>
      </c>
      <c r="O81" s="77" t="e">
        <f>IF(D$16=1,_xll.xCalcSkew($A81,P81-AZ81,b)/100,0)</f>
        <v>#DIV/0!</v>
      </c>
      <c r="P81" s="98">
        <f t="shared" si="69"/>
        <v>2.5</v>
      </c>
      <c r="R81" s="97">
        <f t="shared" si="11"/>
        <v>0.02</v>
      </c>
      <c r="S81" s="100">
        <f t="shared" si="12"/>
        <v>1</v>
      </c>
      <c r="T81" s="99">
        <f t="shared" ca="1" si="13"/>
        <v>1546</v>
      </c>
      <c r="U81" s="175" t="e">
        <f t="shared" si="14"/>
        <v>#DIV/0!</v>
      </c>
      <c r="V81" s="77" t="e">
        <f>IF(F$16=1,_xll.xCalcSkew($A81,W81-BK81,b)/100,0)</f>
        <v>#DIV/0!</v>
      </c>
      <c r="W81" s="98">
        <f t="shared" si="70"/>
        <v>2.5</v>
      </c>
      <c r="X81" s="99"/>
      <c r="Y81" s="97">
        <f t="shared" si="16"/>
        <v>0.02</v>
      </c>
      <c r="Z81" s="100">
        <f t="shared" si="17"/>
        <v>1</v>
      </c>
      <c r="AA81" s="99">
        <f t="shared" ca="1" si="18"/>
        <v>1546</v>
      </c>
      <c r="AB81" s="77" t="e">
        <f t="shared" si="19"/>
        <v>#DIV/0!</v>
      </c>
      <c r="AC81" s="77" t="e">
        <f>IF(H$16=1,_xll.xCalcSkew($A81,AD81-BV81,b)/100,0)</f>
        <v>#DIV/0!</v>
      </c>
      <c r="AD81" s="98">
        <f t="shared" si="71"/>
        <v>2.4900000000000002</v>
      </c>
      <c r="AF81" s="99">
        <f t="shared" ca="1" si="21"/>
        <v>1546</v>
      </c>
      <c r="AG81" s="99">
        <f t="shared" ca="1" si="22"/>
        <v>1545</v>
      </c>
      <c r="AH81" s="77">
        <f t="shared" si="67"/>
        <v>4.8711726035327398E-2</v>
      </c>
      <c r="AI81" s="154">
        <f t="shared" si="0"/>
        <v>30</v>
      </c>
      <c r="AL81" s="99"/>
      <c r="AM81" s="78"/>
      <c r="AN81" s="78">
        <f t="shared" si="49"/>
        <v>0</v>
      </c>
      <c r="AO81" s="303" t="e">
        <f t="shared" si="50"/>
        <v>#DIV/0!</v>
      </c>
      <c r="AP81" s="75">
        <f t="shared" si="72"/>
        <v>0</v>
      </c>
      <c r="AQ81" s="102">
        <f t="shared" si="73"/>
        <v>0</v>
      </c>
      <c r="AR81" s="101">
        <f t="shared" si="26"/>
        <v>0</v>
      </c>
      <c r="AS81" s="101">
        <f t="shared" si="51"/>
        <v>0</v>
      </c>
      <c r="AT81" s="101">
        <f t="shared" si="27"/>
        <v>0</v>
      </c>
      <c r="AU81" s="103">
        <f t="shared" si="52"/>
        <v>0</v>
      </c>
      <c r="AV81" s="103">
        <f t="shared" si="53"/>
        <v>0</v>
      </c>
      <c r="AW81" s="103">
        <f t="shared" si="54"/>
        <v>0</v>
      </c>
      <c r="AY81" s="78">
        <f t="shared" si="28"/>
        <v>0</v>
      </c>
      <c r="AZ81" s="303" t="e">
        <f t="shared" si="55"/>
        <v>#DIV/0!</v>
      </c>
      <c r="BA81" s="75">
        <f t="shared" si="74"/>
        <v>0</v>
      </c>
      <c r="BB81" s="102">
        <f t="shared" si="75"/>
        <v>0</v>
      </c>
      <c r="BC81" s="101">
        <f t="shared" si="31"/>
        <v>0</v>
      </c>
      <c r="BD81" s="101">
        <f t="shared" si="32"/>
        <v>0</v>
      </c>
      <c r="BE81" s="101">
        <f t="shared" si="33"/>
        <v>0</v>
      </c>
      <c r="BF81" s="103">
        <f t="shared" si="56"/>
        <v>0</v>
      </c>
      <c r="BG81" s="103">
        <f t="shared" si="57"/>
        <v>0</v>
      </c>
      <c r="BH81" s="103">
        <f t="shared" si="58"/>
        <v>0</v>
      </c>
      <c r="BJ81" s="78">
        <f t="shared" si="34"/>
        <v>0</v>
      </c>
      <c r="BK81" s="303" t="e">
        <f t="shared" si="59"/>
        <v>#DIV/0!</v>
      </c>
      <c r="BL81" s="75">
        <f t="shared" si="76"/>
        <v>0</v>
      </c>
      <c r="BM81" s="102">
        <f t="shared" si="77"/>
        <v>0</v>
      </c>
      <c r="BN81" s="101">
        <f t="shared" si="37"/>
        <v>0</v>
      </c>
      <c r="BO81" s="101">
        <f t="shared" si="38"/>
        <v>0</v>
      </c>
      <c r="BP81" s="101">
        <f t="shared" si="39"/>
        <v>0</v>
      </c>
      <c r="BQ81" s="103">
        <f t="shared" si="60"/>
        <v>0</v>
      </c>
      <c r="BR81" s="103">
        <f t="shared" si="61"/>
        <v>0</v>
      </c>
      <c r="BS81" s="103">
        <f t="shared" si="62"/>
        <v>0</v>
      </c>
      <c r="BU81" s="78">
        <f t="shared" si="40"/>
        <v>0</v>
      </c>
      <c r="BV81" s="303" t="e">
        <f t="shared" si="63"/>
        <v>#DIV/0!</v>
      </c>
      <c r="BW81" s="75">
        <f t="shared" si="78"/>
        <v>0</v>
      </c>
      <c r="BX81" s="102">
        <f t="shared" si="79"/>
        <v>0</v>
      </c>
      <c r="BY81" s="101">
        <f t="shared" si="43"/>
        <v>0</v>
      </c>
      <c r="BZ81" s="101">
        <f t="shared" si="44"/>
        <v>0</v>
      </c>
      <c r="CA81" s="101">
        <f t="shared" si="45"/>
        <v>0</v>
      </c>
      <c r="CB81" s="103">
        <f t="shared" si="64"/>
        <v>0</v>
      </c>
      <c r="CC81" s="103">
        <f t="shared" si="65"/>
        <v>0</v>
      </c>
      <c r="CD81" s="103">
        <f t="shared" si="66"/>
        <v>0</v>
      </c>
    </row>
    <row r="82" spans="1:82" x14ac:dyDescent="0.25">
      <c r="A82" s="96">
        <f t="shared" si="46"/>
        <v>38838</v>
      </c>
      <c r="B82" s="97">
        <f t="shared" si="47"/>
        <v>3.33</v>
      </c>
      <c r="C82" s="77">
        <f t="shared" si="48"/>
        <v>0.245</v>
      </c>
      <c r="D82" s="97">
        <f t="shared" si="1"/>
        <v>0</v>
      </c>
      <c r="E82" s="100">
        <f t="shared" si="2"/>
        <v>1</v>
      </c>
      <c r="F82" s="99">
        <f t="shared" ca="1" si="3"/>
        <v>1573</v>
      </c>
      <c r="G82" s="77" t="e">
        <f t="shared" si="4"/>
        <v>#DIV/0!</v>
      </c>
      <c r="H82" s="77" t="e">
        <f>IF(B$16=1,_xll.xCalcSkew(A82,I82-AO82,b)/100,0)</f>
        <v>#DIV/0!</v>
      </c>
      <c r="I82" s="98">
        <f t="shared" si="68"/>
        <v>4</v>
      </c>
      <c r="K82" s="97">
        <f t="shared" si="6"/>
        <v>0.02</v>
      </c>
      <c r="L82" s="100">
        <f t="shared" si="7"/>
        <v>1</v>
      </c>
      <c r="M82" s="99">
        <f t="shared" ca="1" si="8"/>
        <v>1574</v>
      </c>
      <c r="N82" s="175" t="e">
        <f t="shared" si="9"/>
        <v>#DIV/0!</v>
      </c>
      <c r="O82" s="77" t="e">
        <f>IF(D$16=1,_xll.xCalcSkew($A82,P82-AZ82,b)/100,0)</f>
        <v>#DIV/0!</v>
      </c>
      <c r="P82" s="98">
        <f t="shared" si="69"/>
        <v>2.5</v>
      </c>
      <c r="R82" s="97">
        <f t="shared" si="11"/>
        <v>0.02</v>
      </c>
      <c r="S82" s="100">
        <f t="shared" si="12"/>
        <v>1</v>
      </c>
      <c r="T82" s="99">
        <f t="shared" ca="1" si="13"/>
        <v>1574</v>
      </c>
      <c r="U82" s="175" t="e">
        <f t="shared" si="14"/>
        <v>#DIV/0!</v>
      </c>
      <c r="V82" s="77" t="e">
        <f>IF(F$16=1,_xll.xCalcSkew($A82,W82-BK82,b)/100,0)</f>
        <v>#DIV/0!</v>
      </c>
      <c r="W82" s="98">
        <f t="shared" si="70"/>
        <v>2.5</v>
      </c>
      <c r="X82" s="99"/>
      <c r="Y82" s="97">
        <f t="shared" si="16"/>
        <v>0.02</v>
      </c>
      <c r="Z82" s="100">
        <f t="shared" si="17"/>
        <v>1</v>
      </c>
      <c r="AA82" s="99">
        <f t="shared" ca="1" si="18"/>
        <v>1574</v>
      </c>
      <c r="AB82" s="77" t="e">
        <f t="shared" si="19"/>
        <v>#DIV/0!</v>
      </c>
      <c r="AC82" s="77" t="e">
        <f>IF(H$16=1,_xll.xCalcSkew($A82,AD82-BV82,b)/100,0)</f>
        <v>#DIV/0!</v>
      </c>
      <c r="AD82" s="98">
        <f t="shared" si="71"/>
        <v>2.4900000000000002</v>
      </c>
      <c r="AF82" s="99">
        <f t="shared" ca="1" si="21"/>
        <v>1574</v>
      </c>
      <c r="AG82" s="99">
        <f t="shared" ca="1" si="22"/>
        <v>1573</v>
      </c>
      <c r="AH82" s="77">
        <f t="shared" si="67"/>
        <v>4.9012278832467601E-2</v>
      </c>
      <c r="AI82" s="154">
        <f t="shared" si="0"/>
        <v>31</v>
      </c>
      <c r="AL82" s="99"/>
      <c r="AM82" s="78"/>
      <c r="AN82" s="78">
        <f t="shared" si="49"/>
        <v>0</v>
      </c>
      <c r="AO82" s="303" t="e">
        <f t="shared" si="50"/>
        <v>#DIV/0!</v>
      </c>
      <c r="AP82" s="75">
        <f t="shared" si="72"/>
        <v>0</v>
      </c>
      <c r="AQ82" s="102">
        <f t="shared" si="73"/>
        <v>0</v>
      </c>
      <c r="AR82" s="101">
        <f t="shared" si="26"/>
        <v>0</v>
      </c>
      <c r="AS82" s="101">
        <f t="shared" si="51"/>
        <v>0</v>
      </c>
      <c r="AT82" s="101">
        <f t="shared" si="27"/>
        <v>0</v>
      </c>
      <c r="AU82" s="103">
        <f t="shared" si="52"/>
        <v>0</v>
      </c>
      <c r="AV82" s="103">
        <f t="shared" si="53"/>
        <v>0</v>
      </c>
      <c r="AW82" s="103">
        <f t="shared" si="54"/>
        <v>0</v>
      </c>
      <c r="AY82" s="78">
        <f t="shared" si="28"/>
        <v>0</v>
      </c>
      <c r="AZ82" s="303" t="e">
        <f t="shared" si="55"/>
        <v>#DIV/0!</v>
      </c>
      <c r="BA82" s="75">
        <f t="shared" si="74"/>
        <v>0</v>
      </c>
      <c r="BB82" s="102">
        <f t="shared" si="75"/>
        <v>0</v>
      </c>
      <c r="BC82" s="101">
        <f t="shared" si="31"/>
        <v>0</v>
      </c>
      <c r="BD82" s="101">
        <f t="shared" si="32"/>
        <v>0</v>
      </c>
      <c r="BE82" s="101">
        <f t="shared" si="33"/>
        <v>0</v>
      </c>
      <c r="BF82" s="103">
        <f t="shared" si="56"/>
        <v>0</v>
      </c>
      <c r="BG82" s="103">
        <f t="shared" si="57"/>
        <v>0</v>
      </c>
      <c r="BH82" s="103">
        <f t="shared" si="58"/>
        <v>0</v>
      </c>
      <c r="BJ82" s="78">
        <f t="shared" si="34"/>
        <v>0</v>
      </c>
      <c r="BK82" s="303" t="e">
        <f t="shared" si="59"/>
        <v>#DIV/0!</v>
      </c>
      <c r="BL82" s="75">
        <f t="shared" si="76"/>
        <v>0</v>
      </c>
      <c r="BM82" s="102">
        <f t="shared" si="77"/>
        <v>0</v>
      </c>
      <c r="BN82" s="101">
        <f t="shared" si="37"/>
        <v>0</v>
      </c>
      <c r="BO82" s="101">
        <f t="shared" si="38"/>
        <v>0</v>
      </c>
      <c r="BP82" s="101">
        <f t="shared" si="39"/>
        <v>0</v>
      </c>
      <c r="BQ82" s="103">
        <f t="shared" si="60"/>
        <v>0</v>
      </c>
      <c r="BR82" s="103">
        <f t="shared" si="61"/>
        <v>0</v>
      </c>
      <c r="BS82" s="103">
        <f t="shared" si="62"/>
        <v>0</v>
      </c>
      <c r="BU82" s="78">
        <f t="shared" si="40"/>
        <v>0</v>
      </c>
      <c r="BV82" s="303" t="e">
        <f t="shared" si="63"/>
        <v>#DIV/0!</v>
      </c>
      <c r="BW82" s="75">
        <f t="shared" si="78"/>
        <v>0</v>
      </c>
      <c r="BX82" s="102">
        <f t="shared" si="79"/>
        <v>0</v>
      </c>
      <c r="BY82" s="101">
        <f t="shared" si="43"/>
        <v>0</v>
      </c>
      <c r="BZ82" s="101">
        <f t="shared" si="44"/>
        <v>0</v>
      </c>
      <c r="CA82" s="101">
        <f t="shared" si="45"/>
        <v>0</v>
      </c>
      <c r="CB82" s="103">
        <f t="shared" si="64"/>
        <v>0</v>
      </c>
      <c r="CC82" s="103">
        <f t="shared" si="65"/>
        <v>0</v>
      </c>
      <c r="CD82" s="103">
        <f t="shared" si="66"/>
        <v>0</v>
      </c>
    </row>
    <row r="83" spans="1:82" x14ac:dyDescent="0.25">
      <c r="A83" s="96">
        <f t="shared" si="46"/>
        <v>38869</v>
      </c>
      <c r="B83" s="97">
        <f t="shared" si="47"/>
        <v>3.3650000000000002</v>
      </c>
      <c r="C83" s="77">
        <f t="shared" si="48"/>
        <v>0.2475</v>
      </c>
      <c r="D83" s="97">
        <f t="shared" si="1"/>
        <v>0</v>
      </c>
      <c r="E83" s="100">
        <f t="shared" si="2"/>
        <v>1</v>
      </c>
      <c r="F83" s="99">
        <f t="shared" ca="1" si="3"/>
        <v>1603</v>
      </c>
      <c r="G83" s="77" t="e">
        <f t="shared" si="4"/>
        <v>#DIV/0!</v>
      </c>
      <c r="H83" s="77" t="e">
        <f>IF(B$16=1,_xll.xCalcSkew(A83,I83-AO83,b)/100,0)</f>
        <v>#DIV/0!</v>
      </c>
      <c r="I83" s="98">
        <f t="shared" si="68"/>
        <v>4</v>
      </c>
      <c r="K83" s="97">
        <f t="shared" si="6"/>
        <v>2.5000000000000001E-2</v>
      </c>
      <c r="L83" s="100">
        <f t="shared" si="7"/>
        <v>1</v>
      </c>
      <c r="M83" s="99">
        <f t="shared" ca="1" si="8"/>
        <v>1604</v>
      </c>
      <c r="N83" s="175" t="e">
        <f t="shared" si="9"/>
        <v>#DIV/0!</v>
      </c>
      <c r="O83" s="77" t="e">
        <f>IF(D$16=1,_xll.xCalcSkew($A83,P83-AZ83,b)/100,0)</f>
        <v>#DIV/0!</v>
      </c>
      <c r="P83" s="98">
        <f t="shared" si="69"/>
        <v>2.5</v>
      </c>
      <c r="R83" s="97">
        <f t="shared" si="11"/>
        <v>2.5000000000000001E-2</v>
      </c>
      <c r="S83" s="100">
        <f t="shared" si="12"/>
        <v>1</v>
      </c>
      <c r="T83" s="99">
        <f t="shared" ca="1" si="13"/>
        <v>1604</v>
      </c>
      <c r="U83" s="175" t="e">
        <f t="shared" si="14"/>
        <v>#DIV/0!</v>
      </c>
      <c r="V83" s="77" t="e">
        <f>IF(F$16=1,_xll.xCalcSkew($A83,W83-BK83,b)/100,0)</f>
        <v>#DIV/0!</v>
      </c>
      <c r="W83" s="98">
        <f t="shared" si="70"/>
        <v>2.5</v>
      </c>
      <c r="X83" s="99"/>
      <c r="Y83" s="97">
        <f t="shared" si="16"/>
        <v>2.5000000000000001E-2</v>
      </c>
      <c r="Z83" s="100">
        <f t="shared" si="17"/>
        <v>1</v>
      </c>
      <c r="AA83" s="99">
        <f t="shared" ca="1" si="18"/>
        <v>1604</v>
      </c>
      <c r="AB83" s="77" t="e">
        <f t="shared" si="19"/>
        <v>#DIV/0!</v>
      </c>
      <c r="AC83" s="77" t="e">
        <f>IF(H$16=1,_xll.xCalcSkew($A83,AD83-BV83,b)/100,0)</f>
        <v>#DIV/0!</v>
      </c>
      <c r="AD83" s="98">
        <f t="shared" si="71"/>
        <v>2.4900000000000002</v>
      </c>
      <c r="AF83" s="99">
        <f t="shared" ca="1" si="21"/>
        <v>1604</v>
      </c>
      <c r="AG83" s="99">
        <f t="shared" ca="1" si="22"/>
        <v>1603</v>
      </c>
      <c r="AH83" s="77">
        <f t="shared" si="67"/>
        <v>4.9322850087879302E-2</v>
      </c>
      <c r="AI83" s="154">
        <f t="shared" si="0"/>
        <v>30</v>
      </c>
      <c r="AL83" s="99"/>
      <c r="AM83" s="78"/>
      <c r="AN83" s="78">
        <f t="shared" si="49"/>
        <v>0</v>
      </c>
      <c r="AO83" s="303" t="e">
        <f t="shared" si="50"/>
        <v>#DIV/0!</v>
      </c>
      <c r="AP83" s="75">
        <f t="shared" si="72"/>
        <v>0</v>
      </c>
      <c r="AQ83" s="102">
        <f t="shared" si="73"/>
        <v>0</v>
      </c>
      <c r="AR83" s="101">
        <f t="shared" si="26"/>
        <v>0</v>
      </c>
      <c r="AS83" s="101">
        <f t="shared" si="51"/>
        <v>0</v>
      </c>
      <c r="AT83" s="101">
        <f t="shared" si="27"/>
        <v>0</v>
      </c>
      <c r="AU83" s="103">
        <f t="shared" si="52"/>
        <v>0</v>
      </c>
      <c r="AV83" s="103">
        <f t="shared" si="53"/>
        <v>0</v>
      </c>
      <c r="AW83" s="103">
        <f t="shared" si="54"/>
        <v>0</v>
      </c>
      <c r="AY83" s="78">
        <f t="shared" si="28"/>
        <v>0</v>
      </c>
      <c r="AZ83" s="303" t="e">
        <f t="shared" si="55"/>
        <v>#DIV/0!</v>
      </c>
      <c r="BA83" s="75">
        <f t="shared" si="74"/>
        <v>0</v>
      </c>
      <c r="BB83" s="102">
        <f t="shared" si="75"/>
        <v>0</v>
      </c>
      <c r="BC83" s="101">
        <f t="shared" si="31"/>
        <v>0</v>
      </c>
      <c r="BD83" s="101">
        <f t="shared" si="32"/>
        <v>0</v>
      </c>
      <c r="BE83" s="101">
        <f t="shared" si="33"/>
        <v>0</v>
      </c>
      <c r="BF83" s="103">
        <f t="shared" si="56"/>
        <v>0</v>
      </c>
      <c r="BG83" s="103">
        <f t="shared" si="57"/>
        <v>0</v>
      </c>
      <c r="BH83" s="103">
        <f t="shared" si="58"/>
        <v>0</v>
      </c>
      <c r="BJ83" s="78">
        <f t="shared" si="34"/>
        <v>0</v>
      </c>
      <c r="BK83" s="303" t="e">
        <f t="shared" si="59"/>
        <v>#DIV/0!</v>
      </c>
      <c r="BL83" s="75">
        <f t="shared" si="76"/>
        <v>0</v>
      </c>
      <c r="BM83" s="102">
        <f t="shared" si="77"/>
        <v>0</v>
      </c>
      <c r="BN83" s="101">
        <f t="shared" si="37"/>
        <v>0</v>
      </c>
      <c r="BO83" s="101">
        <f t="shared" si="38"/>
        <v>0</v>
      </c>
      <c r="BP83" s="101">
        <f t="shared" si="39"/>
        <v>0</v>
      </c>
      <c r="BQ83" s="103">
        <f t="shared" si="60"/>
        <v>0</v>
      </c>
      <c r="BR83" s="103">
        <f t="shared" si="61"/>
        <v>0</v>
      </c>
      <c r="BS83" s="103">
        <f t="shared" si="62"/>
        <v>0</v>
      </c>
      <c r="BU83" s="78">
        <f t="shared" si="40"/>
        <v>0</v>
      </c>
      <c r="BV83" s="303" t="e">
        <f t="shared" si="63"/>
        <v>#DIV/0!</v>
      </c>
      <c r="BW83" s="75">
        <f t="shared" si="78"/>
        <v>0</v>
      </c>
      <c r="BX83" s="102">
        <f t="shared" si="79"/>
        <v>0</v>
      </c>
      <c r="BY83" s="101">
        <f t="shared" si="43"/>
        <v>0</v>
      </c>
      <c r="BZ83" s="101">
        <f t="shared" si="44"/>
        <v>0</v>
      </c>
      <c r="CA83" s="101">
        <f t="shared" si="45"/>
        <v>0</v>
      </c>
      <c r="CB83" s="103">
        <f t="shared" si="64"/>
        <v>0</v>
      </c>
      <c r="CC83" s="103">
        <f t="shared" si="65"/>
        <v>0</v>
      </c>
      <c r="CD83" s="103">
        <f t="shared" si="66"/>
        <v>0</v>
      </c>
    </row>
    <row r="84" spans="1:82" x14ac:dyDescent="0.25">
      <c r="A84" s="96">
        <f t="shared" si="46"/>
        <v>38899</v>
      </c>
      <c r="B84" s="97">
        <f t="shared" si="47"/>
        <v>3.4049999999999998</v>
      </c>
      <c r="C84" s="77">
        <f t="shared" si="48"/>
        <v>0.2475</v>
      </c>
      <c r="D84" s="97">
        <f t="shared" si="1"/>
        <v>0</v>
      </c>
      <c r="E84" s="100">
        <f t="shared" si="2"/>
        <v>1</v>
      </c>
      <c r="F84" s="99">
        <f t="shared" ca="1" si="3"/>
        <v>1636</v>
      </c>
      <c r="G84" s="77" t="e">
        <f t="shared" si="4"/>
        <v>#DIV/0!</v>
      </c>
      <c r="H84" s="77" t="e">
        <f>IF(B$16=1,_xll.xCalcSkew(A84,I84-AO84,b)/100,0)</f>
        <v>#DIV/0!</v>
      </c>
      <c r="I84" s="98">
        <f t="shared" si="68"/>
        <v>4</v>
      </c>
      <c r="K84" s="97">
        <f t="shared" si="6"/>
        <v>2.75E-2</v>
      </c>
      <c r="L84" s="100">
        <f t="shared" si="7"/>
        <v>1</v>
      </c>
      <c r="M84" s="99">
        <f t="shared" ca="1" si="8"/>
        <v>1637</v>
      </c>
      <c r="N84" s="175" t="e">
        <f t="shared" si="9"/>
        <v>#DIV/0!</v>
      </c>
      <c r="O84" s="77" t="e">
        <f>IF(D$16=1,_xll.xCalcSkew($A84,P84-AZ84,b)/100,0)</f>
        <v>#DIV/0!</v>
      </c>
      <c r="P84" s="98">
        <f t="shared" si="69"/>
        <v>2.5</v>
      </c>
      <c r="R84" s="97">
        <f t="shared" si="11"/>
        <v>2.75E-2</v>
      </c>
      <c r="S84" s="100">
        <f t="shared" si="12"/>
        <v>1</v>
      </c>
      <c r="T84" s="99">
        <f t="shared" ca="1" si="13"/>
        <v>1637</v>
      </c>
      <c r="U84" s="175" t="e">
        <f t="shared" si="14"/>
        <v>#DIV/0!</v>
      </c>
      <c r="V84" s="77" t="e">
        <f>IF(F$16=1,_xll.xCalcSkew($A84,W84-BK84,b)/100,0)</f>
        <v>#DIV/0!</v>
      </c>
      <c r="W84" s="98">
        <f t="shared" si="70"/>
        <v>2.5</v>
      </c>
      <c r="X84" s="99"/>
      <c r="Y84" s="97">
        <f t="shared" si="16"/>
        <v>2.75E-2</v>
      </c>
      <c r="Z84" s="100">
        <f t="shared" si="17"/>
        <v>1</v>
      </c>
      <c r="AA84" s="99">
        <f t="shared" ca="1" si="18"/>
        <v>1637</v>
      </c>
      <c r="AB84" s="77" t="e">
        <f t="shared" si="19"/>
        <v>#DIV/0!</v>
      </c>
      <c r="AC84" s="77" t="e">
        <f>IF(H$16=1,_xll.xCalcSkew($A84,AD84-BV84,b)/100,0)</f>
        <v>#DIV/0!</v>
      </c>
      <c r="AD84" s="98">
        <f t="shared" si="71"/>
        <v>2.4900000000000002</v>
      </c>
      <c r="AF84" s="99">
        <f t="shared" ca="1" si="21"/>
        <v>1637</v>
      </c>
      <c r="AG84" s="99">
        <f t="shared" ca="1" si="22"/>
        <v>1636</v>
      </c>
      <c r="AH84" s="77">
        <f t="shared" si="67"/>
        <v>4.962340294637E-2</v>
      </c>
      <c r="AI84" s="154">
        <f t="shared" si="0"/>
        <v>31</v>
      </c>
      <c r="AL84" s="99"/>
      <c r="AM84" s="78"/>
      <c r="AN84" s="78">
        <f t="shared" si="49"/>
        <v>0</v>
      </c>
      <c r="AO84" s="303" t="e">
        <f t="shared" si="50"/>
        <v>#DIV/0!</v>
      </c>
      <c r="AP84" s="75">
        <f t="shared" si="72"/>
        <v>0</v>
      </c>
      <c r="AQ84" s="102">
        <f t="shared" si="73"/>
        <v>0</v>
      </c>
      <c r="AR84" s="101">
        <f t="shared" si="26"/>
        <v>0</v>
      </c>
      <c r="AS84" s="101">
        <f t="shared" si="51"/>
        <v>0</v>
      </c>
      <c r="AT84" s="101">
        <f t="shared" si="27"/>
        <v>0</v>
      </c>
      <c r="AU84" s="103">
        <f t="shared" si="52"/>
        <v>0</v>
      </c>
      <c r="AV84" s="103">
        <f t="shared" si="53"/>
        <v>0</v>
      </c>
      <c r="AW84" s="103">
        <f t="shared" si="54"/>
        <v>0</v>
      </c>
      <c r="AY84" s="78">
        <f t="shared" si="28"/>
        <v>0</v>
      </c>
      <c r="AZ84" s="303" t="e">
        <f t="shared" si="55"/>
        <v>#DIV/0!</v>
      </c>
      <c r="BA84" s="75">
        <f t="shared" si="74"/>
        <v>0</v>
      </c>
      <c r="BB84" s="102">
        <f t="shared" si="75"/>
        <v>0</v>
      </c>
      <c r="BC84" s="101">
        <f t="shared" si="31"/>
        <v>0</v>
      </c>
      <c r="BD84" s="101">
        <f t="shared" si="32"/>
        <v>0</v>
      </c>
      <c r="BE84" s="101">
        <f t="shared" si="33"/>
        <v>0</v>
      </c>
      <c r="BF84" s="103">
        <f t="shared" si="56"/>
        <v>0</v>
      </c>
      <c r="BG84" s="103">
        <f t="shared" si="57"/>
        <v>0</v>
      </c>
      <c r="BH84" s="103">
        <f t="shared" si="58"/>
        <v>0</v>
      </c>
      <c r="BJ84" s="78">
        <f t="shared" si="34"/>
        <v>0</v>
      </c>
      <c r="BK84" s="303" t="e">
        <f t="shared" si="59"/>
        <v>#DIV/0!</v>
      </c>
      <c r="BL84" s="75">
        <f t="shared" si="76"/>
        <v>0</v>
      </c>
      <c r="BM84" s="102">
        <f t="shared" si="77"/>
        <v>0</v>
      </c>
      <c r="BN84" s="101">
        <f t="shared" si="37"/>
        <v>0</v>
      </c>
      <c r="BO84" s="101">
        <f t="shared" si="38"/>
        <v>0</v>
      </c>
      <c r="BP84" s="101">
        <f t="shared" si="39"/>
        <v>0</v>
      </c>
      <c r="BQ84" s="103">
        <f t="shared" si="60"/>
        <v>0</v>
      </c>
      <c r="BR84" s="103">
        <f t="shared" si="61"/>
        <v>0</v>
      </c>
      <c r="BS84" s="103">
        <f t="shared" si="62"/>
        <v>0</v>
      </c>
      <c r="BU84" s="78">
        <f t="shared" si="40"/>
        <v>0</v>
      </c>
      <c r="BV84" s="303" t="e">
        <f t="shared" si="63"/>
        <v>#DIV/0!</v>
      </c>
      <c r="BW84" s="75">
        <f t="shared" si="78"/>
        <v>0</v>
      </c>
      <c r="BX84" s="102">
        <f t="shared" si="79"/>
        <v>0</v>
      </c>
      <c r="BY84" s="101">
        <f t="shared" si="43"/>
        <v>0</v>
      </c>
      <c r="BZ84" s="101">
        <f t="shared" si="44"/>
        <v>0</v>
      </c>
      <c r="CA84" s="101">
        <f t="shared" si="45"/>
        <v>0</v>
      </c>
      <c r="CB84" s="103">
        <f t="shared" si="64"/>
        <v>0</v>
      </c>
      <c r="CC84" s="103">
        <f t="shared" si="65"/>
        <v>0</v>
      </c>
      <c r="CD84" s="103">
        <f t="shared" si="66"/>
        <v>0</v>
      </c>
    </row>
    <row r="85" spans="1:82" x14ac:dyDescent="0.25">
      <c r="A85" s="96">
        <f t="shared" si="46"/>
        <v>38930</v>
      </c>
      <c r="B85" s="97">
        <f t="shared" si="47"/>
        <v>3.4449999999999998</v>
      </c>
      <c r="C85" s="77">
        <f t="shared" si="48"/>
        <v>0.2475</v>
      </c>
      <c r="D85" s="97">
        <f t="shared" si="1"/>
        <v>0</v>
      </c>
      <c r="E85" s="100">
        <f t="shared" si="2"/>
        <v>1</v>
      </c>
      <c r="F85" s="99">
        <f t="shared" ca="1" si="3"/>
        <v>1665</v>
      </c>
      <c r="G85" s="77" t="e">
        <f t="shared" si="4"/>
        <v>#DIV/0!</v>
      </c>
      <c r="H85" s="77" t="e">
        <f>IF(B$16=1,_xll.xCalcSkew(A85,I85-AO85,b)/100,0)</f>
        <v>#DIV/0!</v>
      </c>
      <c r="I85" s="98">
        <f t="shared" si="68"/>
        <v>4</v>
      </c>
      <c r="K85" s="97">
        <f t="shared" si="6"/>
        <v>0.03</v>
      </c>
      <c r="L85" s="100">
        <f t="shared" si="7"/>
        <v>1</v>
      </c>
      <c r="M85" s="99">
        <f t="shared" ca="1" si="8"/>
        <v>1666</v>
      </c>
      <c r="N85" s="175" t="e">
        <f t="shared" si="9"/>
        <v>#DIV/0!</v>
      </c>
      <c r="O85" s="77" t="e">
        <f>IF(D$16=1,_xll.xCalcSkew($A85,P85-AZ85,b)/100,0)</f>
        <v>#DIV/0!</v>
      </c>
      <c r="P85" s="98">
        <f t="shared" si="69"/>
        <v>2.5</v>
      </c>
      <c r="R85" s="97">
        <f t="shared" si="11"/>
        <v>0.03</v>
      </c>
      <c r="S85" s="100">
        <f t="shared" si="12"/>
        <v>1</v>
      </c>
      <c r="T85" s="99">
        <f t="shared" ca="1" si="13"/>
        <v>1666</v>
      </c>
      <c r="U85" s="175" t="e">
        <f t="shared" si="14"/>
        <v>#DIV/0!</v>
      </c>
      <c r="V85" s="77" t="e">
        <f>IF(F$16=1,_xll.xCalcSkew($A85,W85-BK85,b)/100,0)</f>
        <v>#DIV/0!</v>
      </c>
      <c r="W85" s="98">
        <f t="shared" si="70"/>
        <v>2.5</v>
      </c>
      <c r="X85" s="99"/>
      <c r="Y85" s="97">
        <f t="shared" si="16"/>
        <v>0.03</v>
      </c>
      <c r="Z85" s="100">
        <f t="shared" si="17"/>
        <v>1</v>
      </c>
      <c r="AA85" s="99">
        <f t="shared" ca="1" si="18"/>
        <v>1666</v>
      </c>
      <c r="AB85" s="77" t="e">
        <f t="shared" si="19"/>
        <v>#DIV/0!</v>
      </c>
      <c r="AC85" s="77" t="e">
        <f>IF(H$16=1,_xll.xCalcSkew($A85,AD85-BV85,b)/100,0)</f>
        <v>#DIV/0!</v>
      </c>
      <c r="AD85" s="98">
        <f t="shared" si="71"/>
        <v>2.4900000000000002</v>
      </c>
      <c r="AF85" s="99">
        <f t="shared" ca="1" si="21"/>
        <v>1666</v>
      </c>
      <c r="AG85" s="99">
        <f t="shared" ca="1" si="22"/>
        <v>1665</v>
      </c>
      <c r="AH85" s="77">
        <f t="shared" si="67"/>
        <v>4.9933974265168303E-2</v>
      </c>
      <c r="AI85" s="154">
        <f t="shared" si="0"/>
        <v>31</v>
      </c>
      <c r="AL85" s="99"/>
      <c r="AM85" s="78"/>
      <c r="AN85" s="78">
        <f t="shared" si="49"/>
        <v>0</v>
      </c>
      <c r="AO85" s="303" t="e">
        <f t="shared" si="50"/>
        <v>#DIV/0!</v>
      </c>
      <c r="AP85" s="75">
        <f t="shared" si="72"/>
        <v>0</v>
      </c>
      <c r="AQ85" s="102">
        <f t="shared" si="73"/>
        <v>0</v>
      </c>
      <c r="AR85" s="101">
        <f t="shared" si="26"/>
        <v>0</v>
      </c>
      <c r="AS85" s="101">
        <f t="shared" si="51"/>
        <v>0</v>
      </c>
      <c r="AT85" s="101">
        <f t="shared" si="27"/>
        <v>0</v>
      </c>
      <c r="AU85" s="103">
        <f t="shared" si="52"/>
        <v>0</v>
      </c>
      <c r="AV85" s="103">
        <f t="shared" si="53"/>
        <v>0</v>
      </c>
      <c r="AW85" s="103">
        <f t="shared" si="54"/>
        <v>0</v>
      </c>
      <c r="AY85" s="78">
        <f t="shared" si="28"/>
        <v>0</v>
      </c>
      <c r="AZ85" s="303" t="e">
        <f t="shared" si="55"/>
        <v>#DIV/0!</v>
      </c>
      <c r="BA85" s="75">
        <f t="shared" si="74"/>
        <v>0</v>
      </c>
      <c r="BB85" s="102">
        <f t="shared" si="75"/>
        <v>0</v>
      </c>
      <c r="BC85" s="101">
        <f t="shared" si="31"/>
        <v>0</v>
      </c>
      <c r="BD85" s="101">
        <f t="shared" si="32"/>
        <v>0</v>
      </c>
      <c r="BE85" s="101">
        <f t="shared" si="33"/>
        <v>0</v>
      </c>
      <c r="BF85" s="103">
        <f t="shared" si="56"/>
        <v>0</v>
      </c>
      <c r="BG85" s="103">
        <f t="shared" si="57"/>
        <v>0</v>
      </c>
      <c r="BH85" s="103">
        <f t="shared" si="58"/>
        <v>0</v>
      </c>
      <c r="BJ85" s="78">
        <f t="shared" si="34"/>
        <v>0</v>
      </c>
      <c r="BK85" s="303" t="e">
        <f t="shared" si="59"/>
        <v>#DIV/0!</v>
      </c>
      <c r="BL85" s="75">
        <f t="shared" si="76"/>
        <v>0</v>
      </c>
      <c r="BM85" s="102">
        <f t="shared" si="77"/>
        <v>0</v>
      </c>
      <c r="BN85" s="101">
        <f t="shared" si="37"/>
        <v>0</v>
      </c>
      <c r="BO85" s="101">
        <f t="shared" si="38"/>
        <v>0</v>
      </c>
      <c r="BP85" s="101">
        <f t="shared" si="39"/>
        <v>0</v>
      </c>
      <c r="BQ85" s="103">
        <f t="shared" si="60"/>
        <v>0</v>
      </c>
      <c r="BR85" s="103">
        <f t="shared" si="61"/>
        <v>0</v>
      </c>
      <c r="BS85" s="103">
        <f t="shared" si="62"/>
        <v>0</v>
      </c>
      <c r="BU85" s="78">
        <f t="shared" si="40"/>
        <v>0</v>
      </c>
      <c r="BV85" s="303" t="e">
        <f t="shared" si="63"/>
        <v>#DIV/0!</v>
      </c>
      <c r="BW85" s="75">
        <f t="shared" si="78"/>
        <v>0</v>
      </c>
      <c r="BX85" s="102">
        <f t="shared" si="79"/>
        <v>0</v>
      </c>
      <c r="BY85" s="101">
        <f t="shared" si="43"/>
        <v>0</v>
      </c>
      <c r="BZ85" s="101">
        <f t="shared" si="44"/>
        <v>0</v>
      </c>
      <c r="CA85" s="101">
        <f t="shared" si="45"/>
        <v>0</v>
      </c>
      <c r="CB85" s="103">
        <f t="shared" si="64"/>
        <v>0</v>
      </c>
      <c r="CC85" s="103">
        <f t="shared" si="65"/>
        <v>0</v>
      </c>
      <c r="CD85" s="103">
        <f t="shared" si="66"/>
        <v>0</v>
      </c>
    </row>
    <row r="86" spans="1:82" x14ac:dyDescent="0.25">
      <c r="A86" s="96">
        <f t="shared" si="46"/>
        <v>38961</v>
      </c>
      <c r="B86" s="97">
        <f t="shared" si="47"/>
        <v>3.44</v>
      </c>
      <c r="C86" s="77">
        <f t="shared" si="48"/>
        <v>0.2475</v>
      </c>
      <c r="D86" s="97">
        <f t="shared" si="1"/>
        <v>0</v>
      </c>
      <c r="E86" s="100">
        <f t="shared" si="2"/>
        <v>1</v>
      </c>
      <c r="F86" s="99">
        <f t="shared" ca="1" si="3"/>
        <v>1698</v>
      </c>
      <c r="G86" s="77" t="e">
        <f t="shared" si="4"/>
        <v>#DIV/0!</v>
      </c>
      <c r="H86" s="77" t="e">
        <f>IF(B$16=1,_xll.xCalcSkew(A86,I86-AO86,b)/100,0)</f>
        <v>#DIV/0!</v>
      </c>
      <c r="I86" s="98">
        <f t="shared" si="68"/>
        <v>4</v>
      </c>
      <c r="K86" s="97">
        <f t="shared" si="6"/>
        <v>2.2499999999999999E-2</v>
      </c>
      <c r="L86" s="100">
        <f t="shared" si="7"/>
        <v>1</v>
      </c>
      <c r="M86" s="99">
        <f t="shared" ca="1" si="8"/>
        <v>1699</v>
      </c>
      <c r="N86" s="175" t="e">
        <f t="shared" si="9"/>
        <v>#DIV/0!</v>
      </c>
      <c r="O86" s="77" t="e">
        <f>IF(D$16=1,_xll.xCalcSkew($A86,P86-AZ86,b)/100,0)</f>
        <v>#DIV/0!</v>
      </c>
      <c r="P86" s="98">
        <f t="shared" si="69"/>
        <v>2.5</v>
      </c>
      <c r="R86" s="97">
        <f t="shared" si="11"/>
        <v>2.2499999999999999E-2</v>
      </c>
      <c r="S86" s="100">
        <f t="shared" si="12"/>
        <v>1</v>
      </c>
      <c r="T86" s="99">
        <f t="shared" ca="1" si="13"/>
        <v>1699</v>
      </c>
      <c r="U86" s="175" t="e">
        <f t="shared" si="14"/>
        <v>#DIV/0!</v>
      </c>
      <c r="V86" s="77" t="e">
        <f>IF(F$16=1,_xll.xCalcSkew($A86,W86-BK86,b)/100,0)</f>
        <v>#DIV/0!</v>
      </c>
      <c r="W86" s="98">
        <f t="shared" si="70"/>
        <v>2.5</v>
      </c>
      <c r="X86" s="99"/>
      <c r="Y86" s="97">
        <f t="shared" si="16"/>
        <v>2.2499999999999999E-2</v>
      </c>
      <c r="Z86" s="100">
        <f t="shared" si="17"/>
        <v>1</v>
      </c>
      <c r="AA86" s="99">
        <f t="shared" ca="1" si="18"/>
        <v>1699</v>
      </c>
      <c r="AB86" s="77" t="e">
        <f t="shared" si="19"/>
        <v>#DIV/0!</v>
      </c>
      <c r="AC86" s="77" t="e">
        <f>IF(H$16=1,_xll.xCalcSkew($A86,AD86-BV86,b)/100,0)</f>
        <v>#DIV/0!</v>
      </c>
      <c r="AD86" s="98">
        <f t="shared" si="71"/>
        <v>2.4900000000000002</v>
      </c>
      <c r="AF86" s="99">
        <f t="shared" ca="1" si="21"/>
        <v>1699</v>
      </c>
      <c r="AG86" s="99">
        <f t="shared" ca="1" si="22"/>
        <v>1698</v>
      </c>
      <c r="AH86" s="77">
        <f t="shared" si="67"/>
        <v>5.0244545616172399E-2</v>
      </c>
      <c r="AI86" s="154">
        <f t="shared" si="0"/>
        <v>30</v>
      </c>
      <c r="AL86" s="99"/>
      <c r="AM86" s="78"/>
      <c r="AN86" s="78">
        <f t="shared" si="49"/>
        <v>0</v>
      </c>
      <c r="AO86" s="303" t="e">
        <f t="shared" si="50"/>
        <v>#DIV/0!</v>
      </c>
      <c r="AP86" s="75">
        <f t="shared" si="72"/>
        <v>0</v>
      </c>
      <c r="AQ86" s="102">
        <f t="shared" si="73"/>
        <v>0</v>
      </c>
      <c r="AR86" s="101">
        <f t="shared" si="26"/>
        <v>0</v>
      </c>
      <c r="AS86" s="101">
        <f t="shared" si="51"/>
        <v>0</v>
      </c>
      <c r="AT86" s="101">
        <f t="shared" si="27"/>
        <v>0</v>
      </c>
      <c r="AU86" s="103">
        <f t="shared" si="52"/>
        <v>0</v>
      </c>
      <c r="AV86" s="103">
        <f t="shared" si="53"/>
        <v>0</v>
      </c>
      <c r="AW86" s="103">
        <f t="shared" si="54"/>
        <v>0</v>
      </c>
      <c r="AY86" s="78">
        <f t="shared" si="28"/>
        <v>0</v>
      </c>
      <c r="AZ86" s="303" t="e">
        <f t="shared" si="55"/>
        <v>#DIV/0!</v>
      </c>
      <c r="BA86" s="75">
        <f t="shared" si="74"/>
        <v>0</v>
      </c>
      <c r="BB86" s="102">
        <f t="shared" si="75"/>
        <v>0</v>
      </c>
      <c r="BC86" s="101">
        <f t="shared" si="31"/>
        <v>0</v>
      </c>
      <c r="BD86" s="101">
        <f t="shared" si="32"/>
        <v>0</v>
      </c>
      <c r="BE86" s="101">
        <f t="shared" si="33"/>
        <v>0</v>
      </c>
      <c r="BF86" s="103">
        <f t="shared" si="56"/>
        <v>0</v>
      </c>
      <c r="BG86" s="103">
        <f t="shared" si="57"/>
        <v>0</v>
      </c>
      <c r="BH86" s="103">
        <f t="shared" si="58"/>
        <v>0</v>
      </c>
      <c r="BJ86" s="78">
        <f t="shared" si="34"/>
        <v>0</v>
      </c>
      <c r="BK86" s="303" t="e">
        <f t="shared" si="59"/>
        <v>#DIV/0!</v>
      </c>
      <c r="BL86" s="75">
        <f t="shared" si="76"/>
        <v>0</v>
      </c>
      <c r="BM86" s="102">
        <f t="shared" si="77"/>
        <v>0</v>
      </c>
      <c r="BN86" s="101">
        <f t="shared" si="37"/>
        <v>0</v>
      </c>
      <c r="BO86" s="101">
        <f t="shared" si="38"/>
        <v>0</v>
      </c>
      <c r="BP86" s="101">
        <f t="shared" si="39"/>
        <v>0</v>
      </c>
      <c r="BQ86" s="103">
        <f t="shared" si="60"/>
        <v>0</v>
      </c>
      <c r="BR86" s="103">
        <f t="shared" si="61"/>
        <v>0</v>
      </c>
      <c r="BS86" s="103">
        <f t="shared" si="62"/>
        <v>0</v>
      </c>
      <c r="BU86" s="78">
        <f t="shared" si="40"/>
        <v>0</v>
      </c>
      <c r="BV86" s="303" t="e">
        <f t="shared" si="63"/>
        <v>#DIV/0!</v>
      </c>
      <c r="BW86" s="75">
        <f t="shared" si="78"/>
        <v>0</v>
      </c>
      <c r="BX86" s="102">
        <f t="shared" si="79"/>
        <v>0</v>
      </c>
      <c r="BY86" s="101">
        <f t="shared" si="43"/>
        <v>0</v>
      </c>
      <c r="BZ86" s="101">
        <f t="shared" si="44"/>
        <v>0</v>
      </c>
      <c r="CA86" s="101">
        <f t="shared" si="45"/>
        <v>0</v>
      </c>
      <c r="CB86" s="103">
        <f t="shared" si="64"/>
        <v>0</v>
      </c>
      <c r="CC86" s="103">
        <f t="shared" si="65"/>
        <v>0</v>
      </c>
      <c r="CD86" s="103">
        <f t="shared" si="66"/>
        <v>0</v>
      </c>
    </row>
    <row r="87" spans="1:82" x14ac:dyDescent="0.25">
      <c r="A87" s="96">
        <f t="shared" si="46"/>
        <v>38991</v>
      </c>
      <c r="B87" s="97">
        <f t="shared" si="47"/>
        <v>3.4649999999999999</v>
      </c>
      <c r="C87" s="77">
        <f t="shared" si="48"/>
        <v>0.2475</v>
      </c>
      <c r="D87" s="97">
        <f t="shared" si="1"/>
        <v>0</v>
      </c>
      <c r="E87" s="100">
        <f t="shared" si="2"/>
        <v>1</v>
      </c>
      <c r="F87" s="99">
        <f t="shared" ca="1" si="3"/>
        <v>1727</v>
      </c>
      <c r="G87" s="77" t="e">
        <f t="shared" si="4"/>
        <v>#DIV/0!</v>
      </c>
      <c r="H87" s="77" t="e">
        <f>IF(B$16=1,_xll.xCalcSkew(A87,I87-AO87,b)/100,0)</f>
        <v>#DIV/0!</v>
      </c>
      <c r="I87" s="98">
        <f t="shared" si="68"/>
        <v>4</v>
      </c>
      <c r="K87" s="97">
        <f t="shared" si="6"/>
        <v>1.2500000000000001E-2</v>
      </c>
      <c r="L87" s="100">
        <f t="shared" si="7"/>
        <v>1</v>
      </c>
      <c r="M87" s="99">
        <f t="shared" ca="1" si="8"/>
        <v>1728</v>
      </c>
      <c r="N87" s="175" t="e">
        <f t="shared" si="9"/>
        <v>#DIV/0!</v>
      </c>
      <c r="O87" s="77" t="e">
        <f>IF(D$16=1,_xll.xCalcSkew($A87,P87-AZ87,b)/100,0)</f>
        <v>#DIV/0!</v>
      </c>
      <c r="P87" s="98">
        <f t="shared" si="69"/>
        <v>2.5</v>
      </c>
      <c r="R87" s="97">
        <f t="shared" si="11"/>
        <v>1.2500000000000001E-2</v>
      </c>
      <c r="S87" s="100">
        <f t="shared" si="12"/>
        <v>1</v>
      </c>
      <c r="T87" s="99">
        <f t="shared" ca="1" si="13"/>
        <v>1728</v>
      </c>
      <c r="U87" s="175" t="e">
        <f t="shared" si="14"/>
        <v>#DIV/0!</v>
      </c>
      <c r="V87" s="77" t="e">
        <f>IF(F$16=1,_xll.xCalcSkew($A87,W87-BK87,b)/100,0)</f>
        <v>#DIV/0!</v>
      </c>
      <c r="W87" s="98">
        <f t="shared" si="70"/>
        <v>2.5</v>
      </c>
      <c r="X87" s="99"/>
      <c r="Y87" s="97">
        <f t="shared" si="16"/>
        <v>1.2500000000000001E-2</v>
      </c>
      <c r="Z87" s="100">
        <f t="shared" si="17"/>
        <v>1</v>
      </c>
      <c r="AA87" s="99">
        <f t="shared" ca="1" si="18"/>
        <v>1728</v>
      </c>
      <c r="AB87" s="77" t="e">
        <f t="shared" si="19"/>
        <v>#DIV/0!</v>
      </c>
      <c r="AC87" s="77" t="e">
        <f>IF(H$16=1,_xll.xCalcSkew($A87,AD87-BV87,b)/100,0)</f>
        <v>#DIV/0!</v>
      </c>
      <c r="AD87" s="98">
        <f t="shared" si="71"/>
        <v>2.4900000000000002</v>
      </c>
      <c r="AF87" s="99">
        <f t="shared" ca="1" si="21"/>
        <v>1728</v>
      </c>
      <c r="AG87" s="99">
        <f t="shared" ca="1" si="22"/>
        <v>1727</v>
      </c>
      <c r="AH87" s="77">
        <f t="shared" si="67"/>
        <v>5.0545098567158497E-2</v>
      </c>
      <c r="AI87" s="154">
        <f t="shared" si="0"/>
        <v>31</v>
      </c>
      <c r="AL87" s="99"/>
      <c r="AM87" s="78"/>
      <c r="AN87" s="78">
        <f t="shared" si="49"/>
        <v>0</v>
      </c>
      <c r="AO87" s="303" t="e">
        <f t="shared" si="50"/>
        <v>#DIV/0!</v>
      </c>
      <c r="AP87" s="75">
        <f t="shared" si="72"/>
        <v>0</v>
      </c>
      <c r="AQ87" s="102">
        <f t="shared" si="73"/>
        <v>0</v>
      </c>
      <c r="AR87" s="101">
        <f t="shared" si="26"/>
        <v>0</v>
      </c>
      <c r="AS87" s="101">
        <f t="shared" si="51"/>
        <v>0</v>
      </c>
      <c r="AT87" s="101">
        <f t="shared" si="27"/>
        <v>0</v>
      </c>
      <c r="AU87" s="103">
        <f t="shared" si="52"/>
        <v>0</v>
      </c>
      <c r="AV87" s="103">
        <f t="shared" si="53"/>
        <v>0</v>
      </c>
      <c r="AW87" s="103">
        <f t="shared" si="54"/>
        <v>0</v>
      </c>
      <c r="AY87" s="78">
        <f t="shared" si="28"/>
        <v>0</v>
      </c>
      <c r="AZ87" s="303" t="e">
        <f t="shared" si="55"/>
        <v>#DIV/0!</v>
      </c>
      <c r="BA87" s="75">
        <f t="shared" si="74"/>
        <v>0</v>
      </c>
      <c r="BB87" s="102">
        <f t="shared" si="75"/>
        <v>0</v>
      </c>
      <c r="BC87" s="101">
        <f t="shared" si="31"/>
        <v>0</v>
      </c>
      <c r="BD87" s="101">
        <f t="shared" si="32"/>
        <v>0</v>
      </c>
      <c r="BE87" s="101">
        <f t="shared" si="33"/>
        <v>0</v>
      </c>
      <c r="BF87" s="103">
        <f t="shared" si="56"/>
        <v>0</v>
      </c>
      <c r="BG87" s="103">
        <f t="shared" si="57"/>
        <v>0</v>
      </c>
      <c r="BH87" s="103">
        <f t="shared" si="58"/>
        <v>0</v>
      </c>
      <c r="BJ87" s="78">
        <f t="shared" si="34"/>
        <v>0</v>
      </c>
      <c r="BK87" s="303" t="e">
        <f t="shared" si="59"/>
        <v>#DIV/0!</v>
      </c>
      <c r="BL87" s="75">
        <f t="shared" si="76"/>
        <v>0</v>
      </c>
      <c r="BM87" s="102">
        <f t="shared" si="77"/>
        <v>0</v>
      </c>
      <c r="BN87" s="101">
        <f t="shared" si="37"/>
        <v>0</v>
      </c>
      <c r="BO87" s="101">
        <f t="shared" si="38"/>
        <v>0</v>
      </c>
      <c r="BP87" s="101">
        <f t="shared" si="39"/>
        <v>0</v>
      </c>
      <c r="BQ87" s="103">
        <f t="shared" si="60"/>
        <v>0</v>
      </c>
      <c r="BR87" s="103">
        <f t="shared" si="61"/>
        <v>0</v>
      </c>
      <c r="BS87" s="103">
        <f t="shared" si="62"/>
        <v>0</v>
      </c>
      <c r="BU87" s="78">
        <f t="shared" si="40"/>
        <v>0</v>
      </c>
      <c r="BV87" s="303" t="e">
        <f t="shared" si="63"/>
        <v>#DIV/0!</v>
      </c>
      <c r="BW87" s="75">
        <f t="shared" si="78"/>
        <v>0</v>
      </c>
      <c r="BX87" s="102">
        <f t="shared" si="79"/>
        <v>0</v>
      </c>
      <c r="BY87" s="101">
        <f t="shared" si="43"/>
        <v>0</v>
      </c>
      <c r="BZ87" s="101">
        <f t="shared" si="44"/>
        <v>0</v>
      </c>
      <c r="CA87" s="101">
        <f t="shared" si="45"/>
        <v>0</v>
      </c>
      <c r="CB87" s="103">
        <f t="shared" si="64"/>
        <v>0</v>
      </c>
      <c r="CC87" s="103">
        <f t="shared" si="65"/>
        <v>0</v>
      </c>
      <c r="CD87" s="103">
        <f t="shared" si="66"/>
        <v>0</v>
      </c>
    </row>
    <row r="88" spans="1:82" x14ac:dyDescent="0.25">
      <c r="A88" s="96">
        <f t="shared" si="46"/>
        <v>39022</v>
      </c>
      <c r="B88" s="97">
        <f t="shared" si="47"/>
        <v>3.617</v>
      </c>
      <c r="C88" s="77">
        <f t="shared" si="48"/>
        <v>0.2475</v>
      </c>
      <c r="D88" s="97">
        <f t="shared" si="1"/>
        <v>0</v>
      </c>
      <c r="E88" s="100">
        <f t="shared" si="2"/>
        <v>1</v>
      </c>
      <c r="F88" s="99">
        <f t="shared" ca="1" si="3"/>
        <v>1757</v>
      </c>
      <c r="G88" s="77" t="e">
        <f t="shared" si="4"/>
        <v>#DIV/0!</v>
      </c>
      <c r="H88" s="77" t="e">
        <f>IF(B$16=1,_xll.xCalcSkew(A88,I88-AO88,b)/100,0)</f>
        <v>#DIV/0!</v>
      </c>
      <c r="I88" s="98">
        <f t="shared" si="68"/>
        <v>4</v>
      </c>
      <c r="K88" s="97">
        <f t="shared" si="6"/>
        <v>-2.2499999999999999E-2</v>
      </c>
      <c r="L88" s="100">
        <f t="shared" si="7"/>
        <v>1</v>
      </c>
      <c r="M88" s="99">
        <f t="shared" ca="1" si="8"/>
        <v>1758</v>
      </c>
      <c r="N88" s="175" t="e">
        <f t="shared" si="9"/>
        <v>#DIV/0!</v>
      </c>
      <c r="O88" s="77" t="e">
        <f>IF(D$16=1,_xll.xCalcSkew($A88,P88-AZ88,b)/100,0)</f>
        <v>#DIV/0!</v>
      </c>
      <c r="P88" s="98">
        <f t="shared" si="69"/>
        <v>2.5</v>
      </c>
      <c r="R88" s="97">
        <f t="shared" si="11"/>
        <v>-2.2499999999999999E-2</v>
      </c>
      <c r="S88" s="100">
        <f t="shared" si="12"/>
        <v>1</v>
      </c>
      <c r="T88" s="99">
        <f t="shared" ca="1" si="13"/>
        <v>1758</v>
      </c>
      <c r="U88" s="175" t="e">
        <f t="shared" si="14"/>
        <v>#DIV/0!</v>
      </c>
      <c r="V88" s="77" t="e">
        <f>IF(F$16=1,_xll.xCalcSkew($A88,W88-BK88,b)/100,0)</f>
        <v>#DIV/0!</v>
      </c>
      <c r="W88" s="98">
        <f t="shared" si="70"/>
        <v>2.5</v>
      </c>
      <c r="X88" s="99"/>
      <c r="Y88" s="97">
        <f t="shared" si="16"/>
        <v>-2.2499999999999999E-2</v>
      </c>
      <c r="Z88" s="100">
        <f t="shared" si="17"/>
        <v>1</v>
      </c>
      <c r="AA88" s="99">
        <f t="shared" ca="1" si="18"/>
        <v>1758</v>
      </c>
      <c r="AB88" s="77" t="e">
        <f t="shared" si="19"/>
        <v>#DIV/0!</v>
      </c>
      <c r="AC88" s="77" t="e">
        <f>IF(H$16=1,_xll.xCalcSkew($A88,AD88-BV88,b)/100,0)</f>
        <v>#DIV/0!</v>
      </c>
      <c r="AD88" s="98">
        <f t="shared" si="71"/>
        <v>2.4900000000000002</v>
      </c>
      <c r="AF88" s="99">
        <f t="shared" ca="1" si="21"/>
        <v>1758</v>
      </c>
      <c r="AG88" s="99">
        <f t="shared" ca="1" si="22"/>
        <v>1757</v>
      </c>
      <c r="AH88" s="77">
        <f t="shared" si="67"/>
        <v>5.0855669981520801E-2</v>
      </c>
      <c r="AI88" s="154">
        <f t="shared" si="0"/>
        <v>30</v>
      </c>
      <c r="AL88" s="99"/>
      <c r="AM88" s="78"/>
      <c r="AN88" s="78">
        <f t="shared" si="49"/>
        <v>0</v>
      </c>
      <c r="AO88" s="303" t="e">
        <f t="shared" si="50"/>
        <v>#DIV/0!</v>
      </c>
      <c r="AP88" s="75">
        <f t="shared" si="72"/>
        <v>0</v>
      </c>
      <c r="AQ88" s="102">
        <f t="shared" si="73"/>
        <v>0</v>
      </c>
      <c r="AR88" s="101">
        <f t="shared" si="26"/>
        <v>0</v>
      </c>
      <c r="AS88" s="101">
        <f t="shared" si="51"/>
        <v>0</v>
      </c>
      <c r="AT88" s="101">
        <f t="shared" si="27"/>
        <v>0</v>
      </c>
      <c r="AU88" s="103">
        <f t="shared" si="52"/>
        <v>0</v>
      </c>
      <c r="AV88" s="103">
        <f t="shared" si="53"/>
        <v>0</v>
      </c>
      <c r="AW88" s="103">
        <f t="shared" si="54"/>
        <v>0</v>
      </c>
      <c r="AY88" s="78">
        <f t="shared" si="28"/>
        <v>0</v>
      </c>
      <c r="AZ88" s="303" t="e">
        <f t="shared" si="55"/>
        <v>#DIV/0!</v>
      </c>
      <c r="BA88" s="75">
        <f t="shared" si="74"/>
        <v>0</v>
      </c>
      <c r="BB88" s="102">
        <f t="shared" si="75"/>
        <v>0</v>
      </c>
      <c r="BC88" s="101">
        <f t="shared" si="31"/>
        <v>0</v>
      </c>
      <c r="BD88" s="101">
        <f t="shared" si="32"/>
        <v>0</v>
      </c>
      <c r="BE88" s="101">
        <f t="shared" si="33"/>
        <v>0</v>
      </c>
      <c r="BF88" s="103">
        <f t="shared" si="56"/>
        <v>0</v>
      </c>
      <c r="BG88" s="103">
        <f t="shared" si="57"/>
        <v>0</v>
      </c>
      <c r="BH88" s="103">
        <f t="shared" si="58"/>
        <v>0</v>
      </c>
      <c r="BJ88" s="78">
        <f t="shared" si="34"/>
        <v>0</v>
      </c>
      <c r="BK88" s="303" t="e">
        <f t="shared" si="59"/>
        <v>#DIV/0!</v>
      </c>
      <c r="BL88" s="75">
        <f t="shared" si="76"/>
        <v>0</v>
      </c>
      <c r="BM88" s="102">
        <f t="shared" si="77"/>
        <v>0</v>
      </c>
      <c r="BN88" s="101">
        <f t="shared" si="37"/>
        <v>0</v>
      </c>
      <c r="BO88" s="101">
        <f t="shared" si="38"/>
        <v>0</v>
      </c>
      <c r="BP88" s="101">
        <f t="shared" si="39"/>
        <v>0</v>
      </c>
      <c r="BQ88" s="103">
        <f t="shared" si="60"/>
        <v>0</v>
      </c>
      <c r="BR88" s="103">
        <f t="shared" si="61"/>
        <v>0</v>
      </c>
      <c r="BS88" s="103">
        <f t="shared" si="62"/>
        <v>0</v>
      </c>
      <c r="BU88" s="78">
        <f t="shared" si="40"/>
        <v>0</v>
      </c>
      <c r="BV88" s="303" t="e">
        <f t="shared" si="63"/>
        <v>#DIV/0!</v>
      </c>
      <c r="BW88" s="75">
        <f t="shared" si="78"/>
        <v>0</v>
      </c>
      <c r="BX88" s="102">
        <f t="shared" si="79"/>
        <v>0</v>
      </c>
      <c r="BY88" s="101">
        <f t="shared" si="43"/>
        <v>0</v>
      </c>
      <c r="BZ88" s="101">
        <f t="shared" si="44"/>
        <v>0</v>
      </c>
      <c r="CA88" s="101">
        <f t="shared" si="45"/>
        <v>0</v>
      </c>
      <c r="CB88" s="103">
        <f t="shared" si="64"/>
        <v>0</v>
      </c>
      <c r="CC88" s="103">
        <f t="shared" si="65"/>
        <v>0</v>
      </c>
      <c r="CD88" s="103">
        <f t="shared" si="66"/>
        <v>0</v>
      </c>
    </row>
    <row r="89" spans="1:82" x14ac:dyDescent="0.25">
      <c r="A89" s="96">
        <f t="shared" si="46"/>
        <v>39052</v>
      </c>
      <c r="B89" s="97">
        <f t="shared" si="47"/>
        <v>3.76</v>
      </c>
      <c r="C89" s="77">
        <f t="shared" si="48"/>
        <v>0.2475</v>
      </c>
      <c r="D89" s="97">
        <f t="shared" si="1"/>
        <v>0</v>
      </c>
      <c r="E89" s="100">
        <f t="shared" si="2"/>
        <v>1</v>
      </c>
      <c r="F89" s="99">
        <f t="shared" ca="1" si="3"/>
        <v>1789</v>
      </c>
      <c r="G89" s="77" t="e">
        <f t="shared" si="4"/>
        <v>#DIV/0!</v>
      </c>
      <c r="H89" s="77" t="e">
        <f>IF(B$16=1,_xll.xCalcSkew(A89,I89-AO89,b)/100,0)</f>
        <v>#DIV/0!</v>
      </c>
      <c r="I89" s="98">
        <f t="shared" si="68"/>
        <v>4</v>
      </c>
      <c r="K89" s="97">
        <f t="shared" si="6"/>
        <v>-4.4999999999999998E-2</v>
      </c>
      <c r="L89" s="100">
        <f t="shared" si="7"/>
        <v>1</v>
      </c>
      <c r="M89" s="99">
        <f t="shared" ca="1" si="8"/>
        <v>1790</v>
      </c>
      <c r="N89" s="175" t="e">
        <f t="shared" si="9"/>
        <v>#DIV/0!</v>
      </c>
      <c r="O89" s="77" t="e">
        <f>IF(D$16=1,_xll.xCalcSkew($A89,P89-AZ89,b)/100,0)</f>
        <v>#DIV/0!</v>
      </c>
      <c r="P89" s="98">
        <f t="shared" si="69"/>
        <v>2.5</v>
      </c>
      <c r="R89" s="97">
        <f t="shared" si="11"/>
        <v>-4.4999999999999998E-2</v>
      </c>
      <c r="S89" s="100">
        <f t="shared" si="12"/>
        <v>1</v>
      </c>
      <c r="T89" s="99">
        <f t="shared" ca="1" si="13"/>
        <v>1790</v>
      </c>
      <c r="U89" s="175" t="e">
        <f t="shared" si="14"/>
        <v>#DIV/0!</v>
      </c>
      <c r="V89" s="77" t="e">
        <f>IF(F$16=1,_xll.xCalcSkew($A89,W89-BK89,b)/100,0)</f>
        <v>#DIV/0!</v>
      </c>
      <c r="W89" s="98">
        <f t="shared" si="70"/>
        <v>2.5</v>
      </c>
      <c r="X89" s="99"/>
      <c r="Y89" s="97">
        <f t="shared" si="16"/>
        <v>-4.4999999999999998E-2</v>
      </c>
      <c r="Z89" s="100">
        <f t="shared" si="17"/>
        <v>1</v>
      </c>
      <c r="AA89" s="99">
        <f t="shared" ca="1" si="18"/>
        <v>1790</v>
      </c>
      <c r="AB89" s="77" t="e">
        <f t="shared" si="19"/>
        <v>#DIV/0!</v>
      </c>
      <c r="AC89" s="77" t="e">
        <f>IF(H$16=1,_xll.xCalcSkew($A89,AD89-BV89,b)/100,0)</f>
        <v>#DIV/0!</v>
      </c>
      <c r="AD89" s="98">
        <f t="shared" si="71"/>
        <v>2.4900000000000002</v>
      </c>
      <c r="AF89" s="99">
        <f t="shared" ca="1" si="21"/>
        <v>1790</v>
      </c>
      <c r="AG89" s="99">
        <f t="shared" ca="1" si="22"/>
        <v>1789</v>
      </c>
      <c r="AH89" s="77">
        <f t="shared" si="67"/>
        <v>5.1156222993812103E-2</v>
      </c>
      <c r="AI89" s="154">
        <f t="shared" si="0"/>
        <v>31</v>
      </c>
      <c r="AL89" s="99"/>
      <c r="AM89" s="78"/>
      <c r="AN89" s="78">
        <f t="shared" si="49"/>
        <v>0</v>
      </c>
      <c r="AO89" s="303" t="e">
        <f t="shared" si="50"/>
        <v>#DIV/0!</v>
      </c>
      <c r="AP89" s="75">
        <f t="shared" si="72"/>
        <v>0</v>
      </c>
      <c r="AQ89" s="102">
        <f t="shared" si="73"/>
        <v>0</v>
      </c>
      <c r="AR89" s="101">
        <f t="shared" si="26"/>
        <v>0</v>
      </c>
      <c r="AS89" s="101">
        <f t="shared" si="51"/>
        <v>0</v>
      </c>
      <c r="AT89" s="101">
        <f t="shared" si="27"/>
        <v>0</v>
      </c>
      <c r="AU89" s="103">
        <f t="shared" si="52"/>
        <v>0</v>
      </c>
      <c r="AV89" s="103">
        <f t="shared" si="53"/>
        <v>0</v>
      </c>
      <c r="AW89" s="103">
        <f t="shared" si="54"/>
        <v>0</v>
      </c>
      <c r="AY89" s="78">
        <f t="shared" si="28"/>
        <v>0</v>
      </c>
      <c r="AZ89" s="303" t="e">
        <f t="shared" si="55"/>
        <v>#DIV/0!</v>
      </c>
      <c r="BA89" s="75">
        <f t="shared" si="74"/>
        <v>0</v>
      </c>
      <c r="BB89" s="102">
        <f t="shared" si="75"/>
        <v>0</v>
      </c>
      <c r="BC89" s="101">
        <f t="shared" si="31"/>
        <v>0</v>
      </c>
      <c r="BD89" s="101">
        <f t="shared" si="32"/>
        <v>0</v>
      </c>
      <c r="BE89" s="101">
        <f t="shared" si="33"/>
        <v>0</v>
      </c>
      <c r="BF89" s="103">
        <f t="shared" si="56"/>
        <v>0</v>
      </c>
      <c r="BG89" s="103">
        <f t="shared" si="57"/>
        <v>0</v>
      </c>
      <c r="BH89" s="103">
        <f t="shared" si="58"/>
        <v>0</v>
      </c>
      <c r="BJ89" s="78">
        <f t="shared" si="34"/>
        <v>0</v>
      </c>
      <c r="BK89" s="303" t="e">
        <f t="shared" si="59"/>
        <v>#DIV/0!</v>
      </c>
      <c r="BL89" s="75">
        <f t="shared" si="76"/>
        <v>0</v>
      </c>
      <c r="BM89" s="102">
        <f t="shared" si="77"/>
        <v>0</v>
      </c>
      <c r="BN89" s="101">
        <f t="shared" si="37"/>
        <v>0</v>
      </c>
      <c r="BO89" s="101">
        <f t="shared" si="38"/>
        <v>0</v>
      </c>
      <c r="BP89" s="101">
        <f t="shared" si="39"/>
        <v>0</v>
      </c>
      <c r="BQ89" s="103">
        <f t="shared" si="60"/>
        <v>0</v>
      </c>
      <c r="BR89" s="103">
        <f t="shared" si="61"/>
        <v>0</v>
      </c>
      <c r="BS89" s="103">
        <f t="shared" si="62"/>
        <v>0</v>
      </c>
      <c r="BU89" s="78">
        <f t="shared" si="40"/>
        <v>0</v>
      </c>
      <c r="BV89" s="303" t="e">
        <f t="shared" si="63"/>
        <v>#DIV/0!</v>
      </c>
      <c r="BW89" s="75">
        <f t="shared" si="78"/>
        <v>0</v>
      </c>
      <c r="BX89" s="102">
        <f t="shared" si="79"/>
        <v>0</v>
      </c>
      <c r="BY89" s="101">
        <f t="shared" si="43"/>
        <v>0</v>
      </c>
      <c r="BZ89" s="101">
        <f t="shared" si="44"/>
        <v>0</v>
      </c>
      <c r="CA89" s="101">
        <f t="shared" si="45"/>
        <v>0</v>
      </c>
      <c r="CB89" s="103">
        <f t="shared" si="64"/>
        <v>0</v>
      </c>
      <c r="CC89" s="103">
        <f t="shared" si="65"/>
        <v>0</v>
      </c>
      <c r="CD89" s="103">
        <f t="shared" si="66"/>
        <v>0</v>
      </c>
    </row>
    <row r="90" spans="1:82" x14ac:dyDescent="0.25">
      <c r="A90" s="96">
        <f t="shared" si="46"/>
        <v>39083</v>
      </c>
      <c r="B90" s="97">
        <f t="shared" si="47"/>
        <v>3.8125</v>
      </c>
      <c r="C90" s="77">
        <f t="shared" si="48"/>
        <v>0.2475</v>
      </c>
      <c r="D90" s="97">
        <f t="shared" si="1"/>
        <v>0</v>
      </c>
      <c r="E90" s="100">
        <f t="shared" si="2"/>
        <v>1</v>
      </c>
      <c r="F90" s="99">
        <f t="shared" ca="1" si="3"/>
        <v>1818</v>
      </c>
      <c r="G90" s="77" t="e">
        <f t="shared" si="4"/>
        <v>#DIV/0!</v>
      </c>
      <c r="H90" s="77" t="e">
        <f>IF(B$16=1,_xll.xCalcSkew(A90,I90-AO90,b)/100,0)</f>
        <v>#DIV/0!</v>
      </c>
      <c r="I90" s="98">
        <f t="shared" si="68"/>
        <v>4</v>
      </c>
      <c r="K90" s="97">
        <f t="shared" si="6"/>
        <v>-4.7500000000000001E-2</v>
      </c>
      <c r="L90" s="100">
        <f t="shared" si="7"/>
        <v>1</v>
      </c>
      <c r="M90" s="99">
        <f t="shared" ca="1" si="8"/>
        <v>1819</v>
      </c>
      <c r="N90" s="175" t="e">
        <f t="shared" si="9"/>
        <v>#DIV/0!</v>
      </c>
      <c r="O90" s="77" t="e">
        <f>IF(D$16=1,_xll.xCalcSkew($A90,P90-AZ90,b)/100,0)</f>
        <v>#DIV/0!</v>
      </c>
      <c r="P90" s="98">
        <f t="shared" si="69"/>
        <v>2.5</v>
      </c>
      <c r="R90" s="97">
        <f t="shared" si="11"/>
        <v>-4.7500000000000001E-2</v>
      </c>
      <c r="S90" s="100">
        <f t="shared" si="12"/>
        <v>1</v>
      </c>
      <c r="T90" s="99">
        <f t="shared" ca="1" si="13"/>
        <v>1819</v>
      </c>
      <c r="U90" s="175" t="e">
        <f t="shared" si="14"/>
        <v>#DIV/0!</v>
      </c>
      <c r="V90" s="77" t="e">
        <f>IF(F$16=1,_xll.xCalcSkew($A90,W90-BK90,b)/100,0)</f>
        <v>#DIV/0!</v>
      </c>
      <c r="W90" s="98">
        <f t="shared" si="70"/>
        <v>2.5</v>
      </c>
      <c r="X90" s="99"/>
      <c r="Y90" s="97">
        <f t="shared" si="16"/>
        <v>-4.7500000000000001E-2</v>
      </c>
      <c r="Z90" s="100">
        <f t="shared" si="17"/>
        <v>1</v>
      </c>
      <c r="AA90" s="99">
        <f t="shared" ca="1" si="18"/>
        <v>1819</v>
      </c>
      <c r="AB90" s="77" t="e">
        <f t="shared" si="19"/>
        <v>#DIV/0!</v>
      </c>
      <c r="AC90" s="77" t="e">
        <f>IF(H$16=1,_xll.xCalcSkew($A90,AD90-BV90,b)/100,0)</f>
        <v>#DIV/0!</v>
      </c>
      <c r="AD90" s="98">
        <f t="shared" si="71"/>
        <v>2.4900000000000002</v>
      </c>
      <c r="AF90" s="99">
        <f t="shared" ca="1" si="21"/>
        <v>1819</v>
      </c>
      <c r="AG90" s="99">
        <f t="shared" ca="1" si="22"/>
        <v>1818</v>
      </c>
      <c r="AH90" s="77">
        <f t="shared" si="67"/>
        <v>5.1391857633718001E-2</v>
      </c>
      <c r="AI90" s="154">
        <f t="shared" si="0"/>
        <v>31</v>
      </c>
      <c r="AL90" s="99"/>
      <c r="AM90" s="78"/>
      <c r="AN90" s="78">
        <f t="shared" si="49"/>
        <v>0</v>
      </c>
      <c r="AO90" s="303" t="e">
        <f t="shared" si="50"/>
        <v>#DIV/0!</v>
      </c>
      <c r="AP90" s="75">
        <f t="shared" si="72"/>
        <v>0</v>
      </c>
      <c r="AQ90" s="102">
        <f t="shared" si="73"/>
        <v>0</v>
      </c>
      <c r="AR90" s="101">
        <f t="shared" si="26"/>
        <v>0</v>
      </c>
      <c r="AS90" s="101">
        <f t="shared" si="51"/>
        <v>0</v>
      </c>
      <c r="AT90" s="101">
        <f t="shared" si="27"/>
        <v>0</v>
      </c>
      <c r="AU90" s="103">
        <f t="shared" si="52"/>
        <v>0</v>
      </c>
      <c r="AV90" s="103">
        <f t="shared" si="53"/>
        <v>0</v>
      </c>
      <c r="AW90" s="103">
        <f t="shared" si="54"/>
        <v>0</v>
      </c>
      <c r="AY90" s="78">
        <f t="shared" si="28"/>
        <v>0</v>
      </c>
      <c r="AZ90" s="303" t="e">
        <f t="shared" si="55"/>
        <v>#DIV/0!</v>
      </c>
      <c r="BA90" s="75">
        <f t="shared" si="74"/>
        <v>0</v>
      </c>
      <c r="BB90" s="102">
        <f t="shared" si="75"/>
        <v>0</v>
      </c>
      <c r="BC90" s="101">
        <f t="shared" si="31"/>
        <v>0</v>
      </c>
      <c r="BD90" s="101">
        <f t="shared" si="32"/>
        <v>0</v>
      </c>
      <c r="BE90" s="101">
        <f t="shared" si="33"/>
        <v>0</v>
      </c>
      <c r="BF90" s="103">
        <f t="shared" si="56"/>
        <v>0</v>
      </c>
      <c r="BG90" s="103">
        <f t="shared" si="57"/>
        <v>0</v>
      </c>
      <c r="BH90" s="103">
        <f t="shared" si="58"/>
        <v>0</v>
      </c>
      <c r="BJ90" s="78">
        <f t="shared" si="34"/>
        <v>0</v>
      </c>
      <c r="BK90" s="303" t="e">
        <f t="shared" si="59"/>
        <v>#DIV/0!</v>
      </c>
      <c r="BL90" s="75">
        <f t="shared" si="76"/>
        <v>0</v>
      </c>
      <c r="BM90" s="102">
        <f t="shared" si="77"/>
        <v>0</v>
      </c>
      <c r="BN90" s="101">
        <f t="shared" si="37"/>
        <v>0</v>
      </c>
      <c r="BO90" s="101">
        <f t="shared" si="38"/>
        <v>0</v>
      </c>
      <c r="BP90" s="101">
        <f t="shared" si="39"/>
        <v>0</v>
      </c>
      <c r="BQ90" s="103">
        <f t="shared" si="60"/>
        <v>0</v>
      </c>
      <c r="BR90" s="103">
        <f t="shared" si="61"/>
        <v>0</v>
      </c>
      <c r="BS90" s="103">
        <f t="shared" si="62"/>
        <v>0</v>
      </c>
      <c r="BU90" s="78">
        <f t="shared" si="40"/>
        <v>0</v>
      </c>
      <c r="BV90" s="303" t="e">
        <f t="shared" si="63"/>
        <v>#DIV/0!</v>
      </c>
      <c r="BW90" s="75">
        <f t="shared" si="78"/>
        <v>0</v>
      </c>
      <c r="BX90" s="102">
        <f t="shared" si="79"/>
        <v>0</v>
      </c>
      <c r="BY90" s="101">
        <f t="shared" si="43"/>
        <v>0</v>
      </c>
      <c r="BZ90" s="101">
        <f t="shared" si="44"/>
        <v>0</v>
      </c>
      <c r="CA90" s="101">
        <f t="shared" si="45"/>
        <v>0</v>
      </c>
      <c r="CB90" s="103">
        <f t="shared" si="64"/>
        <v>0</v>
      </c>
      <c r="CC90" s="103">
        <f t="shared" si="65"/>
        <v>0</v>
      </c>
      <c r="CD90" s="103">
        <f t="shared" si="66"/>
        <v>0</v>
      </c>
    </row>
    <row r="91" spans="1:82" x14ac:dyDescent="0.25">
      <c r="A91" s="96">
        <f t="shared" si="46"/>
        <v>39114</v>
      </c>
      <c r="B91" s="97">
        <f t="shared" si="47"/>
        <v>3.7275</v>
      </c>
      <c r="C91" s="77">
        <f t="shared" si="48"/>
        <v>0.24249999999999999</v>
      </c>
      <c r="D91" s="97">
        <f t="shared" si="1"/>
        <v>0</v>
      </c>
      <c r="E91" s="100">
        <f t="shared" si="2"/>
        <v>1</v>
      </c>
      <c r="F91" s="99">
        <f t="shared" ca="1" si="3"/>
        <v>1849</v>
      </c>
      <c r="G91" s="77" t="e">
        <f t="shared" si="4"/>
        <v>#DIV/0!</v>
      </c>
      <c r="H91" s="77" t="e">
        <f>IF(B$16=1,_xll.xCalcSkew(A91,I91-AO91,b)/100,0)</f>
        <v>#DIV/0!</v>
      </c>
      <c r="I91" s="98">
        <f t="shared" si="68"/>
        <v>4</v>
      </c>
      <c r="K91" s="97">
        <f t="shared" si="6"/>
        <v>-0.03</v>
      </c>
      <c r="L91" s="100">
        <f t="shared" si="7"/>
        <v>1</v>
      </c>
      <c r="M91" s="99">
        <f t="shared" ca="1" si="8"/>
        <v>1852</v>
      </c>
      <c r="N91" s="175" t="e">
        <f t="shared" si="9"/>
        <v>#DIV/0!</v>
      </c>
      <c r="O91" s="77" t="e">
        <f>IF(D$16=1,_xll.xCalcSkew($A91,P91-AZ91,b)/100,0)</f>
        <v>#DIV/0!</v>
      </c>
      <c r="P91" s="98">
        <f t="shared" si="69"/>
        <v>2.5</v>
      </c>
      <c r="R91" s="97">
        <f t="shared" si="11"/>
        <v>-0.03</v>
      </c>
      <c r="S91" s="100">
        <f t="shared" si="12"/>
        <v>1</v>
      </c>
      <c r="T91" s="99">
        <f t="shared" ca="1" si="13"/>
        <v>1852</v>
      </c>
      <c r="U91" s="175" t="e">
        <f t="shared" si="14"/>
        <v>#DIV/0!</v>
      </c>
      <c r="V91" s="77" t="e">
        <f>IF(F$16=1,_xll.xCalcSkew($A91,W91-BK91,b)/100,0)</f>
        <v>#DIV/0!</v>
      </c>
      <c r="W91" s="98">
        <f t="shared" si="70"/>
        <v>2.5</v>
      </c>
      <c r="X91" s="99"/>
      <c r="Y91" s="97">
        <f t="shared" si="16"/>
        <v>-0.03</v>
      </c>
      <c r="Z91" s="100">
        <f t="shared" si="17"/>
        <v>1</v>
      </c>
      <c r="AA91" s="99">
        <f t="shared" ca="1" si="18"/>
        <v>1852</v>
      </c>
      <c r="AB91" s="77" t="e">
        <f t="shared" si="19"/>
        <v>#DIV/0!</v>
      </c>
      <c r="AC91" s="77" t="e">
        <f>IF(H$16=1,_xll.xCalcSkew($A91,AD91-BV91,b)/100,0)</f>
        <v>#DIV/0!</v>
      </c>
      <c r="AD91" s="98">
        <f t="shared" si="71"/>
        <v>2.4900000000000002</v>
      </c>
      <c r="AF91" s="99">
        <f t="shared" ca="1" si="21"/>
        <v>1852</v>
      </c>
      <c r="AG91" s="99">
        <f t="shared" ca="1" si="22"/>
        <v>1849</v>
      </c>
      <c r="AH91" s="77">
        <f t="shared" si="67"/>
        <v>5.1573371239542101E-2</v>
      </c>
      <c r="AI91" s="154">
        <f t="shared" si="0"/>
        <v>28</v>
      </c>
      <c r="AL91" s="99"/>
      <c r="AM91" s="78"/>
      <c r="AN91" s="78">
        <f t="shared" si="49"/>
        <v>0</v>
      </c>
      <c r="AO91" s="303" t="e">
        <f t="shared" si="50"/>
        <v>#DIV/0!</v>
      </c>
      <c r="AP91" s="75">
        <f t="shared" si="72"/>
        <v>0</v>
      </c>
      <c r="AQ91" s="102">
        <f t="shared" si="73"/>
        <v>0</v>
      </c>
      <c r="AR91" s="101">
        <f t="shared" si="26"/>
        <v>0</v>
      </c>
      <c r="AS91" s="101">
        <f t="shared" si="51"/>
        <v>0</v>
      </c>
      <c r="AT91" s="101">
        <f t="shared" si="27"/>
        <v>0</v>
      </c>
      <c r="AU91" s="103">
        <f t="shared" si="52"/>
        <v>0</v>
      </c>
      <c r="AV91" s="103">
        <f t="shared" si="53"/>
        <v>0</v>
      </c>
      <c r="AW91" s="103">
        <f t="shared" si="54"/>
        <v>0</v>
      </c>
      <c r="AY91" s="78">
        <f t="shared" si="28"/>
        <v>0</v>
      </c>
      <c r="AZ91" s="303" t="e">
        <f t="shared" si="55"/>
        <v>#DIV/0!</v>
      </c>
      <c r="BA91" s="75">
        <f t="shared" si="74"/>
        <v>0</v>
      </c>
      <c r="BB91" s="102">
        <f t="shared" si="75"/>
        <v>0</v>
      </c>
      <c r="BC91" s="101">
        <f t="shared" si="31"/>
        <v>0</v>
      </c>
      <c r="BD91" s="101">
        <f t="shared" si="32"/>
        <v>0</v>
      </c>
      <c r="BE91" s="101">
        <f t="shared" si="33"/>
        <v>0</v>
      </c>
      <c r="BF91" s="103">
        <f t="shared" si="56"/>
        <v>0</v>
      </c>
      <c r="BG91" s="103">
        <f t="shared" si="57"/>
        <v>0</v>
      </c>
      <c r="BH91" s="103">
        <f t="shared" si="58"/>
        <v>0</v>
      </c>
      <c r="BJ91" s="78">
        <f t="shared" si="34"/>
        <v>0</v>
      </c>
      <c r="BK91" s="303" t="e">
        <f t="shared" si="59"/>
        <v>#DIV/0!</v>
      </c>
      <c r="BL91" s="75">
        <f t="shared" si="76"/>
        <v>0</v>
      </c>
      <c r="BM91" s="102">
        <f t="shared" si="77"/>
        <v>0</v>
      </c>
      <c r="BN91" s="101">
        <f t="shared" si="37"/>
        <v>0</v>
      </c>
      <c r="BO91" s="101">
        <f t="shared" si="38"/>
        <v>0</v>
      </c>
      <c r="BP91" s="101">
        <f t="shared" si="39"/>
        <v>0</v>
      </c>
      <c r="BQ91" s="103">
        <f t="shared" si="60"/>
        <v>0</v>
      </c>
      <c r="BR91" s="103">
        <f t="shared" si="61"/>
        <v>0</v>
      </c>
      <c r="BS91" s="103">
        <f t="shared" si="62"/>
        <v>0</v>
      </c>
      <c r="BU91" s="78">
        <f t="shared" si="40"/>
        <v>0</v>
      </c>
      <c r="BV91" s="303" t="e">
        <f t="shared" si="63"/>
        <v>#DIV/0!</v>
      </c>
      <c r="BW91" s="75">
        <f t="shared" si="78"/>
        <v>0</v>
      </c>
      <c r="BX91" s="102">
        <f t="shared" si="79"/>
        <v>0</v>
      </c>
      <c r="BY91" s="101">
        <f t="shared" si="43"/>
        <v>0</v>
      </c>
      <c r="BZ91" s="101">
        <f t="shared" si="44"/>
        <v>0</v>
      </c>
      <c r="CA91" s="101">
        <f t="shared" si="45"/>
        <v>0</v>
      </c>
      <c r="CB91" s="103">
        <f t="shared" si="64"/>
        <v>0</v>
      </c>
      <c r="CC91" s="103">
        <f t="shared" si="65"/>
        <v>0</v>
      </c>
      <c r="CD91" s="103">
        <f t="shared" si="66"/>
        <v>0</v>
      </c>
    </row>
    <row r="92" spans="1:82" x14ac:dyDescent="0.25">
      <c r="A92" s="96">
        <f t="shared" si="46"/>
        <v>39142</v>
      </c>
      <c r="B92" s="97">
        <f t="shared" si="47"/>
        <v>3.5975000000000001</v>
      </c>
      <c r="C92" s="77">
        <f t="shared" si="48"/>
        <v>0.24</v>
      </c>
      <c r="D92" s="97">
        <f t="shared" si="1"/>
        <v>0</v>
      </c>
      <c r="E92" s="100">
        <f t="shared" si="2"/>
        <v>1</v>
      </c>
      <c r="F92" s="99">
        <f t="shared" ca="1" si="3"/>
        <v>1877</v>
      </c>
      <c r="G92" s="77" t="e">
        <f t="shared" si="4"/>
        <v>#DIV/0!</v>
      </c>
      <c r="H92" s="77" t="e">
        <f>IF(B$16=1,_xll.xCalcSkew(A92,I92-AO92,b)/100,0)</f>
        <v>#DIV/0!</v>
      </c>
      <c r="I92" s="98">
        <f t="shared" si="68"/>
        <v>4</v>
      </c>
      <c r="K92" s="97">
        <f t="shared" si="6"/>
        <v>-1.7500000000000002E-2</v>
      </c>
      <c r="L92" s="100">
        <f t="shared" si="7"/>
        <v>1</v>
      </c>
      <c r="M92" s="99">
        <f t="shared" ca="1" si="8"/>
        <v>1880</v>
      </c>
      <c r="N92" s="175" t="e">
        <f t="shared" si="9"/>
        <v>#DIV/0!</v>
      </c>
      <c r="O92" s="77" t="e">
        <f>IF(D$16=1,_xll.xCalcSkew($A92,P92-AZ92,b)/100,0)</f>
        <v>#DIV/0!</v>
      </c>
      <c r="P92" s="98">
        <f t="shared" si="69"/>
        <v>2.5</v>
      </c>
      <c r="R92" s="97">
        <f t="shared" si="11"/>
        <v>-1.7500000000000002E-2</v>
      </c>
      <c r="S92" s="100">
        <f t="shared" si="12"/>
        <v>1</v>
      </c>
      <c r="T92" s="99">
        <f t="shared" ca="1" si="13"/>
        <v>1880</v>
      </c>
      <c r="U92" s="175" t="e">
        <f t="shared" si="14"/>
        <v>#DIV/0!</v>
      </c>
      <c r="V92" s="77" t="e">
        <f>IF(F$16=1,_xll.xCalcSkew($A92,W92-BK92,b)/100,0)</f>
        <v>#DIV/0!</v>
      </c>
      <c r="W92" s="98">
        <f t="shared" si="70"/>
        <v>2.5</v>
      </c>
      <c r="X92" s="99"/>
      <c r="Y92" s="97">
        <f t="shared" si="16"/>
        <v>-1.7500000000000002E-2</v>
      </c>
      <c r="Z92" s="100">
        <f t="shared" si="17"/>
        <v>1</v>
      </c>
      <c r="AA92" s="99">
        <f t="shared" ca="1" si="18"/>
        <v>1880</v>
      </c>
      <c r="AB92" s="77" t="e">
        <f t="shared" si="19"/>
        <v>#DIV/0!</v>
      </c>
      <c r="AC92" s="77" t="e">
        <f>IF(H$16=1,_xll.xCalcSkew($A92,AD92-BV92,b)/100,0)</f>
        <v>#DIV/0!</v>
      </c>
      <c r="AD92" s="98">
        <f t="shared" si="71"/>
        <v>2.4900000000000002</v>
      </c>
      <c r="AF92" s="99">
        <f t="shared" ca="1" si="21"/>
        <v>1880</v>
      </c>
      <c r="AG92" s="99">
        <f t="shared" ca="1" si="22"/>
        <v>1877</v>
      </c>
      <c r="AH92" s="77">
        <f t="shared" si="67"/>
        <v>5.17373190219916E-2</v>
      </c>
      <c r="AI92" s="154">
        <f t="shared" si="0"/>
        <v>31</v>
      </c>
      <c r="AL92" s="99"/>
      <c r="AM92" s="78"/>
      <c r="AN92" s="78">
        <f t="shared" si="49"/>
        <v>0</v>
      </c>
      <c r="AO92" s="303" t="e">
        <f t="shared" si="50"/>
        <v>#DIV/0!</v>
      </c>
      <c r="AP92" s="75">
        <f t="shared" si="72"/>
        <v>0</v>
      </c>
      <c r="AQ92" s="102">
        <f t="shared" si="73"/>
        <v>0</v>
      </c>
      <c r="AR92" s="101">
        <f t="shared" si="26"/>
        <v>0</v>
      </c>
      <c r="AS92" s="101">
        <f t="shared" si="51"/>
        <v>0</v>
      </c>
      <c r="AT92" s="101">
        <f t="shared" si="27"/>
        <v>0</v>
      </c>
      <c r="AU92" s="103">
        <f t="shared" si="52"/>
        <v>0</v>
      </c>
      <c r="AV92" s="103">
        <f t="shared" si="53"/>
        <v>0</v>
      </c>
      <c r="AW92" s="103">
        <f t="shared" si="54"/>
        <v>0</v>
      </c>
      <c r="AY92" s="78">
        <f t="shared" si="28"/>
        <v>0</v>
      </c>
      <c r="AZ92" s="303" t="e">
        <f t="shared" si="55"/>
        <v>#DIV/0!</v>
      </c>
      <c r="BA92" s="75">
        <f t="shared" si="74"/>
        <v>0</v>
      </c>
      <c r="BB92" s="102">
        <f t="shared" si="75"/>
        <v>0</v>
      </c>
      <c r="BC92" s="101">
        <f t="shared" si="31"/>
        <v>0</v>
      </c>
      <c r="BD92" s="101">
        <f t="shared" si="32"/>
        <v>0</v>
      </c>
      <c r="BE92" s="101">
        <f t="shared" si="33"/>
        <v>0</v>
      </c>
      <c r="BF92" s="103">
        <f t="shared" si="56"/>
        <v>0</v>
      </c>
      <c r="BG92" s="103">
        <f t="shared" si="57"/>
        <v>0</v>
      </c>
      <c r="BH92" s="103">
        <f t="shared" si="58"/>
        <v>0</v>
      </c>
      <c r="BJ92" s="78">
        <f t="shared" si="34"/>
        <v>0</v>
      </c>
      <c r="BK92" s="303" t="e">
        <f t="shared" si="59"/>
        <v>#DIV/0!</v>
      </c>
      <c r="BL92" s="75">
        <f t="shared" si="76"/>
        <v>0</v>
      </c>
      <c r="BM92" s="102">
        <f t="shared" si="77"/>
        <v>0</v>
      </c>
      <c r="BN92" s="101">
        <f t="shared" si="37"/>
        <v>0</v>
      </c>
      <c r="BO92" s="101">
        <f t="shared" si="38"/>
        <v>0</v>
      </c>
      <c r="BP92" s="101">
        <f t="shared" si="39"/>
        <v>0</v>
      </c>
      <c r="BQ92" s="103">
        <f t="shared" si="60"/>
        <v>0</v>
      </c>
      <c r="BR92" s="103">
        <f t="shared" si="61"/>
        <v>0</v>
      </c>
      <c r="BS92" s="103">
        <f t="shared" si="62"/>
        <v>0</v>
      </c>
      <c r="BU92" s="78">
        <f t="shared" si="40"/>
        <v>0</v>
      </c>
      <c r="BV92" s="303" t="e">
        <f t="shared" si="63"/>
        <v>#DIV/0!</v>
      </c>
      <c r="BW92" s="75">
        <f t="shared" si="78"/>
        <v>0</v>
      </c>
      <c r="BX92" s="102">
        <f t="shared" si="79"/>
        <v>0</v>
      </c>
      <c r="BY92" s="101">
        <f t="shared" si="43"/>
        <v>0</v>
      </c>
      <c r="BZ92" s="101">
        <f t="shared" si="44"/>
        <v>0</v>
      </c>
      <c r="CA92" s="101">
        <f t="shared" si="45"/>
        <v>0</v>
      </c>
      <c r="CB92" s="103">
        <f t="shared" si="64"/>
        <v>0</v>
      </c>
      <c r="CC92" s="103">
        <f t="shared" si="65"/>
        <v>0</v>
      </c>
      <c r="CD92" s="103">
        <f t="shared" si="66"/>
        <v>0</v>
      </c>
    </row>
    <row r="93" spans="1:82" x14ac:dyDescent="0.25">
      <c r="A93" s="96">
        <f t="shared" si="46"/>
        <v>39173</v>
      </c>
      <c r="B93" s="97">
        <f t="shared" si="47"/>
        <v>3.4125000000000001</v>
      </c>
      <c r="C93" s="77">
        <f t="shared" si="48"/>
        <v>0.24</v>
      </c>
      <c r="D93" s="97">
        <f t="shared" si="1"/>
        <v>0</v>
      </c>
      <c r="E93" s="100">
        <f t="shared" si="2"/>
        <v>1</v>
      </c>
      <c r="F93" s="99">
        <f t="shared" ca="1" si="3"/>
        <v>1909</v>
      </c>
      <c r="G93" s="77" t="e">
        <f t="shared" si="4"/>
        <v>#DIV/0!</v>
      </c>
      <c r="H93" s="77" t="e">
        <f>IF(B$16=1,_xll.xCalcSkew(A93,I93-AO93,b)/100,0)</f>
        <v>#DIV/0!</v>
      </c>
      <c r="I93" s="98">
        <f t="shared" si="68"/>
        <v>4</v>
      </c>
      <c r="K93" s="97">
        <f t="shared" si="6"/>
        <v>0.02</v>
      </c>
      <c r="L93" s="100">
        <f t="shared" si="7"/>
        <v>1</v>
      </c>
      <c r="M93" s="99">
        <f t="shared" ca="1" si="8"/>
        <v>1910</v>
      </c>
      <c r="N93" s="175" t="e">
        <f t="shared" si="9"/>
        <v>#DIV/0!</v>
      </c>
      <c r="O93" s="77" t="e">
        <f>IF(D$16=1,_xll.xCalcSkew($A93,P93-AZ93,b)/100,0)</f>
        <v>#DIV/0!</v>
      </c>
      <c r="P93" s="98">
        <f t="shared" si="69"/>
        <v>2.5</v>
      </c>
      <c r="R93" s="97">
        <f t="shared" si="11"/>
        <v>0.02</v>
      </c>
      <c r="S93" s="100">
        <f t="shared" si="12"/>
        <v>1</v>
      </c>
      <c r="T93" s="99">
        <f t="shared" ca="1" si="13"/>
        <v>1910</v>
      </c>
      <c r="U93" s="175" t="e">
        <f t="shared" si="14"/>
        <v>#DIV/0!</v>
      </c>
      <c r="V93" s="77" t="e">
        <f>IF(F$16=1,_xll.xCalcSkew($A93,W93-BK93,b)/100,0)</f>
        <v>#DIV/0!</v>
      </c>
      <c r="W93" s="98">
        <f t="shared" si="70"/>
        <v>2.5</v>
      </c>
      <c r="X93" s="99"/>
      <c r="Y93" s="97">
        <f t="shared" si="16"/>
        <v>0.02</v>
      </c>
      <c r="Z93" s="100">
        <f t="shared" si="17"/>
        <v>1</v>
      </c>
      <c r="AA93" s="99">
        <f t="shared" ca="1" si="18"/>
        <v>1910</v>
      </c>
      <c r="AB93" s="77" t="e">
        <f t="shared" si="19"/>
        <v>#DIV/0!</v>
      </c>
      <c r="AC93" s="77" t="e">
        <f>IF(H$16=1,_xll.xCalcSkew($A93,AD93-BV93,b)/100,0)</f>
        <v>#DIV/0!</v>
      </c>
      <c r="AD93" s="98">
        <f t="shared" si="71"/>
        <v>2.4900000000000002</v>
      </c>
      <c r="AF93" s="99">
        <f t="shared" ca="1" si="21"/>
        <v>1910</v>
      </c>
      <c r="AG93" s="99">
        <f t="shared" ca="1" si="22"/>
        <v>1909</v>
      </c>
      <c r="AH93" s="77">
        <f t="shared" si="67"/>
        <v>5.1918832648734502E-2</v>
      </c>
      <c r="AI93" s="154">
        <f t="shared" si="0"/>
        <v>30</v>
      </c>
      <c r="AL93" s="99"/>
      <c r="AM93" s="78"/>
      <c r="AN93" s="78">
        <f t="shared" si="49"/>
        <v>0</v>
      </c>
      <c r="AO93" s="303" t="e">
        <f t="shared" si="50"/>
        <v>#DIV/0!</v>
      </c>
      <c r="AP93" s="75">
        <f t="shared" si="72"/>
        <v>0</v>
      </c>
      <c r="AQ93" s="102">
        <f t="shared" si="73"/>
        <v>0</v>
      </c>
      <c r="AR93" s="101">
        <f t="shared" si="26"/>
        <v>0</v>
      </c>
      <c r="AS93" s="101">
        <f t="shared" si="51"/>
        <v>0</v>
      </c>
      <c r="AT93" s="101">
        <f t="shared" si="27"/>
        <v>0</v>
      </c>
      <c r="AU93" s="103">
        <f t="shared" si="52"/>
        <v>0</v>
      </c>
      <c r="AV93" s="103">
        <f t="shared" si="53"/>
        <v>0</v>
      </c>
      <c r="AW93" s="103">
        <f t="shared" si="54"/>
        <v>0</v>
      </c>
      <c r="AY93" s="78">
        <f t="shared" si="28"/>
        <v>0</v>
      </c>
      <c r="AZ93" s="303" t="e">
        <f t="shared" si="55"/>
        <v>#DIV/0!</v>
      </c>
      <c r="BA93" s="75">
        <f t="shared" si="74"/>
        <v>0</v>
      </c>
      <c r="BB93" s="102">
        <f t="shared" si="75"/>
        <v>0</v>
      </c>
      <c r="BC93" s="101">
        <f t="shared" si="31"/>
        <v>0</v>
      </c>
      <c r="BD93" s="101">
        <f t="shared" si="32"/>
        <v>0</v>
      </c>
      <c r="BE93" s="101">
        <f t="shared" si="33"/>
        <v>0</v>
      </c>
      <c r="BF93" s="103">
        <f t="shared" si="56"/>
        <v>0</v>
      </c>
      <c r="BG93" s="103">
        <f t="shared" si="57"/>
        <v>0</v>
      </c>
      <c r="BH93" s="103">
        <f t="shared" si="58"/>
        <v>0</v>
      </c>
      <c r="BJ93" s="78">
        <f t="shared" si="34"/>
        <v>0</v>
      </c>
      <c r="BK93" s="303" t="e">
        <f t="shared" si="59"/>
        <v>#DIV/0!</v>
      </c>
      <c r="BL93" s="75">
        <f t="shared" si="76"/>
        <v>0</v>
      </c>
      <c r="BM93" s="102">
        <f t="shared" si="77"/>
        <v>0</v>
      </c>
      <c r="BN93" s="101">
        <f t="shared" si="37"/>
        <v>0</v>
      </c>
      <c r="BO93" s="101">
        <f t="shared" si="38"/>
        <v>0</v>
      </c>
      <c r="BP93" s="101">
        <f t="shared" si="39"/>
        <v>0</v>
      </c>
      <c r="BQ93" s="103">
        <f t="shared" si="60"/>
        <v>0</v>
      </c>
      <c r="BR93" s="103">
        <f t="shared" si="61"/>
        <v>0</v>
      </c>
      <c r="BS93" s="103">
        <f t="shared" si="62"/>
        <v>0</v>
      </c>
      <c r="BU93" s="78">
        <f t="shared" si="40"/>
        <v>0</v>
      </c>
      <c r="BV93" s="303" t="e">
        <f t="shared" si="63"/>
        <v>#DIV/0!</v>
      </c>
      <c r="BW93" s="75">
        <f t="shared" si="78"/>
        <v>0</v>
      </c>
      <c r="BX93" s="102">
        <f t="shared" si="79"/>
        <v>0</v>
      </c>
      <c r="BY93" s="101">
        <f t="shared" si="43"/>
        <v>0</v>
      </c>
      <c r="BZ93" s="101">
        <f t="shared" si="44"/>
        <v>0</v>
      </c>
      <c r="CA93" s="101">
        <f t="shared" si="45"/>
        <v>0</v>
      </c>
      <c r="CB93" s="103">
        <f t="shared" si="64"/>
        <v>0</v>
      </c>
      <c r="CC93" s="103">
        <f t="shared" si="65"/>
        <v>0</v>
      </c>
      <c r="CD93" s="103">
        <f t="shared" si="66"/>
        <v>0</v>
      </c>
    </row>
    <row r="94" spans="1:82" x14ac:dyDescent="0.25">
      <c r="A94" s="96">
        <f t="shared" si="46"/>
        <v>39203</v>
      </c>
      <c r="B94" s="97">
        <f t="shared" si="47"/>
        <v>3.4075000000000002</v>
      </c>
      <c r="C94" s="77">
        <f t="shared" si="48"/>
        <v>0.24</v>
      </c>
      <c r="D94" s="97">
        <f t="shared" si="1"/>
        <v>0</v>
      </c>
      <c r="E94" s="100">
        <f t="shared" si="2"/>
        <v>1</v>
      </c>
      <c r="F94" s="99">
        <f t="shared" ca="1" si="3"/>
        <v>1938</v>
      </c>
      <c r="G94" s="77" t="e">
        <f t="shared" si="4"/>
        <v>#DIV/0!</v>
      </c>
      <c r="H94" s="77" t="e">
        <f>IF(B$16=1,_xll.xCalcSkew(A94,I94-AO94,b)/100,0)</f>
        <v>#DIV/0!</v>
      </c>
      <c r="I94" s="98">
        <f t="shared" si="68"/>
        <v>4</v>
      </c>
      <c r="K94" s="97">
        <f t="shared" si="6"/>
        <v>0.02</v>
      </c>
      <c r="L94" s="100">
        <f t="shared" si="7"/>
        <v>1</v>
      </c>
      <c r="M94" s="99">
        <f t="shared" ca="1" si="8"/>
        <v>1939</v>
      </c>
      <c r="N94" s="175" t="e">
        <f t="shared" si="9"/>
        <v>#DIV/0!</v>
      </c>
      <c r="O94" s="77" t="e">
        <f>IF(D$16=1,_xll.xCalcSkew($A94,P94-AZ94,b)/100,0)</f>
        <v>#DIV/0!</v>
      </c>
      <c r="P94" s="98">
        <f t="shared" si="69"/>
        <v>2.5</v>
      </c>
      <c r="R94" s="97">
        <f t="shared" si="11"/>
        <v>0.02</v>
      </c>
      <c r="S94" s="100">
        <f t="shared" si="12"/>
        <v>1</v>
      </c>
      <c r="T94" s="99">
        <f t="shared" ca="1" si="13"/>
        <v>1939</v>
      </c>
      <c r="U94" s="175" t="e">
        <f t="shared" si="14"/>
        <v>#DIV/0!</v>
      </c>
      <c r="V94" s="77" t="e">
        <f>IF(F$16=1,_xll.xCalcSkew($A94,W94-BK94,b)/100,0)</f>
        <v>#DIV/0!</v>
      </c>
      <c r="W94" s="98">
        <f t="shared" si="70"/>
        <v>2.5</v>
      </c>
      <c r="X94" s="99"/>
      <c r="Y94" s="97">
        <f t="shared" si="16"/>
        <v>0.02</v>
      </c>
      <c r="Z94" s="100">
        <f t="shared" si="17"/>
        <v>1</v>
      </c>
      <c r="AA94" s="99">
        <f t="shared" ca="1" si="18"/>
        <v>1939</v>
      </c>
      <c r="AB94" s="77" t="e">
        <f t="shared" si="19"/>
        <v>#DIV/0!</v>
      </c>
      <c r="AC94" s="77" t="e">
        <f>IF(H$16=1,_xll.xCalcSkew($A94,AD94-BV94,b)/100,0)</f>
        <v>#DIV/0!</v>
      </c>
      <c r="AD94" s="98">
        <f t="shared" si="71"/>
        <v>2.4900000000000002</v>
      </c>
      <c r="AF94" s="99">
        <f t="shared" ca="1" si="21"/>
        <v>1939</v>
      </c>
      <c r="AG94" s="99">
        <f t="shared" ca="1" si="22"/>
        <v>1938</v>
      </c>
      <c r="AH94" s="77">
        <f t="shared" si="67"/>
        <v>5.2094491007659699E-2</v>
      </c>
      <c r="AI94" s="154">
        <f t="shared" si="0"/>
        <v>31</v>
      </c>
      <c r="AL94" s="99"/>
      <c r="AM94" s="78"/>
      <c r="AN94" s="78">
        <f t="shared" si="49"/>
        <v>0</v>
      </c>
      <c r="AO94" s="303" t="e">
        <f t="shared" si="50"/>
        <v>#DIV/0!</v>
      </c>
      <c r="AP94" s="75">
        <f t="shared" si="72"/>
        <v>0</v>
      </c>
      <c r="AQ94" s="102">
        <f t="shared" si="73"/>
        <v>0</v>
      </c>
      <c r="AR94" s="101">
        <f t="shared" si="26"/>
        <v>0</v>
      </c>
      <c r="AS94" s="101">
        <f t="shared" si="51"/>
        <v>0</v>
      </c>
      <c r="AT94" s="101">
        <f t="shared" si="27"/>
        <v>0</v>
      </c>
      <c r="AU94" s="103">
        <f t="shared" si="52"/>
        <v>0</v>
      </c>
      <c r="AV94" s="103">
        <f t="shared" si="53"/>
        <v>0</v>
      </c>
      <c r="AW94" s="103">
        <f t="shared" si="54"/>
        <v>0</v>
      </c>
      <c r="AY94" s="78">
        <f t="shared" si="28"/>
        <v>0</v>
      </c>
      <c r="AZ94" s="303" t="e">
        <f t="shared" si="55"/>
        <v>#DIV/0!</v>
      </c>
      <c r="BA94" s="75">
        <f t="shared" si="74"/>
        <v>0</v>
      </c>
      <c r="BB94" s="102">
        <f t="shared" si="75"/>
        <v>0</v>
      </c>
      <c r="BC94" s="101">
        <f t="shared" si="31"/>
        <v>0</v>
      </c>
      <c r="BD94" s="101">
        <f t="shared" si="32"/>
        <v>0</v>
      </c>
      <c r="BE94" s="101">
        <f t="shared" si="33"/>
        <v>0</v>
      </c>
      <c r="BF94" s="103">
        <f t="shared" si="56"/>
        <v>0</v>
      </c>
      <c r="BG94" s="103">
        <f t="shared" si="57"/>
        <v>0</v>
      </c>
      <c r="BH94" s="103">
        <f t="shared" si="58"/>
        <v>0</v>
      </c>
      <c r="BJ94" s="78">
        <f t="shared" si="34"/>
        <v>0</v>
      </c>
      <c r="BK94" s="303" t="e">
        <f t="shared" si="59"/>
        <v>#DIV/0!</v>
      </c>
      <c r="BL94" s="75">
        <f t="shared" si="76"/>
        <v>0</v>
      </c>
      <c r="BM94" s="102">
        <f t="shared" si="77"/>
        <v>0</v>
      </c>
      <c r="BN94" s="101">
        <f t="shared" si="37"/>
        <v>0</v>
      </c>
      <c r="BO94" s="101">
        <f t="shared" si="38"/>
        <v>0</v>
      </c>
      <c r="BP94" s="101">
        <f t="shared" si="39"/>
        <v>0</v>
      </c>
      <c r="BQ94" s="103">
        <f t="shared" si="60"/>
        <v>0</v>
      </c>
      <c r="BR94" s="103">
        <f t="shared" si="61"/>
        <v>0</v>
      </c>
      <c r="BS94" s="103">
        <f t="shared" si="62"/>
        <v>0</v>
      </c>
      <c r="BU94" s="78">
        <f t="shared" si="40"/>
        <v>0</v>
      </c>
      <c r="BV94" s="303" t="e">
        <f t="shared" si="63"/>
        <v>#DIV/0!</v>
      </c>
      <c r="BW94" s="75">
        <f t="shared" si="78"/>
        <v>0</v>
      </c>
      <c r="BX94" s="102">
        <f t="shared" si="79"/>
        <v>0</v>
      </c>
      <c r="BY94" s="101">
        <f t="shared" si="43"/>
        <v>0</v>
      </c>
      <c r="BZ94" s="101">
        <f t="shared" si="44"/>
        <v>0</v>
      </c>
      <c r="CA94" s="101">
        <f t="shared" si="45"/>
        <v>0</v>
      </c>
      <c r="CB94" s="103">
        <f t="shared" si="64"/>
        <v>0</v>
      </c>
      <c r="CC94" s="103">
        <f t="shared" si="65"/>
        <v>0</v>
      </c>
      <c r="CD94" s="103">
        <f t="shared" si="66"/>
        <v>0</v>
      </c>
    </row>
    <row r="95" spans="1:82" x14ac:dyDescent="0.25">
      <c r="A95" s="96">
        <f t="shared" si="46"/>
        <v>39234</v>
      </c>
      <c r="B95" s="97">
        <f t="shared" si="47"/>
        <v>3.4424999999999999</v>
      </c>
      <c r="C95" s="77">
        <f t="shared" si="48"/>
        <v>0.24</v>
      </c>
      <c r="D95" s="97">
        <f t="shared" ref="D95:D149" si="80">IF(D$28="nymex",0,VLOOKUP($A95,curvesettle,HLOOKUP(D$28,curvesettle,2,FALSE)))</f>
        <v>0</v>
      </c>
      <c r="E95" s="100">
        <f t="shared" ref="E95:E149" si="81">IF(ISNUMBER(VLOOKUP($A95,VOLCURVES,HLOOKUP(D$28,VOLCURVES,2,FALSE),FALSE)),VLOOKUP($A95,VOLCURVES,HLOOKUP(D$28,VOLCURVES,2,FALSE),FALSE),1)</f>
        <v>1</v>
      </c>
      <c r="F95" s="99">
        <f t="shared" ca="1" si="3"/>
        <v>1968</v>
      </c>
      <c r="G95" s="77" t="e">
        <f t="shared" ref="G95:G107" si="82">(($C95+H95)*$E95)+B$15</f>
        <v>#DIV/0!</v>
      </c>
      <c r="H95" s="77" t="e">
        <f>IF(B$16=1,_xll.xCalcSkew(A95,I95-AO95,b)/100,0)</f>
        <v>#DIV/0!</v>
      </c>
      <c r="I95" s="98">
        <f t="shared" ref="I95:I126" si="83">IF($B$19=4,$AO95,$B$18)</f>
        <v>4</v>
      </c>
      <c r="K95" s="97">
        <f t="shared" ref="K95:K149" si="84">IF(K$28="nymex",0,VLOOKUP($A95,curvesettle,HLOOKUP(K$28,curvesettle,2,FALSE)))</f>
        <v>2.5000000000000001E-2</v>
      </c>
      <c r="L95" s="100">
        <f t="shared" ref="L95:L149" si="85">IF(ISNUMBER(VLOOKUP($A95,VOLCURVES,HLOOKUP(K$28,VOLCURVES,2,FALSE),FALSE)),VLOOKUP($A95,VOLCURVES,HLOOKUP(K$28,VOLCURVES,2,FALSE),FALSE),1)</f>
        <v>1</v>
      </c>
      <c r="M95" s="99">
        <f t="shared" ref="M95:M107" ca="1" si="86">IF(K$28="NYMEX",$AG95,$AF95)</f>
        <v>1972</v>
      </c>
      <c r="N95" s="175" t="e">
        <f t="shared" ref="N95:N107" si="87">(($C95+O95)*$L95)+D$15</f>
        <v>#DIV/0!</v>
      </c>
      <c r="O95" s="77" t="e">
        <f>IF(D$16=1,_xll.xCalcSkew($A95,P95-AZ95,b)/100,0)</f>
        <v>#DIV/0!</v>
      </c>
      <c r="P95" s="98">
        <f t="shared" ref="P95:P126" si="88">IF($D$19=4,$AZ95,$D$18)</f>
        <v>2.5</v>
      </c>
      <c r="R95" s="97">
        <f t="shared" ref="R95:R149" si="89">IF(R$28="nymex",0,VLOOKUP($A95,curvesettle,HLOOKUP(R$28,curvesettle,2,FALSE)))</f>
        <v>2.5000000000000001E-2</v>
      </c>
      <c r="S95" s="100">
        <f t="shared" ref="S95:S149" si="90">IF(ISNUMBER(VLOOKUP($A95,VOLCURVES,HLOOKUP(R$28,VOLCURVES,2,FALSE),FALSE)),VLOOKUP($A95,VOLCURVES,HLOOKUP(R$28,VOLCURVES,2,FALSE),FALSE),1)</f>
        <v>1</v>
      </c>
      <c r="T95" s="99">
        <f t="shared" ref="T95:T107" ca="1" si="91">IF(R$28="NYMEX",$AG95,$AF95)</f>
        <v>1972</v>
      </c>
      <c r="U95" s="175" t="e">
        <f t="shared" ref="U95:U107" si="92">(($C95+V95)*$S95)+F$15</f>
        <v>#DIV/0!</v>
      </c>
      <c r="V95" s="77" t="e">
        <f>IF(F$16=1,_xll.xCalcSkew($A95,W95-BK95,b)/100,0)</f>
        <v>#DIV/0!</v>
      </c>
      <c r="W95" s="98">
        <f t="shared" ref="W95:W126" si="93">IF($F$19=4,$BK95,$F$18)</f>
        <v>2.5</v>
      </c>
      <c r="X95" s="99"/>
      <c r="Y95" s="97">
        <f t="shared" ref="Y95:Y149" si="94">IF(Y$28="nymex",0,VLOOKUP($A95,curvesettle,HLOOKUP(Y$28,curvesettle,2,FALSE)))</f>
        <v>2.5000000000000001E-2</v>
      </c>
      <c r="Z95" s="100">
        <f t="shared" ref="Z95:Z149" si="95">IF(ISNUMBER(VLOOKUP($A95,VOLCURVES,HLOOKUP(Y$28,VOLCURVES,2,FALSE),FALSE)),VLOOKUP($A95,VOLCURVES,HLOOKUP(Y$28,VOLCURVES,2,FALSE),FALSE),1)</f>
        <v>1</v>
      </c>
      <c r="AA95" s="99">
        <f t="shared" ref="AA95:AA107" ca="1" si="96">IF(Y$28="NYMEX",$AG95,$AF95)</f>
        <v>1972</v>
      </c>
      <c r="AB95" s="77" t="e">
        <f t="shared" ref="AB95:AB107" si="97">(($C95+AC95)*$Z95)+H$15</f>
        <v>#DIV/0!</v>
      </c>
      <c r="AC95" s="77" t="e">
        <f>IF(H$16=1,_xll.xCalcSkew($A95,AD95-BV95,b)/100,0)</f>
        <v>#DIV/0!</v>
      </c>
      <c r="AD95" s="98">
        <f t="shared" ref="AD95:AD126" si="98">IF($H$19=4,$BV95,$H$18)</f>
        <v>2.4900000000000002</v>
      </c>
      <c r="AF95" s="99">
        <f t="shared" ca="1" si="21"/>
        <v>1972</v>
      </c>
      <c r="AG95" s="99">
        <f t="shared" ca="1" si="22"/>
        <v>1968</v>
      </c>
      <c r="AH95" s="77">
        <f t="shared" si="67"/>
        <v>5.2276004656028399E-2</v>
      </c>
      <c r="AI95" s="154">
        <f t="shared" ref="AI95:AI148" si="99">A96-A95</f>
        <v>30</v>
      </c>
      <c r="AL95" s="99"/>
      <c r="AM95" s="78"/>
      <c r="AN95" s="78">
        <f t="shared" ref="AN95:AN107" si="100">IF($A95&gt;=AO$25,IF($A95&lt;=AO$26,$AI95,0),0)</f>
        <v>0</v>
      </c>
      <c r="AO95" s="303" t="e">
        <f t="shared" si="50"/>
        <v>#DIV/0!</v>
      </c>
      <c r="AP95" s="75">
        <f t="shared" ref="AP95:AP126" si="101">AN95*($B95+B$13)</f>
        <v>0</v>
      </c>
      <c r="AQ95" s="102">
        <f t="shared" ref="AQ95:AQ126" si="102">IF(ISNUMBER(((AP95/AN95)+B$14+$D95)*AN95),((AP95/AN95)+B$14+$D95)*AN95,0)</f>
        <v>0</v>
      </c>
      <c r="AR95" s="101">
        <f t="shared" ref="AR95:AR107" si="103">IF(AN95=0,0,bsd(1,AS$27,AO95,$I95,$F95,$G95,$AH95,0.1))</f>
        <v>0</v>
      </c>
      <c r="AS95" s="101">
        <f t="shared" si="51"/>
        <v>0</v>
      </c>
      <c r="AT95" s="101">
        <f t="shared" ref="AT95:AT107" si="104">IF(AN95=0,0,bsd(AS$28,AS$27,AO95,$I95,$F95,$G95,$AH95,0.1))</f>
        <v>0</v>
      </c>
      <c r="AU95" s="103">
        <f t="shared" si="52"/>
        <v>0</v>
      </c>
      <c r="AV95" s="103">
        <f t="shared" si="53"/>
        <v>0</v>
      </c>
      <c r="AW95" s="103">
        <f t="shared" si="54"/>
        <v>0</v>
      </c>
      <c r="AY95" s="78">
        <f t="shared" ref="AY95:AY107" si="105">IF($A95&gt;=AZ$25,IF($A95&lt;=AZ$26,$AI95,0),0)</f>
        <v>0</v>
      </c>
      <c r="AZ95" s="303" t="e">
        <f t="shared" si="55"/>
        <v>#DIV/0!</v>
      </c>
      <c r="BA95" s="75">
        <f t="shared" ref="BA95:BA126" si="106">AY95*($B95+D$13)</f>
        <v>0</v>
      </c>
      <c r="BB95" s="102">
        <f t="shared" ref="BB95:BB126" si="107">IF(ISNUMBER(((BA95/AY95)+D$14+$K95)*AY95),((BA95/AY95)+D$14+$K95)*AY95,0)</f>
        <v>0</v>
      </c>
      <c r="BC95" s="101">
        <f t="shared" ref="BC95:BC107" si="108">IF(AY95=0,0,bsd(1,BD$27,AZ95,$P95,$M95,$N95,$AH95,0.1))</f>
        <v>0</v>
      </c>
      <c r="BD95" s="101">
        <f t="shared" ref="BD95:BD107" si="109">IF(AY95=0,0,bsd(2,BD$27,AZ95,$P95,$M95,$N95,$AH95,0.1))</f>
        <v>0</v>
      </c>
      <c r="BE95" s="101">
        <f t="shared" ref="BE95:BE107" si="110">IF(AY95=0,0,bsd(BD$28,BD$27,AZ95,$P95,$M95,$N95,$AH95,0.1))</f>
        <v>0</v>
      </c>
      <c r="BF95" s="103">
        <f t="shared" si="56"/>
        <v>0</v>
      </c>
      <c r="BG95" s="103">
        <f t="shared" si="57"/>
        <v>0</v>
      </c>
      <c r="BH95" s="103">
        <f t="shared" si="58"/>
        <v>0</v>
      </c>
      <c r="BJ95" s="78">
        <f t="shared" ref="BJ95:BJ107" si="111">IF($A95&gt;=BK$25,IF($A95&lt;=BK$26,$AI95,0),0)</f>
        <v>0</v>
      </c>
      <c r="BK95" s="303" t="e">
        <f t="shared" si="59"/>
        <v>#DIV/0!</v>
      </c>
      <c r="BL95" s="75">
        <f t="shared" ref="BL95:BL126" si="112">BJ95*($B95+F$13)</f>
        <v>0</v>
      </c>
      <c r="BM95" s="102">
        <f t="shared" ref="BM95:BM126" si="113">IF(ISNUMBER(((BL95/BJ95)+F$14+$R95)*BJ95),((BL95/BJ95)+F$14+$R95)*BJ95,0)</f>
        <v>0</v>
      </c>
      <c r="BN95" s="101">
        <f t="shared" ref="BN95:BN107" si="114">IF(BJ95=0,0,bsd(1,BO$27,BK95,$W95,$T95,$U95,$AH95,0.1))</f>
        <v>0</v>
      </c>
      <c r="BO95" s="101">
        <f t="shared" ref="BO95:BO107" si="115">IF(BJ95=0,0,bsd(2,BO$27,BK95,$W95,$T95,$U95,$AH95,0.1))</f>
        <v>0</v>
      </c>
      <c r="BP95" s="101">
        <f t="shared" ref="BP95:BP107" si="116">IF(BJ95=0,0,bsd(BO$28,BO$27,BK95,$W95,$T95,$U95,$AH95,0.1))</f>
        <v>0</v>
      </c>
      <c r="BQ95" s="103">
        <f t="shared" si="60"/>
        <v>0</v>
      </c>
      <c r="BR95" s="103">
        <f t="shared" si="61"/>
        <v>0</v>
      </c>
      <c r="BS95" s="103">
        <f t="shared" si="62"/>
        <v>0</v>
      </c>
      <c r="BU95" s="78">
        <f t="shared" ref="BU95:BU107" si="117">IF($A95&gt;=BV$25,IF($A95&lt;=BV$26,$AI95,0),0)</f>
        <v>0</v>
      </c>
      <c r="BV95" s="303" t="e">
        <f t="shared" si="63"/>
        <v>#DIV/0!</v>
      </c>
      <c r="BW95" s="75">
        <f t="shared" ref="BW95:BW126" si="118">BU95*($B95+H$13)</f>
        <v>0</v>
      </c>
      <c r="BX95" s="102">
        <f t="shared" ref="BX95:BX126" si="119">IF(ISNUMBER(((BW95/BU95)+H$14+$Y95)*BU95),((BW95/BU95)+H$14+$Y95)*BU95,0)</f>
        <v>0</v>
      </c>
      <c r="BY95" s="101">
        <f t="shared" ref="BY95:BY107" si="120">IF(BU95=0,0,bsd(1,BZ$27,BV95,$AD95,$AA95,$AB95,$AH95,0.1))</f>
        <v>0</v>
      </c>
      <c r="BZ95" s="101">
        <f t="shared" ref="BZ95:BZ107" si="121">IF(BU95=0,0,bsd(2,BZ$27,BV95,$AD95,$AA95,$AB95,$AH95,0.1))</f>
        <v>0</v>
      </c>
      <c r="CA95" s="101">
        <f t="shared" ref="CA95:CA107" si="122">IF(BU95=0,0,bsd(BZ$28,BZ$27,BV95,$AD95,$AA95,$AB95,$AH95,0.1))</f>
        <v>0</v>
      </c>
      <c r="CB95" s="103">
        <f t="shared" si="64"/>
        <v>0</v>
      </c>
      <c r="CC95" s="103">
        <f t="shared" si="65"/>
        <v>0</v>
      </c>
      <c r="CD95" s="103">
        <f t="shared" si="66"/>
        <v>0</v>
      </c>
    </row>
    <row r="96" spans="1:82" x14ac:dyDescent="0.25">
      <c r="A96" s="96">
        <f t="shared" ref="A96:A107" si="123">DATE(YEAR(A95),MONTH(A95)+1,1)</f>
        <v>39264</v>
      </c>
      <c r="B96" s="97">
        <f t="shared" ref="B96:B149" si="124">VLOOKUP(A96,STRADDLE,5,FALSE)</f>
        <v>3.4824999999999999</v>
      </c>
      <c r="C96" s="77">
        <f t="shared" ref="C96:C107" si="125">VLOOKUP(A96,STRADDLE,8,FALSE)</f>
        <v>0.24</v>
      </c>
      <c r="D96" s="97">
        <f t="shared" si="80"/>
        <v>0</v>
      </c>
      <c r="E96" s="100">
        <f t="shared" si="81"/>
        <v>1</v>
      </c>
      <c r="F96" s="99">
        <f t="shared" ref="F96:F149" ca="1" si="126">IF(D$28="NYMEX",$AG96,$AF96)</f>
        <v>2000</v>
      </c>
      <c r="G96" s="77" t="e">
        <f t="shared" si="82"/>
        <v>#DIV/0!</v>
      </c>
      <c r="H96" s="77" t="e">
        <f>IF(B$16=1,_xll.xCalcSkew(A96,I96-AO96,b)/100,0)</f>
        <v>#DIV/0!</v>
      </c>
      <c r="I96" s="98">
        <f t="shared" si="83"/>
        <v>4</v>
      </c>
      <c r="K96" s="97">
        <f t="shared" si="84"/>
        <v>2.75E-2</v>
      </c>
      <c r="L96" s="100">
        <f t="shared" si="85"/>
        <v>1</v>
      </c>
      <c r="M96" s="99">
        <f t="shared" ca="1" si="86"/>
        <v>2001</v>
      </c>
      <c r="N96" s="175" t="e">
        <f t="shared" si="87"/>
        <v>#DIV/0!</v>
      </c>
      <c r="O96" s="77" t="e">
        <f>IF(D$16=1,_xll.xCalcSkew($A96,P96-AZ96,b)/100,0)</f>
        <v>#DIV/0!</v>
      </c>
      <c r="P96" s="98">
        <f t="shared" si="88"/>
        <v>2.5</v>
      </c>
      <c r="R96" s="97">
        <f t="shared" si="89"/>
        <v>2.75E-2</v>
      </c>
      <c r="S96" s="100">
        <f t="shared" si="90"/>
        <v>1</v>
      </c>
      <c r="T96" s="99">
        <f t="shared" ca="1" si="91"/>
        <v>2001</v>
      </c>
      <c r="U96" s="175" t="e">
        <f t="shared" si="92"/>
        <v>#DIV/0!</v>
      </c>
      <c r="V96" s="77" t="e">
        <f>IF(F$16=1,_xll.xCalcSkew($A96,W96-BK96,b)/100,0)</f>
        <v>#DIV/0!</v>
      </c>
      <c r="W96" s="98">
        <f t="shared" si="93"/>
        <v>2.5</v>
      </c>
      <c r="X96" s="99"/>
      <c r="Y96" s="97">
        <f t="shared" si="94"/>
        <v>2.75E-2</v>
      </c>
      <c r="Z96" s="100">
        <f t="shared" si="95"/>
        <v>1</v>
      </c>
      <c r="AA96" s="99">
        <f t="shared" ca="1" si="96"/>
        <v>2001</v>
      </c>
      <c r="AB96" s="77" t="e">
        <f t="shared" si="97"/>
        <v>#DIV/0!</v>
      </c>
      <c r="AC96" s="77" t="e">
        <f>IF(H$16=1,_xll.xCalcSkew($A96,AD96-BV96,b)/100,0)</f>
        <v>#DIV/0!</v>
      </c>
      <c r="AD96" s="98">
        <f t="shared" si="98"/>
        <v>2.4900000000000002</v>
      </c>
      <c r="AF96" s="99">
        <f t="shared" ref="AF96:AF149" ca="1" si="127">VLOOKUP($A96,expiration,2,FALSE)-$B$2</f>
        <v>2001</v>
      </c>
      <c r="AG96" s="99">
        <f t="shared" ref="AG96:AG149" ca="1" si="128">VLOOKUP($A96,expiration,3,FALSE)-$B$2</f>
        <v>2000</v>
      </c>
      <c r="AH96" s="77">
        <f t="shared" ref="AH96:AH149" si="129">VLOOKUP($A96,STRADDLE,14,FALSE)</f>
        <v>5.2451663035879101E-2</v>
      </c>
      <c r="AI96" s="154">
        <f t="shared" si="99"/>
        <v>31</v>
      </c>
      <c r="AL96" s="99"/>
      <c r="AM96" s="78"/>
      <c r="AN96" s="78">
        <f t="shared" si="100"/>
        <v>0</v>
      </c>
      <c r="AO96" s="303" t="e">
        <f t="shared" ref="AO96:AO107" si="130">AQ96/AN96</f>
        <v>#DIV/0!</v>
      </c>
      <c r="AP96" s="75">
        <f t="shared" si="101"/>
        <v>0</v>
      </c>
      <c r="AQ96" s="102">
        <f t="shared" si="102"/>
        <v>0</v>
      </c>
      <c r="AR96" s="101">
        <f t="shared" si="103"/>
        <v>0</v>
      </c>
      <c r="AS96" s="101">
        <f t="shared" ref="AS96:AS107" si="131">IF(AN96=0,0,bsd(2,AS$27,AO96,$I96,$F96,$G96,$AH96,0.1))</f>
        <v>0</v>
      </c>
      <c r="AT96" s="101">
        <f t="shared" si="104"/>
        <v>0</v>
      </c>
      <c r="AU96" s="103">
        <f t="shared" ref="AU96:AU107" si="132">AN96*AR96</f>
        <v>0</v>
      </c>
      <c r="AV96" s="103">
        <f t="shared" ref="AV96:AV107" si="133">AN96*AS96</f>
        <v>0</v>
      </c>
      <c r="AW96" s="103">
        <f t="shared" ref="AW96:AW107" si="134">AN96*AT96</f>
        <v>0</v>
      </c>
      <c r="AY96" s="78">
        <f t="shared" si="105"/>
        <v>0</v>
      </c>
      <c r="AZ96" s="303" t="e">
        <f t="shared" ref="AZ96:AZ107" si="135">BB96/AY96</f>
        <v>#DIV/0!</v>
      </c>
      <c r="BA96" s="75">
        <f t="shared" si="106"/>
        <v>0</v>
      </c>
      <c r="BB96" s="102">
        <f t="shared" si="107"/>
        <v>0</v>
      </c>
      <c r="BC96" s="101">
        <f t="shared" si="108"/>
        <v>0</v>
      </c>
      <c r="BD96" s="101">
        <f t="shared" si="109"/>
        <v>0</v>
      </c>
      <c r="BE96" s="101">
        <f t="shared" si="110"/>
        <v>0</v>
      </c>
      <c r="BF96" s="103">
        <f t="shared" ref="BF96:BF107" si="136">AY96*BC96</f>
        <v>0</v>
      </c>
      <c r="BG96" s="103">
        <f t="shared" ref="BG96:BG107" si="137">AY96*BD96</f>
        <v>0</v>
      </c>
      <c r="BH96" s="103">
        <f t="shared" ref="BH96:BH107" si="138">AY96*BE96</f>
        <v>0</v>
      </c>
      <c r="BJ96" s="78">
        <f t="shared" si="111"/>
        <v>0</v>
      </c>
      <c r="BK96" s="303" t="e">
        <f t="shared" ref="BK96:BK107" si="139">BM96/BJ96</f>
        <v>#DIV/0!</v>
      </c>
      <c r="BL96" s="75">
        <f t="shared" si="112"/>
        <v>0</v>
      </c>
      <c r="BM96" s="102">
        <f t="shared" si="113"/>
        <v>0</v>
      </c>
      <c r="BN96" s="101">
        <f t="shared" si="114"/>
        <v>0</v>
      </c>
      <c r="BO96" s="101">
        <f t="shared" si="115"/>
        <v>0</v>
      </c>
      <c r="BP96" s="101">
        <f t="shared" si="116"/>
        <v>0</v>
      </c>
      <c r="BQ96" s="103">
        <f t="shared" ref="BQ96:BQ107" si="140">BJ96*BN96</f>
        <v>0</v>
      </c>
      <c r="BR96" s="103">
        <f t="shared" ref="BR96:BR107" si="141">BJ96*BO96</f>
        <v>0</v>
      </c>
      <c r="BS96" s="103">
        <f t="shared" ref="BS96:BS107" si="142">BJ96*BP96</f>
        <v>0</v>
      </c>
      <c r="BU96" s="78">
        <f t="shared" si="117"/>
        <v>0</v>
      </c>
      <c r="BV96" s="303" t="e">
        <f t="shared" ref="BV96:BV107" si="143">BX96/BU96</f>
        <v>#DIV/0!</v>
      </c>
      <c r="BW96" s="75">
        <f t="shared" si="118"/>
        <v>0</v>
      </c>
      <c r="BX96" s="102">
        <f t="shared" si="119"/>
        <v>0</v>
      </c>
      <c r="BY96" s="101">
        <f t="shared" si="120"/>
        <v>0</v>
      </c>
      <c r="BZ96" s="101">
        <f t="shared" si="121"/>
        <v>0</v>
      </c>
      <c r="CA96" s="101">
        <f t="shared" si="122"/>
        <v>0</v>
      </c>
      <c r="CB96" s="103">
        <f t="shared" ref="CB96:CB107" si="144">BU96*BY96</f>
        <v>0</v>
      </c>
      <c r="CC96" s="103">
        <f t="shared" ref="CC96:CC107" si="145">BU96*BZ96</f>
        <v>0</v>
      </c>
      <c r="CD96" s="103">
        <f t="shared" ref="CD96:CD107" si="146">BU96*CA96</f>
        <v>0</v>
      </c>
    </row>
    <row r="97" spans="1:82" x14ac:dyDescent="0.25">
      <c r="A97" s="96">
        <f t="shared" si="123"/>
        <v>39295</v>
      </c>
      <c r="B97" s="97">
        <f t="shared" si="124"/>
        <v>3.5225</v>
      </c>
      <c r="C97" s="77">
        <f t="shared" si="125"/>
        <v>0.24</v>
      </c>
      <c r="D97" s="97">
        <f t="shared" si="80"/>
        <v>0</v>
      </c>
      <c r="E97" s="100">
        <f t="shared" si="81"/>
        <v>1</v>
      </c>
      <c r="F97" s="99">
        <f t="shared" ca="1" si="126"/>
        <v>2030</v>
      </c>
      <c r="G97" s="77" t="e">
        <f t="shared" si="82"/>
        <v>#DIV/0!</v>
      </c>
      <c r="H97" s="77" t="e">
        <f>IF(B$16=1,_xll.xCalcSkew(A97,I97-AO97,b)/100,0)</f>
        <v>#DIV/0!</v>
      </c>
      <c r="I97" s="98">
        <f t="shared" si="83"/>
        <v>4</v>
      </c>
      <c r="K97" s="97">
        <f t="shared" si="84"/>
        <v>0.03</v>
      </c>
      <c r="L97" s="100">
        <f t="shared" si="85"/>
        <v>1</v>
      </c>
      <c r="M97" s="99">
        <f t="shared" ca="1" si="86"/>
        <v>2031</v>
      </c>
      <c r="N97" s="175" t="e">
        <f t="shared" si="87"/>
        <v>#DIV/0!</v>
      </c>
      <c r="O97" s="77" t="e">
        <f>IF(D$16=1,_xll.xCalcSkew($A97,P97-AZ97,b)/100,0)</f>
        <v>#DIV/0!</v>
      </c>
      <c r="P97" s="98">
        <f t="shared" si="88"/>
        <v>2.5</v>
      </c>
      <c r="R97" s="97">
        <f t="shared" si="89"/>
        <v>0.03</v>
      </c>
      <c r="S97" s="100">
        <f t="shared" si="90"/>
        <v>1</v>
      </c>
      <c r="T97" s="99">
        <f t="shared" ca="1" si="91"/>
        <v>2031</v>
      </c>
      <c r="U97" s="175" t="e">
        <f t="shared" si="92"/>
        <v>#DIV/0!</v>
      </c>
      <c r="V97" s="77" t="e">
        <f>IF(F$16=1,_xll.xCalcSkew($A97,W97-BK97,b)/100,0)</f>
        <v>#DIV/0!</v>
      </c>
      <c r="W97" s="98">
        <f t="shared" si="93"/>
        <v>2.5</v>
      </c>
      <c r="X97" s="99"/>
      <c r="Y97" s="97">
        <f t="shared" si="94"/>
        <v>0.03</v>
      </c>
      <c r="Z97" s="100">
        <f t="shared" si="95"/>
        <v>1</v>
      </c>
      <c r="AA97" s="99">
        <f t="shared" ca="1" si="96"/>
        <v>2031</v>
      </c>
      <c r="AB97" s="77" t="e">
        <f t="shared" si="97"/>
        <v>#DIV/0!</v>
      </c>
      <c r="AC97" s="77" t="e">
        <f>IF(H$16=1,_xll.xCalcSkew($A97,AD97-BV97,b)/100,0)</f>
        <v>#DIV/0!</v>
      </c>
      <c r="AD97" s="98">
        <f t="shared" si="98"/>
        <v>2.4900000000000002</v>
      </c>
      <c r="AF97" s="99">
        <f t="shared" ca="1" si="127"/>
        <v>2031</v>
      </c>
      <c r="AG97" s="99">
        <f t="shared" ca="1" si="128"/>
        <v>2030</v>
      </c>
      <c r="AH97" s="77">
        <f t="shared" si="129"/>
        <v>5.2633176705868798E-2</v>
      </c>
      <c r="AI97" s="154">
        <f t="shared" si="99"/>
        <v>31</v>
      </c>
      <c r="AL97" s="99"/>
      <c r="AM97" s="78"/>
      <c r="AN97" s="78">
        <f t="shared" si="100"/>
        <v>0</v>
      </c>
      <c r="AO97" s="303" t="e">
        <f t="shared" si="130"/>
        <v>#DIV/0!</v>
      </c>
      <c r="AP97" s="75">
        <f t="shared" si="101"/>
        <v>0</v>
      </c>
      <c r="AQ97" s="102">
        <f t="shared" si="102"/>
        <v>0</v>
      </c>
      <c r="AR97" s="101">
        <f t="shared" si="103"/>
        <v>0</v>
      </c>
      <c r="AS97" s="101">
        <f t="shared" si="131"/>
        <v>0</v>
      </c>
      <c r="AT97" s="101">
        <f t="shared" si="104"/>
        <v>0</v>
      </c>
      <c r="AU97" s="103">
        <f t="shared" si="132"/>
        <v>0</v>
      </c>
      <c r="AV97" s="103">
        <f t="shared" si="133"/>
        <v>0</v>
      </c>
      <c r="AW97" s="103">
        <f t="shared" si="134"/>
        <v>0</v>
      </c>
      <c r="AY97" s="78">
        <f t="shared" si="105"/>
        <v>0</v>
      </c>
      <c r="AZ97" s="303" t="e">
        <f t="shared" si="135"/>
        <v>#DIV/0!</v>
      </c>
      <c r="BA97" s="75">
        <f t="shared" si="106"/>
        <v>0</v>
      </c>
      <c r="BB97" s="102">
        <f t="shared" si="107"/>
        <v>0</v>
      </c>
      <c r="BC97" s="101">
        <f t="shared" si="108"/>
        <v>0</v>
      </c>
      <c r="BD97" s="101">
        <f t="shared" si="109"/>
        <v>0</v>
      </c>
      <c r="BE97" s="101">
        <f t="shared" si="110"/>
        <v>0</v>
      </c>
      <c r="BF97" s="103">
        <f t="shared" si="136"/>
        <v>0</v>
      </c>
      <c r="BG97" s="103">
        <f t="shared" si="137"/>
        <v>0</v>
      </c>
      <c r="BH97" s="103">
        <f t="shared" si="138"/>
        <v>0</v>
      </c>
      <c r="BJ97" s="78">
        <f t="shared" si="111"/>
        <v>0</v>
      </c>
      <c r="BK97" s="303" t="e">
        <f t="shared" si="139"/>
        <v>#DIV/0!</v>
      </c>
      <c r="BL97" s="75">
        <f t="shared" si="112"/>
        <v>0</v>
      </c>
      <c r="BM97" s="102">
        <f t="shared" si="113"/>
        <v>0</v>
      </c>
      <c r="BN97" s="101">
        <f t="shared" si="114"/>
        <v>0</v>
      </c>
      <c r="BO97" s="101">
        <f t="shared" si="115"/>
        <v>0</v>
      </c>
      <c r="BP97" s="101">
        <f t="shared" si="116"/>
        <v>0</v>
      </c>
      <c r="BQ97" s="103">
        <f t="shared" si="140"/>
        <v>0</v>
      </c>
      <c r="BR97" s="103">
        <f t="shared" si="141"/>
        <v>0</v>
      </c>
      <c r="BS97" s="103">
        <f t="shared" si="142"/>
        <v>0</v>
      </c>
      <c r="BU97" s="78">
        <f t="shared" si="117"/>
        <v>0</v>
      </c>
      <c r="BV97" s="303" t="e">
        <f t="shared" si="143"/>
        <v>#DIV/0!</v>
      </c>
      <c r="BW97" s="75">
        <f t="shared" si="118"/>
        <v>0</v>
      </c>
      <c r="BX97" s="102">
        <f t="shared" si="119"/>
        <v>0</v>
      </c>
      <c r="BY97" s="101">
        <f t="shared" si="120"/>
        <v>0</v>
      </c>
      <c r="BZ97" s="101">
        <f t="shared" si="121"/>
        <v>0</v>
      </c>
      <c r="CA97" s="101">
        <f t="shared" si="122"/>
        <v>0</v>
      </c>
      <c r="CB97" s="103">
        <f t="shared" si="144"/>
        <v>0</v>
      </c>
      <c r="CC97" s="103">
        <f t="shared" si="145"/>
        <v>0</v>
      </c>
      <c r="CD97" s="103">
        <f t="shared" si="146"/>
        <v>0</v>
      </c>
    </row>
    <row r="98" spans="1:82" x14ac:dyDescent="0.25">
      <c r="A98" s="96">
        <f t="shared" si="123"/>
        <v>39326</v>
      </c>
      <c r="B98" s="97">
        <f t="shared" si="124"/>
        <v>3.5175000000000001</v>
      </c>
      <c r="C98" s="77">
        <f t="shared" si="125"/>
        <v>0.24</v>
      </c>
      <c r="D98" s="97">
        <f t="shared" si="80"/>
        <v>0</v>
      </c>
      <c r="E98" s="100">
        <f t="shared" si="81"/>
        <v>1</v>
      </c>
      <c r="F98" s="99">
        <f t="shared" ca="1" si="126"/>
        <v>2063</v>
      </c>
      <c r="G98" s="77" t="e">
        <f t="shared" si="82"/>
        <v>#DIV/0!</v>
      </c>
      <c r="H98" s="77" t="e">
        <f>IF(B$16=1,_xll.xCalcSkew(A98,I98-AO98,b)/100,0)</f>
        <v>#DIV/0!</v>
      </c>
      <c r="I98" s="98">
        <f t="shared" si="83"/>
        <v>4</v>
      </c>
      <c r="K98" s="97">
        <f t="shared" si="84"/>
        <v>2.2499999999999999E-2</v>
      </c>
      <c r="L98" s="100">
        <f t="shared" si="85"/>
        <v>1</v>
      </c>
      <c r="M98" s="99">
        <f t="shared" ca="1" si="86"/>
        <v>2064</v>
      </c>
      <c r="N98" s="175" t="e">
        <f t="shared" si="87"/>
        <v>#DIV/0!</v>
      </c>
      <c r="O98" s="77" t="e">
        <f>IF(D$16=1,_xll.xCalcSkew($A98,P98-AZ98,b)/100,0)</f>
        <v>#DIV/0!</v>
      </c>
      <c r="P98" s="98">
        <f t="shared" si="88"/>
        <v>2.5</v>
      </c>
      <c r="R98" s="97">
        <f t="shared" si="89"/>
        <v>2.2499999999999999E-2</v>
      </c>
      <c r="S98" s="100">
        <f t="shared" si="90"/>
        <v>1</v>
      </c>
      <c r="T98" s="99">
        <f t="shared" ca="1" si="91"/>
        <v>2064</v>
      </c>
      <c r="U98" s="175" t="e">
        <f t="shared" si="92"/>
        <v>#DIV/0!</v>
      </c>
      <c r="V98" s="77" t="e">
        <f>IF(F$16=1,_xll.xCalcSkew($A98,W98-BK98,b)/100,0)</f>
        <v>#DIV/0!</v>
      </c>
      <c r="W98" s="98">
        <f t="shared" si="93"/>
        <v>2.5</v>
      </c>
      <c r="X98" s="99"/>
      <c r="Y98" s="97">
        <f t="shared" si="94"/>
        <v>2.2499999999999999E-2</v>
      </c>
      <c r="Z98" s="100">
        <f t="shared" si="95"/>
        <v>1</v>
      </c>
      <c r="AA98" s="99">
        <f t="shared" ca="1" si="96"/>
        <v>2064</v>
      </c>
      <c r="AB98" s="77" t="e">
        <f t="shared" si="97"/>
        <v>#DIV/0!</v>
      </c>
      <c r="AC98" s="77" t="e">
        <f>IF(H$16=1,_xll.xCalcSkew($A98,AD98-BV98,b)/100,0)</f>
        <v>#DIV/0!</v>
      </c>
      <c r="AD98" s="98">
        <f t="shared" si="98"/>
        <v>2.4900000000000002</v>
      </c>
      <c r="AF98" s="99">
        <f t="shared" ca="1" si="127"/>
        <v>2064</v>
      </c>
      <c r="AG98" s="99">
        <f t="shared" ca="1" si="128"/>
        <v>2063</v>
      </c>
      <c r="AH98" s="77">
        <f t="shared" si="129"/>
        <v>5.28146903868447E-2</v>
      </c>
      <c r="AI98" s="154">
        <f t="shared" si="99"/>
        <v>30</v>
      </c>
      <c r="AL98" s="99"/>
      <c r="AM98" s="78"/>
      <c r="AN98" s="78">
        <f t="shared" si="100"/>
        <v>0</v>
      </c>
      <c r="AO98" s="303" t="e">
        <f t="shared" si="130"/>
        <v>#DIV/0!</v>
      </c>
      <c r="AP98" s="75">
        <f t="shared" si="101"/>
        <v>0</v>
      </c>
      <c r="AQ98" s="102">
        <f t="shared" si="102"/>
        <v>0</v>
      </c>
      <c r="AR98" s="101">
        <f t="shared" si="103"/>
        <v>0</v>
      </c>
      <c r="AS98" s="101">
        <f t="shared" si="131"/>
        <v>0</v>
      </c>
      <c r="AT98" s="101">
        <f t="shared" si="104"/>
        <v>0</v>
      </c>
      <c r="AU98" s="103">
        <f t="shared" si="132"/>
        <v>0</v>
      </c>
      <c r="AV98" s="103">
        <f t="shared" si="133"/>
        <v>0</v>
      </c>
      <c r="AW98" s="103">
        <f t="shared" si="134"/>
        <v>0</v>
      </c>
      <c r="AY98" s="78">
        <f t="shared" si="105"/>
        <v>0</v>
      </c>
      <c r="AZ98" s="303" t="e">
        <f t="shared" si="135"/>
        <v>#DIV/0!</v>
      </c>
      <c r="BA98" s="75">
        <f t="shared" si="106"/>
        <v>0</v>
      </c>
      <c r="BB98" s="102">
        <f t="shared" si="107"/>
        <v>0</v>
      </c>
      <c r="BC98" s="101">
        <f t="shared" si="108"/>
        <v>0</v>
      </c>
      <c r="BD98" s="101">
        <f t="shared" si="109"/>
        <v>0</v>
      </c>
      <c r="BE98" s="101">
        <f t="shared" si="110"/>
        <v>0</v>
      </c>
      <c r="BF98" s="103">
        <f t="shared" si="136"/>
        <v>0</v>
      </c>
      <c r="BG98" s="103">
        <f t="shared" si="137"/>
        <v>0</v>
      </c>
      <c r="BH98" s="103">
        <f t="shared" si="138"/>
        <v>0</v>
      </c>
      <c r="BJ98" s="78">
        <f t="shared" si="111"/>
        <v>0</v>
      </c>
      <c r="BK98" s="303" t="e">
        <f t="shared" si="139"/>
        <v>#DIV/0!</v>
      </c>
      <c r="BL98" s="75">
        <f t="shared" si="112"/>
        <v>0</v>
      </c>
      <c r="BM98" s="102">
        <f t="shared" si="113"/>
        <v>0</v>
      </c>
      <c r="BN98" s="101">
        <f t="shared" si="114"/>
        <v>0</v>
      </c>
      <c r="BO98" s="101">
        <f t="shared" si="115"/>
        <v>0</v>
      </c>
      <c r="BP98" s="101">
        <f t="shared" si="116"/>
        <v>0</v>
      </c>
      <c r="BQ98" s="103">
        <f t="shared" si="140"/>
        <v>0</v>
      </c>
      <c r="BR98" s="103">
        <f t="shared" si="141"/>
        <v>0</v>
      </c>
      <c r="BS98" s="103">
        <f t="shared" si="142"/>
        <v>0</v>
      </c>
      <c r="BU98" s="78">
        <f t="shared" si="117"/>
        <v>0</v>
      </c>
      <c r="BV98" s="303" t="e">
        <f t="shared" si="143"/>
        <v>#DIV/0!</v>
      </c>
      <c r="BW98" s="75">
        <f t="shared" si="118"/>
        <v>0</v>
      </c>
      <c r="BX98" s="102">
        <f t="shared" si="119"/>
        <v>0</v>
      </c>
      <c r="BY98" s="101">
        <f t="shared" si="120"/>
        <v>0</v>
      </c>
      <c r="BZ98" s="101">
        <f t="shared" si="121"/>
        <v>0</v>
      </c>
      <c r="CA98" s="101">
        <f t="shared" si="122"/>
        <v>0</v>
      </c>
      <c r="CB98" s="103">
        <f t="shared" si="144"/>
        <v>0</v>
      </c>
      <c r="CC98" s="103">
        <f t="shared" si="145"/>
        <v>0</v>
      </c>
      <c r="CD98" s="103">
        <f t="shared" si="146"/>
        <v>0</v>
      </c>
    </row>
    <row r="99" spans="1:82" x14ac:dyDescent="0.25">
      <c r="A99" s="96">
        <f t="shared" si="123"/>
        <v>39356</v>
      </c>
      <c r="B99" s="97">
        <f t="shared" si="124"/>
        <v>3.5425</v>
      </c>
      <c r="C99" s="77">
        <f t="shared" si="125"/>
        <v>0.24</v>
      </c>
      <c r="D99" s="97">
        <f t="shared" si="80"/>
        <v>0</v>
      </c>
      <c r="E99" s="100">
        <f t="shared" si="81"/>
        <v>1</v>
      </c>
      <c r="F99" s="99">
        <f t="shared" ca="1" si="126"/>
        <v>2091</v>
      </c>
      <c r="G99" s="77" t="e">
        <f t="shared" si="82"/>
        <v>#DIV/0!</v>
      </c>
      <c r="H99" s="77" t="e">
        <f>IF(B$16=1,_xll.xCalcSkew(A99,I99-AO99,b)/100,0)</f>
        <v>#DIV/0!</v>
      </c>
      <c r="I99" s="98">
        <f t="shared" si="83"/>
        <v>4</v>
      </c>
      <c r="K99" s="97">
        <f t="shared" si="84"/>
        <v>1.2500000000000001E-2</v>
      </c>
      <c r="L99" s="100">
        <f t="shared" si="85"/>
        <v>1</v>
      </c>
      <c r="M99" s="99">
        <f t="shared" ca="1" si="86"/>
        <v>2092</v>
      </c>
      <c r="N99" s="175" t="e">
        <f t="shared" si="87"/>
        <v>#DIV/0!</v>
      </c>
      <c r="O99" s="77" t="e">
        <f>IF(D$16=1,_xll.xCalcSkew($A99,P99-AZ99,b)/100,0)</f>
        <v>#DIV/0!</v>
      </c>
      <c r="P99" s="98">
        <f t="shared" si="88"/>
        <v>2.5</v>
      </c>
      <c r="R99" s="97">
        <f t="shared" si="89"/>
        <v>1.2500000000000001E-2</v>
      </c>
      <c r="S99" s="100">
        <f t="shared" si="90"/>
        <v>1</v>
      </c>
      <c r="T99" s="99">
        <f t="shared" ca="1" si="91"/>
        <v>2092</v>
      </c>
      <c r="U99" s="175" t="e">
        <f t="shared" si="92"/>
        <v>#DIV/0!</v>
      </c>
      <c r="V99" s="77" t="e">
        <f>IF(F$16=1,_xll.xCalcSkew($A99,W99-BK99,b)/100,0)</f>
        <v>#DIV/0!</v>
      </c>
      <c r="W99" s="98">
        <f t="shared" si="93"/>
        <v>2.5</v>
      </c>
      <c r="X99" s="99"/>
      <c r="Y99" s="97">
        <f t="shared" si="94"/>
        <v>1.2500000000000001E-2</v>
      </c>
      <c r="Z99" s="100">
        <f t="shared" si="95"/>
        <v>1</v>
      </c>
      <c r="AA99" s="99">
        <f t="shared" ca="1" si="96"/>
        <v>2092</v>
      </c>
      <c r="AB99" s="77" t="e">
        <f t="shared" si="97"/>
        <v>#DIV/0!</v>
      </c>
      <c r="AC99" s="77" t="e">
        <f>IF(H$16=1,_xll.xCalcSkew($A99,AD99-BV99,b)/100,0)</f>
        <v>#DIV/0!</v>
      </c>
      <c r="AD99" s="98">
        <f t="shared" si="98"/>
        <v>2.4900000000000002</v>
      </c>
      <c r="AF99" s="99">
        <f t="shared" ca="1" si="127"/>
        <v>2092</v>
      </c>
      <c r="AG99" s="99">
        <f t="shared" ca="1" si="128"/>
        <v>2091</v>
      </c>
      <c r="AH99" s="77">
        <f t="shared" si="129"/>
        <v>5.29903487982488E-2</v>
      </c>
      <c r="AI99" s="154">
        <f t="shared" si="99"/>
        <v>31</v>
      </c>
      <c r="AL99" s="99"/>
      <c r="AM99" s="78"/>
      <c r="AN99" s="78">
        <f t="shared" si="100"/>
        <v>0</v>
      </c>
      <c r="AO99" s="303" t="e">
        <f t="shared" si="130"/>
        <v>#DIV/0!</v>
      </c>
      <c r="AP99" s="75">
        <f t="shared" si="101"/>
        <v>0</v>
      </c>
      <c r="AQ99" s="102">
        <f t="shared" si="102"/>
        <v>0</v>
      </c>
      <c r="AR99" s="101">
        <f t="shared" si="103"/>
        <v>0</v>
      </c>
      <c r="AS99" s="101">
        <f t="shared" si="131"/>
        <v>0</v>
      </c>
      <c r="AT99" s="101">
        <f t="shared" si="104"/>
        <v>0</v>
      </c>
      <c r="AU99" s="103">
        <f t="shared" si="132"/>
        <v>0</v>
      </c>
      <c r="AV99" s="103">
        <f t="shared" si="133"/>
        <v>0</v>
      </c>
      <c r="AW99" s="103">
        <f t="shared" si="134"/>
        <v>0</v>
      </c>
      <c r="AY99" s="78">
        <f t="shared" si="105"/>
        <v>0</v>
      </c>
      <c r="AZ99" s="303" t="e">
        <f t="shared" si="135"/>
        <v>#DIV/0!</v>
      </c>
      <c r="BA99" s="75">
        <f t="shared" si="106"/>
        <v>0</v>
      </c>
      <c r="BB99" s="102">
        <f t="shared" si="107"/>
        <v>0</v>
      </c>
      <c r="BC99" s="101">
        <f t="shared" si="108"/>
        <v>0</v>
      </c>
      <c r="BD99" s="101">
        <f t="shared" si="109"/>
        <v>0</v>
      </c>
      <c r="BE99" s="101">
        <f t="shared" si="110"/>
        <v>0</v>
      </c>
      <c r="BF99" s="103">
        <f t="shared" si="136"/>
        <v>0</v>
      </c>
      <c r="BG99" s="103">
        <f t="shared" si="137"/>
        <v>0</v>
      </c>
      <c r="BH99" s="103">
        <f t="shared" si="138"/>
        <v>0</v>
      </c>
      <c r="BJ99" s="78">
        <f t="shared" si="111"/>
        <v>0</v>
      </c>
      <c r="BK99" s="303" t="e">
        <f t="shared" si="139"/>
        <v>#DIV/0!</v>
      </c>
      <c r="BL99" s="75">
        <f t="shared" si="112"/>
        <v>0</v>
      </c>
      <c r="BM99" s="102">
        <f t="shared" si="113"/>
        <v>0</v>
      </c>
      <c r="BN99" s="101">
        <f t="shared" si="114"/>
        <v>0</v>
      </c>
      <c r="BO99" s="101">
        <f t="shared" si="115"/>
        <v>0</v>
      </c>
      <c r="BP99" s="101">
        <f t="shared" si="116"/>
        <v>0</v>
      </c>
      <c r="BQ99" s="103">
        <f t="shared" si="140"/>
        <v>0</v>
      </c>
      <c r="BR99" s="103">
        <f t="shared" si="141"/>
        <v>0</v>
      </c>
      <c r="BS99" s="103">
        <f t="shared" si="142"/>
        <v>0</v>
      </c>
      <c r="BU99" s="78">
        <f t="shared" si="117"/>
        <v>0</v>
      </c>
      <c r="BV99" s="303" t="e">
        <f t="shared" si="143"/>
        <v>#DIV/0!</v>
      </c>
      <c r="BW99" s="75">
        <f t="shared" si="118"/>
        <v>0</v>
      </c>
      <c r="BX99" s="102">
        <f t="shared" si="119"/>
        <v>0</v>
      </c>
      <c r="BY99" s="101">
        <f t="shared" si="120"/>
        <v>0</v>
      </c>
      <c r="BZ99" s="101">
        <f t="shared" si="121"/>
        <v>0</v>
      </c>
      <c r="CA99" s="101">
        <f t="shared" si="122"/>
        <v>0</v>
      </c>
      <c r="CB99" s="103">
        <f t="shared" si="144"/>
        <v>0</v>
      </c>
      <c r="CC99" s="103">
        <f t="shared" si="145"/>
        <v>0</v>
      </c>
      <c r="CD99" s="103">
        <f t="shared" si="146"/>
        <v>0</v>
      </c>
    </row>
    <row r="100" spans="1:82" x14ac:dyDescent="0.25">
      <c r="A100" s="96">
        <f t="shared" si="123"/>
        <v>39387</v>
      </c>
      <c r="B100" s="97">
        <f t="shared" si="124"/>
        <v>3.6945000000000001</v>
      </c>
      <c r="C100" s="77">
        <f t="shared" si="125"/>
        <v>0.24</v>
      </c>
      <c r="D100" s="97">
        <f t="shared" si="80"/>
        <v>0</v>
      </c>
      <c r="E100" s="100">
        <f t="shared" si="81"/>
        <v>1</v>
      </c>
      <c r="F100" s="99">
        <f t="shared" ca="1" si="126"/>
        <v>2122</v>
      </c>
      <c r="G100" s="77" t="e">
        <f t="shared" si="82"/>
        <v>#DIV/0!</v>
      </c>
      <c r="H100" s="77" t="e">
        <f>IF(B$16=1,_xll.xCalcSkew(A100,I100-AO100,b)/100,0)</f>
        <v>#DIV/0!</v>
      </c>
      <c r="I100" s="98">
        <f t="shared" si="83"/>
        <v>4</v>
      </c>
      <c r="K100" s="97">
        <f t="shared" si="84"/>
        <v>-2.2499999999999999E-2</v>
      </c>
      <c r="L100" s="100">
        <f t="shared" si="85"/>
        <v>1</v>
      </c>
      <c r="M100" s="99">
        <f t="shared" ca="1" si="86"/>
        <v>2125</v>
      </c>
      <c r="N100" s="175" t="e">
        <f t="shared" si="87"/>
        <v>#DIV/0!</v>
      </c>
      <c r="O100" s="77" t="e">
        <f>IF(D$16=1,_xll.xCalcSkew($A100,P100-AZ100,b)/100,0)</f>
        <v>#DIV/0!</v>
      </c>
      <c r="P100" s="98">
        <f t="shared" si="88"/>
        <v>2.5</v>
      </c>
      <c r="R100" s="97">
        <f t="shared" si="89"/>
        <v>-2.2499999999999999E-2</v>
      </c>
      <c r="S100" s="100">
        <f t="shared" si="90"/>
        <v>1</v>
      </c>
      <c r="T100" s="99">
        <f t="shared" ca="1" si="91"/>
        <v>2125</v>
      </c>
      <c r="U100" s="175" t="e">
        <f t="shared" si="92"/>
        <v>#DIV/0!</v>
      </c>
      <c r="V100" s="77" t="e">
        <f>IF(F$16=1,_xll.xCalcSkew($A100,W100-BK100,b)/100,0)</f>
        <v>#DIV/0!</v>
      </c>
      <c r="W100" s="98">
        <f t="shared" si="93"/>
        <v>2.5</v>
      </c>
      <c r="X100" s="99"/>
      <c r="Y100" s="97">
        <f t="shared" si="94"/>
        <v>-2.2499999999999999E-2</v>
      </c>
      <c r="Z100" s="100">
        <f t="shared" si="95"/>
        <v>1</v>
      </c>
      <c r="AA100" s="99">
        <f t="shared" ca="1" si="96"/>
        <v>2125</v>
      </c>
      <c r="AB100" s="77" t="e">
        <f t="shared" si="97"/>
        <v>#DIV/0!</v>
      </c>
      <c r="AC100" s="77" t="e">
        <f>IF(H$16=1,_xll.xCalcSkew($A100,AD100-BV100,b)/100,0)</f>
        <v>#DIV/0!</v>
      </c>
      <c r="AD100" s="98">
        <f t="shared" si="98"/>
        <v>2.4900000000000002</v>
      </c>
      <c r="AF100" s="99">
        <f t="shared" ca="1" si="127"/>
        <v>2125</v>
      </c>
      <c r="AG100" s="99">
        <f t="shared" ca="1" si="128"/>
        <v>2122</v>
      </c>
      <c r="AH100" s="77">
        <f t="shared" si="129"/>
        <v>5.31718625008408E-2</v>
      </c>
      <c r="AI100" s="154">
        <f t="shared" si="99"/>
        <v>30</v>
      </c>
      <c r="AL100" s="99"/>
      <c r="AM100" s="78"/>
      <c r="AN100" s="78">
        <f t="shared" si="100"/>
        <v>0</v>
      </c>
      <c r="AO100" s="303" t="e">
        <f t="shared" si="130"/>
        <v>#DIV/0!</v>
      </c>
      <c r="AP100" s="75">
        <f t="shared" si="101"/>
        <v>0</v>
      </c>
      <c r="AQ100" s="102">
        <f t="shared" si="102"/>
        <v>0</v>
      </c>
      <c r="AR100" s="101">
        <f t="shared" si="103"/>
        <v>0</v>
      </c>
      <c r="AS100" s="101">
        <f t="shared" si="131"/>
        <v>0</v>
      </c>
      <c r="AT100" s="101">
        <f t="shared" si="104"/>
        <v>0</v>
      </c>
      <c r="AU100" s="103">
        <f t="shared" si="132"/>
        <v>0</v>
      </c>
      <c r="AV100" s="103">
        <f t="shared" si="133"/>
        <v>0</v>
      </c>
      <c r="AW100" s="103">
        <f t="shared" si="134"/>
        <v>0</v>
      </c>
      <c r="AY100" s="78">
        <f t="shared" si="105"/>
        <v>0</v>
      </c>
      <c r="AZ100" s="303" t="e">
        <f t="shared" si="135"/>
        <v>#DIV/0!</v>
      </c>
      <c r="BA100" s="75">
        <f t="shared" si="106"/>
        <v>0</v>
      </c>
      <c r="BB100" s="102">
        <f t="shared" si="107"/>
        <v>0</v>
      </c>
      <c r="BC100" s="101">
        <f t="shared" si="108"/>
        <v>0</v>
      </c>
      <c r="BD100" s="101">
        <f t="shared" si="109"/>
        <v>0</v>
      </c>
      <c r="BE100" s="101">
        <f t="shared" si="110"/>
        <v>0</v>
      </c>
      <c r="BF100" s="103">
        <f t="shared" si="136"/>
        <v>0</v>
      </c>
      <c r="BG100" s="103">
        <f t="shared" si="137"/>
        <v>0</v>
      </c>
      <c r="BH100" s="103">
        <f t="shared" si="138"/>
        <v>0</v>
      </c>
      <c r="BJ100" s="78">
        <f t="shared" si="111"/>
        <v>0</v>
      </c>
      <c r="BK100" s="303" t="e">
        <f t="shared" si="139"/>
        <v>#DIV/0!</v>
      </c>
      <c r="BL100" s="75">
        <f t="shared" si="112"/>
        <v>0</v>
      </c>
      <c r="BM100" s="102">
        <f t="shared" si="113"/>
        <v>0</v>
      </c>
      <c r="BN100" s="101">
        <f t="shared" si="114"/>
        <v>0</v>
      </c>
      <c r="BO100" s="101">
        <f t="shared" si="115"/>
        <v>0</v>
      </c>
      <c r="BP100" s="101">
        <f t="shared" si="116"/>
        <v>0</v>
      </c>
      <c r="BQ100" s="103">
        <f t="shared" si="140"/>
        <v>0</v>
      </c>
      <c r="BR100" s="103">
        <f t="shared" si="141"/>
        <v>0</v>
      </c>
      <c r="BS100" s="103">
        <f t="shared" si="142"/>
        <v>0</v>
      </c>
      <c r="BU100" s="78">
        <f t="shared" si="117"/>
        <v>0</v>
      </c>
      <c r="BV100" s="303" t="e">
        <f t="shared" si="143"/>
        <v>#DIV/0!</v>
      </c>
      <c r="BW100" s="75">
        <f t="shared" si="118"/>
        <v>0</v>
      </c>
      <c r="BX100" s="102">
        <f t="shared" si="119"/>
        <v>0</v>
      </c>
      <c r="BY100" s="101">
        <f t="shared" si="120"/>
        <v>0</v>
      </c>
      <c r="BZ100" s="101">
        <f t="shared" si="121"/>
        <v>0</v>
      </c>
      <c r="CA100" s="101">
        <f t="shared" si="122"/>
        <v>0</v>
      </c>
      <c r="CB100" s="103">
        <f t="shared" si="144"/>
        <v>0</v>
      </c>
      <c r="CC100" s="103">
        <f t="shared" si="145"/>
        <v>0</v>
      </c>
      <c r="CD100" s="103">
        <f t="shared" si="146"/>
        <v>0</v>
      </c>
    </row>
    <row r="101" spans="1:82" x14ac:dyDescent="0.25">
      <c r="A101" s="96">
        <f t="shared" si="123"/>
        <v>39417</v>
      </c>
      <c r="B101" s="97">
        <f t="shared" si="124"/>
        <v>3.8374999999999999</v>
      </c>
      <c r="C101" s="77">
        <f t="shared" si="125"/>
        <v>0.24</v>
      </c>
      <c r="D101" s="97">
        <f t="shared" si="80"/>
        <v>0</v>
      </c>
      <c r="E101" s="100">
        <f t="shared" si="81"/>
        <v>1</v>
      </c>
      <c r="F101" s="99">
        <f t="shared" ca="1" si="126"/>
        <v>2154</v>
      </c>
      <c r="G101" s="77" t="e">
        <f t="shared" si="82"/>
        <v>#DIV/0!</v>
      </c>
      <c r="H101" s="77" t="e">
        <f>IF(B$16=1,_xll.xCalcSkew(A101,I101-AO101,b)/100,0)</f>
        <v>#DIV/0!</v>
      </c>
      <c r="I101" s="98">
        <f t="shared" si="83"/>
        <v>4</v>
      </c>
      <c r="K101" s="97">
        <f t="shared" si="84"/>
        <v>-4.4999999999999998E-2</v>
      </c>
      <c r="L101" s="100">
        <f t="shared" si="85"/>
        <v>1</v>
      </c>
      <c r="M101" s="99">
        <f t="shared" ca="1" si="86"/>
        <v>2155</v>
      </c>
      <c r="N101" s="175" t="e">
        <f t="shared" si="87"/>
        <v>#DIV/0!</v>
      </c>
      <c r="O101" s="77" t="e">
        <f>IF(D$16=1,_xll.xCalcSkew($A101,P101-AZ101,b)/100,0)</f>
        <v>#DIV/0!</v>
      </c>
      <c r="P101" s="98">
        <f t="shared" si="88"/>
        <v>2.5</v>
      </c>
      <c r="R101" s="97">
        <f t="shared" si="89"/>
        <v>-4.4999999999999998E-2</v>
      </c>
      <c r="S101" s="100">
        <f t="shared" si="90"/>
        <v>1</v>
      </c>
      <c r="T101" s="99">
        <f t="shared" ca="1" si="91"/>
        <v>2155</v>
      </c>
      <c r="U101" s="175" t="e">
        <f t="shared" si="92"/>
        <v>#DIV/0!</v>
      </c>
      <c r="V101" s="77" t="e">
        <f>IF(F$16=1,_xll.xCalcSkew($A101,W101-BK101,b)/100,0)</f>
        <v>#DIV/0!</v>
      </c>
      <c r="W101" s="98">
        <f t="shared" si="93"/>
        <v>2.5</v>
      </c>
      <c r="X101" s="99"/>
      <c r="Y101" s="97">
        <f t="shared" si="94"/>
        <v>-4.4999999999999998E-2</v>
      </c>
      <c r="Z101" s="100">
        <f t="shared" si="95"/>
        <v>1</v>
      </c>
      <c r="AA101" s="99">
        <f t="shared" ca="1" si="96"/>
        <v>2155</v>
      </c>
      <c r="AB101" s="77" t="e">
        <f t="shared" si="97"/>
        <v>#DIV/0!</v>
      </c>
      <c r="AC101" s="77" t="e">
        <f>IF(H$16=1,_xll.xCalcSkew($A101,AD101-BV101,b)/100,0)</f>
        <v>#DIV/0!</v>
      </c>
      <c r="AD101" s="98">
        <f t="shared" si="98"/>
        <v>2.4900000000000002</v>
      </c>
      <c r="AF101" s="99">
        <f t="shared" ca="1" si="127"/>
        <v>2155</v>
      </c>
      <c r="AG101" s="99">
        <f t="shared" ca="1" si="128"/>
        <v>2154</v>
      </c>
      <c r="AH101" s="77">
        <f t="shared" si="129"/>
        <v>5.3347520933161099E-2</v>
      </c>
      <c r="AI101" s="154">
        <f t="shared" si="99"/>
        <v>31</v>
      </c>
      <c r="AL101" s="99"/>
      <c r="AM101" s="78"/>
      <c r="AN101" s="78">
        <f t="shared" si="100"/>
        <v>0</v>
      </c>
      <c r="AO101" s="303" t="e">
        <f t="shared" si="130"/>
        <v>#DIV/0!</v>
      </c>
      <c r="AP101" s="75">
        <f t="shared" si="101"/>
        <v>0</v>
      </c>
      <c r="AQ101" s="102">
        <f t="shared" si="102"/>
        <v>0</v>
      </c>
      <c r="AR101" s="101">
        <f t="shared" si="103"/>
        <v>0</v>
      </c>
      <c r="AS101" s="101">
        <f t="shared" si="131"/>
        <v>0</v>
      </c>
      <c r="AT101" s="101">
        <f t="shared" si="104"/>
        <v>0</v>
      </c>
      <c r="AU101" s="103">
        <f t="shared" si="132"/>
        <v>0</v>
      </c>
      <c r="AV101" s="103">
        <f t="shared" si="133"/>
        <v>0</v>
      </c>
      <c r="AW101" s="103">
        <f t="shared" si="134"/>
        <v>0</v>
      </c>
      <c r="AY101" s="78">
        <f t="shared" si="105"/>
        <v>0</v>
      </c>
      <c r="AZ101" s="303" t="e">
        <f t="shared" si="135"/>
        <v>#DIV/0!</v>
      </c>
      <c r="BA101" s="75">
        <f t="shared" si="106"/>
        <v>0</v>
      </c>
      <c r="BB101" s="102">
        <f t="shared" si="107"/>
        <v>0</v>
      </c>
      <c r="BC101" s="101">
        <f t="shared" si="108"/>
        <v>0</v>
      </c>
      <c r="BD101" s="101">
        <f t="shared" si="109"/>
        <v>0</v>
      </c>
      <c r="BE101" s="101">
        <f t="shared" si="110"/>
        <v>0</v>
      </c>
      <c r="BF101" s="103">
        <f t="shared" si="136"/>
        <v>0</v>
      </c>
      <c r="BG101" s="103">
        <f t="shared" si="137"/>
        <v>0</v>
      </c>
      <c r="BH101" s="103">
        <f t="shared" si="138"/>
        <v>0</v>
      </c>
      <c r="BJ101" s="78">
        <f t="shared" si="111"/>
        <v>0</v>
      </c>
      <c r="BK101" s="303" t="e">
        <f t="shared" si="139"/>
        <v>#DIV/0!</v>
      </c>
      <c r="BL101" s="75">
        <f t="shared" si="112"/>
        <v>0</v>
      </c>
      <c r="BM101" s="102">
        <f t="shared" si="113"/>
        <v>0</v>
      </c>
      <c r="BN101" s="101">
        <f t="shared" si="114"/>
        <v>0</v>
      </c>
      <c r="BO101" s="101">
        <f t="shared" si="115"/>
        <v>0</v>
      </c>
      <c r="BP101" s="101">
        <f t="shared" si="116"/>
        <v>0</v>
      </c>
      <c r="BQ101" s="103">
        <f t="shared" si="140"/>
        <v>0</v>
      </c>
      <c r="BR101" s="103">
        <f t="shared" si="141"/>
        <v>0</v>
      </c>
      <c r="BS101" s="103">
        <f t="shared" si="142"/>
        <v>0</v>
      </c>
      <c r="BU101" s="78">
        <f t="shared" si="117"/>
        <v>0</v>
      </c>
      <c r="BV101" s="303" t="e">
        <f t="shared" si="143"/>
        <v>#DIV/0!</v>
      </c>
      <c r="BW101" s="75">
        <f t="shared" si="118"/>
        <v>0</v>
      </c>
      <c r="BX101" s="102">
        <f t="shared" si="119"/>
        <v>0</v>
      </c>
      <c r="BY101" s="101">
        <f t="shared" si="120"/>
        <v>0</v>
      </c>
      <c r="BZ101" s="101">
        <f t="shared" si="121"/>
        <v>0</v>
      </c>
      <c r="CA101" s="101">
        <f t="shared" si="122"/>
        <v>0</v>
      </c>
      <c r="CB101" s="103">
        <f t="shared" si="144"/>
        <v>0</v>
      </c>
      <c r="CC101" s="103">
        <f t="shared" si="145"/>
        <v>0</v>
      </c>
      <c r="CD101" s="103">
        <f t="shared" si="146"/>
        <v>0</v>
      </c>
    </row>
    <row r="102" spans="1:82" x14ac:dyDescent="0.25">
      <c r="A102" s="96">
        <f t="shared" si="123"/>
        <v>39448</v>
      </c>
      <c r="B102" s="97">
        <f t="shared" si="124"/>
        <v>3.8875000000000002</v>
      </c>
      <c r="C102" s="77">
        <f t="shared" si="125"/>
        <v>0.24</v>
      </c>
      <c r="D102" s="97">
        <f t="shared" si="80"/>
        <v>0</v>
      </c>
      <c r="E102" s="100">
        <f t="shared" si="81"/>
        <v>1</v>
      </c>
      <c r="F102" s="99">
        <f t="shared" ca="1" si="126"/>
        <v>2183</v>
      </c>
      <c r="G102" s="77" t="e">
        <f t="shared" si="82"/>
        <v>#DIV/0!</v>
      </c>
      <c r="H102" s="77" t="e">
        <f>IF(B$16=1,_xll.xCalcSkew(A102,I102-AO102,b)/100,0)</f>
        <v>#DIV/0!</v>
      </c>
      <c r="I102" s="98">
        <f t="shared" si="83"/>
        <v>4</v>
      </c>
      <c r="K102" s="97">
        <f t="shared" si="84"/>
        <v>-4.7500000000000001E-2</v>
      </c>
      <c r="L102" s="100">
        <f t="shared" si="85"/>
        <v>1</v>
      </c>
      <c r="M102" s="99">
        <f t="shared" ca="1" si="86"/>
        <v>2184</v>
      </c>
      <c r="N102" s="175" t="e">
        <f t="shared" si="87"/>
        <v>#DIV/0!</v>
      </c>
      <c r="O102" s="77" t="e">
        <f>IF(D$16=1,_xll.xCalcSkew($A102,P102-AZ102,b)/100,0)</f>
        <v>#DIV/0!</v>
      </c>
      <c r="P102" s="98">
        <f t="shared" si="88"/>
        <v>2.5</v>
      </c>
      <c r="R102" s="97">
        <f t="shared" si="89"/>
        <v>-4.7500000000000001E-2</v>
      </c>
      <c r="S102" s="100">
        <f t="shared" si="90"/>
        <v>1</v>
      </c>
      <c r="T102" s="99">
        <f t="shared" ca="1" si="91"/>
        <v>2184</v>
      </c>
      <c r="U102" s="175" t="e">
        <f t="shared" si="92"/>
        <v>#DIV/0!</v>
      </c>
      <c r="V102" s="77" t="e">
        <f>IF(F$16=1,_xll.xCalcSkew($A102,W102-BK102,b)/100,0)</f>
        <v>#DIV/0!</v>
      </c>
      <c r="W102" s="98">
        <f t="shared" si="93"/>
        <v>2.5</v>
      </c>
      <c r="X102" s="99"/>
      <c r="Y102" s="97">
        <f t="shared" si="94"/>
        <v>-4.7500000000000001E-2</v>
      </c>
      <c r="Z102" s="100">
        <f t="shared" si="95"/>
        <v>1</v>
      </c>
      <c r="AA102" s="99">
        <f t="shared" ca="1" si="96"/>
        <v>2184</v>
      </c>
      <c r="AB102" s="77" t="e">
        <f t="shared" si="97"/>
        <v>#DIV/0!</v>
      </c>
      <c r="AC102" s="77" t="e">
        <f>IF(H$16=1,_xll.xCalcSkew($A102,AD102-BV102,b)/100,0)</f>
        <v>#DIV/0!</v>
      </c>
      <c r="AD102" s="98">
        <f t="shared" si="98"/>
        <v>2.4900000000000002</v>
      </c>
      <c r="AF102" s="99">
        <f t="shared" ca="1" si="127"/>
        <v>2184</v>
      </c>
      <c r="AG102" s="99">
        <f t="shared" ca="1" si="128"/>
        <v>2183</v>
      </c>
      <c r="AH102" s="77">
        <f t="shared" si="129"/>
        <v>5.3529034657364701E-2</v>
      </c>
      <c r="AI102" s="154">
        <f t="shared" si="99"/>
        <v>31</v>
      </c>
      <c r="AL102" s="99"/>
      <c r="AM102" s="78"/>
      <c r="AN102" s="78">
        <f t="shared" si="100"/>
        <v>0</v>
      </c>
      <c r="AO102" s="303" t="e">
        <f t="shared" si="130"/>
        <v>#DIV/0!</v>
      </c>
      <c r="AP102" s="75">
        <f t="shared" si="101"/>
        <v>0</v>
      </c>
      <c r="AQ102" s="102">
        <f t="shared" si="102"/>
        <v>0</v>
      </c>
      <c r="AR102" s="101">
        <f t="shared" si="103"/>
        <v>0</v>
      </c>
      <c r="AS102" s="101">
        <f t="shared" si="131"/>
        <v>0</v>
      </c>
      <c r="AT102" s="101">
        <f t="shared" si="104"/>
        <v>0</v>
      </c>
      <c r="AU102" s="103">
        <f t="shared" si="132"/>
        <v>0</v>
      </c>
      <c r="AV102" s="103">
        <f t="shared" si="133"/>
        <v>0</v>
      </c>
      <c r="AW102" s="103">
        <f t="shared" si="134"/>
        <v>0</v>
      </c>
      <c r="AY102" s="78">
        <f t="shared" si="105"/>
        <v>0</v>
      </c>
      <c r="AZ102" s="303" t="e">
        <f t="shared" si="135"/>
        <v>#DIV/0!</v>
      </c>
      <c r="BA102" s="75">
        <f t="shared" si="106"/>
        <v>0</v>
      </c>
      <c r="BB102" s="102">
        <f t="shared" si="107"/>
        <v>0</v>
      </c>
      <c r="BC102" s="101">
        <f t="shared" si="108"/>
        <v>0</v>
      </c>
      <c r="BD102" s="101">
        <f t="shared" si="109"/>
        <v>0</v>
      </c>
      <c r="BE102" s="101">
        <f t="shared" si="110"/>
        <v>0</v>
      </c>
      <c r="BF102" s="103">
        <f t="shared" si="136"/>
        <v>0</v>
      </c>
      <c r="BG102" s="103">
        <f t="shared" si="137"/>
        <v>0</v>
      </c>
      <c r="BH102" s="103">
        <f t="shared" si="138"/>
        <v>0</v>
      </c>
      <c r="BJ102" s="78">
        <f t="shared" si="111"/>
        <v>0</v>
      </c>
      <c r="BK102" s="303" t="e">
        <f t="shared" si="139"/>
        <v>#DIV/0!</v>
      </c>
      <c r="BL102" s="75">
        <f t="shared" si="112"/>
        <v>0</v>
      </c>
      <c r="BM102" s="102">
        <f t="shared" si="113"/>
        <v>0</v>
      </c>
      <c r="BN102" s="101">
        <f t="shared" si="114"/>
        <v>0</v>
      </c>
      <c r="BO102" s="101">
        <f t="shared" si="115"/>
        <v>0</v>
      </c>
      <c r="BP102" s="101">
        <f t="shared" si="116"/>
        <v>0</v>
      </c>
      <c r="BQ102" s="103">
        <f t="shared" si="140"/>
        <v>0</v>
      </c>
      <c r="BR102" s="103">
        <f t="shared" si="141"/>
        <v>0</v>
      </c>
      <c r="BS102" s="103">
        <f t="shared" si="142"/>
        <v>0</v>
      </c>
      <c r="BU102" s="78">
        <f t="shared" si="117"/>
        <v>0</v>
      </c>
      <c r="BV102" s="303" t="e">
        <f t="shared" si="143"/>
        <v>#DIV/0!</v>
      </c>
      <c r="BW102" s="75">
        <f t="shared" si="118"/>
        <v>0</v>
      </c>
      <c r="BX102" s="102">
        <f t="shared" si="119"/>
        <v>0</v>
      </c>
      <c r="BY102" s="101">
        <f t="shared" si="120"/>
        <v>0</v>
      </c>
      <c r="BZ102" s="101">
        <f t="shared" si="121"/>
        <v>0</v>
      </c>
      <c r="CA102" s="101">
        <f t="shared" si="122"/>
        <v>0</v>
      </c>
      <c r="CB102" s="103">
        <f t="shared" si="144"/>
        <v>0</v>
      </c>
      <c r="CC102" s="103">
        <f t="shared" si="145"/>
        <v>0</v>
      </c>
      <c r="CD102" s="103">
        <f t="shared" si="146"/>
        <v>0</v>
      </c>
    </row>
    <row r="103" spans="1:82" x14ac:dyDescent="0.25">
      <c r="A103" s="96">
        <f t="shared" si="123"/>
        <v>39479</v>
      </c>
      <c r="B103" s="97">
        <f t="shared" si="124"/>
        <v>3.8025000000000002</v>
      </c>
      <c r="C103" s="77">
        <f t="shared" si="125"/>
        <v>0.24</v>
      </c>
      <c r="D103" s="97">
        <f t="shared" si="80"/>
        <v>0</v>
      </c>
      <c r="E103" s="100">
        <f t="shared" si="81"/>
        <v>1</v>
      </c>
      <c r="F103" s="99">
        <f t="shared" ca="1" si="126"/>
        <v>2216</v>
      </c>
      <c r="G103" s="77" t="e">
        <f t="shared" si="82"/>
        <v>#DIV/0!</v>
      </c>
      <c r="H103" s="77" t="e">
        <f>IF(B$16=1,_xll.xCalcSkew(A103,I103-AO103,b)/100,0)</f>
        <v>#DIV/0!</v>
      </c>
      <c r="I103" s="98">
        <f t="shared" si="83"/>
        <v>4</v>
      </c>
      <c r="K103" s="97">
        <f t="shared" si="84"/>
        <v>-0.03</v>
      </c>
      <c r="L103" s="100">
        <f t="shared" si="85"/>
        <v>1</v>
      </c>
      <c r="M103" s="99">
        <f t="shared" ca="1" si="86"/>
        <v>2217</v>
      </c>
      <c r="N103" s="175" t="e">
        <f t="shared" si="87"/>
        <v>#DIV/0!</v>
      </c>
      <c r="O103" s="77" t="e">
        <f>IF(D$16=1,_xll.xCalcSkew($A103,P103-AZ103,b)/100,0)</f>
        <v>#DIV/0!</v>
      </c>
      <c r="P103" s="98">
        <f t="shared" si="88"/>
        <v>2.5</v>
      </c>
      <c r="R103" s="97">
        <f t="shared" si="89"/>
        <v>-0.03</v>
      </c>
      <c r="S103" s="100">
        <f t="shared" si="90"/>
        <v>1</v>
      </c>
      <c r="T103" s="99">
        <f t="shared" ca="1" si="91"/>
        <v>2217</v>
      </c>
      <c r="U103" s="175" t="e">
        <f t="shared" si="92"/>
        <v>#DIV/0!</v>
      </c>
      <c r="V103" s="77" t="e">
        <f>IF(F$16=1,_xll.xCalcSkew($A103,W103-BK103,b)/100,0)</f>
        <v>#DIV/0!</v>
      </c>
      <c r="W103" s="98">
        <f t="shared" si="93"/>
        <v>2.5</v>
      </c>
      <c r="X103" s="99"/>
      <c r="Y103" s="97">
        <f t="shared" si="94"/>
        <v>-0.03</v>
      </c>
      <c r="Z103" s="100">
        <f t="shared" si="95"/>
        <v>1</v>
      </c>
      <c r="AA103" s="99">
        <f t="shared" ca="1" si="96"/>
        <v>2217</v>
      </c>
      <c r="AB103" s="77" t="e">
        <f t="shared" si="97"/>
        <v>#DIV/0!</v>
      </c>
      <c r="AC103" s="77" t="e">
        <f>IF(H$16=1,_xll.xCalcSkew($A103,AD103-BV103,b)/100,0)</f>
        <v>#DIV/0!</v>
      </c>
      <c r="AD103" s="98">
        <f t="shared" si="98"/>
        <v>2.4900000000000002</v>
      </c>
      <c r="AF103" s="99">
        <f t="shared" ca="1" si="127"/>
        <v>2217</v>
      </c>
      <c r="AG103" s="99">
        <f t="shared" ca="1" si="128"/>
        <v>2216</v>
      </c>
      <c r="AH103" s="77">
        <f t="shared" si="129"/>
        <v>5.3710548392549698E-2</v>
      </c>
      <c r="AI103" s="154">
        <f t="shared" si="99"/>
        <v>29</v>
      </c>
      <c r="AL103" s="99"/>
      <c r="AM103" s="78"/>
      <c r="AN103" s="78">
        <f t="shared" si="100"/>
        <v>0</v>
      </c>
      <c r="AO103" s="303" t="e">
        <f t="shared" si="130"/>
        <v>#DIV/0!</v>
      </c>
      <c r="AP103" s="75">
        <f t="shared" si="101"/>
        <v>0</v>
      </c>
      <c r="AQ103" s="102">
        <f t="shared" si="102"/>
        <v>0</v>
      </c>
      <c r="AR103" s="101">
        <f t="shared" si="103"/>
        <v>0</v>
      </c>
      <c r="AS103" s="101">
        <f t="shared" si="131"/>
        <v>0</v>
      </c>
      <c r="AT103" s="101">
        <f t="shared" si="104"/>
        <v>0</v>
      </c>
      <c r="AU103" s="103">
        <f t="shared" si="132"/>
        <v>0</v>
      </c>
      <c r="AV103" s="103">
        <f t="shared" si="133"/>
        <v>0</v>
      </c>
      <c r="AW103" s="103">
        <f t="shared" si="134"/>
        <v>0</v>
      </c>
      <c r="AY103" s="78">
        <f t="shared" si="105"/>
        <v>0</v>
      </c>
      <c r="AZ103" s="303" t="e">
        <f t="shared" si="135"/>
        <v>#DIV/0!</v>
      </c>
      <c r="BA103" s="75">
        <f t="shared" si="106"/>
        <v>0</v>
      </c>
      <c r="BB103" s="102">
        <f t="shared" si="107"/>
        <v>0</v>
      </c>
      <c r="BC103" s="101">
        <f t="shared" si="108"/>
        <v>0</v>
      </c>
      <c r="BD103" s="101">
        <f t="shared" si="109"/>
        <v>0</v>
      </c>
      <c r="BE103" s="101">
        <f t="shared" si="110"/>
        <v>0</v>
      </c>
      <c r="BF103" s="103">
        <f t="shared" si="136"/>
        <v>0</v>
      </c>
      <c r="BG103" s="103">
        <f t="shared" si="137"/>
        <v>0</v>
      </c>
      <c r="BH103" s="103">
        <f t="shared" si="138"/>
        <v>0</v>
      </c>
      <c r="BJ103" s="78">
        <f t="shared" si="111"/>
        <v>0</v>
      </c>
      <c r="BK103" s="303" t="e">
        <f t="shared" si="139"/>
        <v>#DIV/0!</v>
      </c>
      <c r="BL103" s="75">
        <f t="shared" si="112"/>
        <v>0</v>
      </c>
      <c r="BM103" s="102">
        <f t="shared" si="113"/>
        <v>0</v>
      </c>
      <c r="BN103" s="101">
        <f t="shared" si="114"/>
        <v>0</v>
      </c>
      <c r="BO103" s="101">
        <f t="shared" si="115"/>
        <v>0</v>
      </c>
      <c r="BP103" s="101">
        <f t="shared" si="116"/>
        <v>0</v>
      </c>
      <c r="BQ103" s="103">
        <f t="shared" si="140"/>
        <v>0</v>
      </c>
      <c r="BR103" s="103">
        <f t="shared" si="141"/>
        <v>0</v>
      </c>
      <c r="BS103" s="103">
        <f t="shared" si="142"/>
        <v>0</v>
      </c>
      <c r="BU103" s="78">
        <f t="shared" si="117"/>
        <v>0</v>
      </c>
      <c r="BV103" s="303" t="e">
        <f t="shared" si="143"/>
        <v>#DIV/0!</v>
      </c>
      <c r="BW103" s="75">
        <f t="shared" si="118"/>
        <v>0</v>
      </c>
      <c r="BX103" s="102">
        <f t="shared" si="119"/>
        <v>0</v>
      </c>
      <c r="BY103" s="101">
        <f t="shared" si="120"/>
        <v>0</v>
      </c>
      <c r="BZ103" s="101">
        <f t="shared" si="121"/>
        <v>0</v>
      </c>
      <c r="CA103" s="101">
        <f t="shared" si="122"/>
        <v>0</v>
      </c>
      <c r="CB103" s="103">
        <f t="shared" si="144"/>
        <v>0</v>
      </c>
      <c r="CC103" s="103">
        <f t="shared" si="145"/>
        <v>0</v>
      </c>
      <c r="CD103" s="103">
        <f t="shared" si="146"/>
        <v>0</v>
      </c>
    </row>
    <row r="104" spans="1:82" x14ac:dyDescent="0.25">
      <c r="A104" s="96">
        <f t="shared" si="123"/>
        <v>39508</v>
      </c>
      <c r="B104" s="97">
        <f t="shared" si="124"/>
        <v>3.6724999999999999</v>
      </c>
      <c r="C104" s="77">
        <f t="shared" si="125"/>
        <v>0.23499999999999999</v>
      </c>
      <c r="D104" s="97">
        <f t="shared" si="80"/>
        <v>0</v>
      </c>
      <c r="E104" s="100">
        <f t="shared" si="81"/>
        <v>1</v>
      </c>
      <c r="F104" s="99">
        <f t="shared" ca="1" si="126"/>
        <v>2245</v>
      </c>
      <c r="G104" s="77" t="e">
        <f t="shared" si="82"/>
        <v>#DIV/0!</v>
      </c>
      <c r="H104" s="77" t="e">
        <f>IF(B$16=1,_xll.xCalcSkew(A104,I104-AO104,b)/100,0)</f>
        <v>#DIV/0!</v>
      </c>
      <c r="I104" s="98">
        <f t="shared" si="83"/>
        <v>4</v>
      </c>
      <c r="K104" s="97">
        <f t="shared" si="84"/>
        <v>-1.7500000000000002E-2</v>
      </c>
      <c r="L104" s="100">
        <f t="shared" si="85"/>
        <v>1</v>
      </c>
      <c r="M104" s="99">
        <f t="shared" ca="1" si="86"/>
        <v>2246</v>
      </c>
      <c r="N104" s="175" t="e">
        <f t="shared" si="87"/>
        <v>#DIV/0!</v>
      </c>
      <c r="O104" s="77" t="e">
        <f>IF(D$16=1,_xll.xCalcSkew($A104,P104-AZ104,b)/100,0)</f>
        <v>#DIV/0!</v>
      </c>
      <c r="P104" s="98">
        <f t="shared" si="88"/>
        <v>2.5</v>
      </c>
      <c r="R104" s="97">
        <f t="shared" si="89"/>
        <v>-1.7500000000000002E-2</v>
      </c>
      <c r="S104" s="100">
        <f t="shared" si="90"/>
        <v>1</v>
      </c>
      <c r="T104" s="99">
        <f t="shared" ca="1" si="91"/>
        <v>2246</v>
      </c>
      <c r="U104" s="175" t="e">
        <f t="shared" si="92"/>
        <v>#DIV/0!</v>
      </c>
      <c r="V104" s="77" t="e">
        <f>IF(F$16=1,_xll.xCalcSkew($A104,W104-BK104,b)/100,0)</f>
        <v>#DIV/0!</v>
      </c>
      <c r="W104" s="98">
        <f t="shared" si="93"/>
        <v>2.5</v>
      </c>
      <c r="X104" s="99"/>
      <c r="Y104" s="97">
        <f t="shared" si="94"/>
        <v>-1.7500000000000002E-2</v>
      </c>
      <c r="Z104" s="100">
        <f t="shared" si="95"/>
        <v>1</v>
      </c>
      <c r="AA104" s="99">
        <f t="shared" ca="1" si="96"/>
        <v>2246</v>
      </c>
      <c r="AB104" s="77" t="e">
        <f t="shared" si="97"/>
        <v>#DIV/0!</v>
      </c>
      <c r="AC104" s="77" t="e">
        <f>IF(H$16=1,_xll.xCalcSkew($A104,AD104-BV104,b)/100,0)</f>
        <v>#DIV/0!</v>
      </c>
      <c r="AD104" s="98">
        <f t="shared" si="98"/>
        <v>2.4900000000000002</v>
      </c>
      <c r="AF104" s="99">
        <f t="shared" ca="1" si="127"/>
        <v>2246</v>
      </c>
      <c r="AG104" s="99">
        <f t="shared" ca="1" si="128"/>
        <v>2245</v>
      </c>
      <c r="AH104" s="77">
        <f t="shared" si="129"/>
        <v>5.3880351574115498E-2</v>
      </c>
      <c r="AI104" s="154">
        <f t="shared" si="99"/>
        <v>31</v>
      </c>
      <c r="AL104" s="99"/>
      <c r="AM104" s="78"/>
      <c r="AN104" s="78">
        <f t="shared" si="100"/>
        <v>0</v>
      </c>
      <c r="AO104" s="303" t="e">
        <f t="shared" si="130"/>
        <v>#DIV/0!</v>
      </c>
      <c r="AP104" s="75">
        <f t="shared" si="101"/>
        <v>0</v>
      </c>
      <c r="AQ104" s="102">
        <f t="shared" si="102"/>
        <v>0</v>
      </c>
      <c r="AR104" s="101">
        <f t="shared" si="103"/>
        <v>0</v>
      </c>
      <c r="AS104" s="101">
        <f t="shared" si="131"/>
        <v>0</v>
      </c>
      <c r="AT104" s="101">
        <f t="shared" si="104"/>
        <v>0</v>
      </c>
      <c r="AU104" s="103">
        <f t="shared" si="132"/>
        <v>0</v>
      </c>
      <c r="AV104" s="103">
        <f t="shared" si="133"/>
        <v>0</v>
      </c>
      <c r="AW104" s="103">
        <f t="shared" si="134"/>
        <v>0</v>
      </c>
      <c r="AY104" s="78">
        <f t="shared" si="105"/>
        <v>0</v>
      </c>
      <c r="AZ104" s="303" t="e">
        <f t="shared" si="135"/>
        <v>#DIV/0!</v>
      </c>
      <c r="BA104" s="75">
        <f t="shared" si="106"/>
        <v>0</v>
      </c>
      <c r="BB104" s="102">
        <f t="shared" si="107"/>
        <v>0</v>
      </c>
      <c r="BC104" s="101">
        <f t="shared" si="108"/>
        <v>0</v>
      </c>
      <c r="BD104" s="101">
        <f t="shared" si="109"/>
        <v>0</v>
      </c>
      <c r="BE104" s="101">
        <f t="shared" si="110"/>
        <v>0</v>
      </c>
      <c r="BF104" s="103">
        <f t="shared" si="136"/>
        <v>0</v>
      </c>
      <c r="BG104" s="103">
        <f t="shared" si="137"/>
        <v>0</v>
      </c>
      <c r="BH104" s="103">
        <f t="shared" si="138"/>
        <v>0</v>
      </c>
      <c r="BJ104" s="78">
        <f t="shared" si="111"/>
        <v>0</v>
      </c>
      <c r="BK104" s="303" t="e">
        <f t="shared" si="139"/>
        <v>#DIV/0!</v>
      </c>
      <c r="BL104" s="75">
        <f t="shared" si="112"/>
        <v>0</v>
      </c>
      <c r="BM104" s="102">
        <f t="shared" si="113"/>
        <v>0</v>
      </c>
      <c r="BN104" s="101">
        <f t="shared" si="114"/>
        <v>0</v>
      </c>
      <c r="BO104" s="101">
        <f t="shared" si="115"/>
        <v>0</v>
      </c>
      <c r="BP104" s="101">
        <f t="shared" si="116"/>
        <v>0</v>
      </c>
      <c r="BQ104" s="103">
        <f t="shared" si="140"/>
        <v>0</v>
      </c>
      <c r="BR104" s="103">
        <f t="shared" si="141"/>
        <v>0</v>
      </c>
      <c r="BS104" s="103">
        <f t="shared" si="142"/>
        <v>0</v>
      </c>
      <c r="BU104" s="78">
        <f t="shared" si="117"/>
        <v>0</v>
      </c>
      <c r="BV104" s="303" t="e">
        <f t="shared" si="143"/>
        <v>#DIV/0!</v>
      </c>
      <c r="BW104" s="75">
        <f t="shared" si="118"/>
        <v>0</v>
      </c>
      <c r="BX104" s="102">
        <f t="shared" si="119"/>
        <v>0</v>
      </c>
      <c r="BY104" s="101">
        <f t="shared" si="120"/>
        <v>0</v>
      </c>
      <c r="BZ104" s="101">
        <f t="shared" si="121"/>
        <v>0</v>
      </c>
      <c r="CA104" s="101">
        <f t="shared" si="122"/>
        <v>0</v>
      </c>
      <c r="CB104" s="103">
        <f t="shared" si="144"/>
        <v>0</v>
      </c>
      <c r="CC104" s="103">
        <f t="shared" si="145"/>
        <v>0</v>
      </c>
      <c r="CD104" s="103">
        <f t="shared" si="146"/>
        <v>0</v>
      </c>
    </row>
    <row r="105" spans="1:82" x14ac:dyDescent="0.25">
      <c r="A105" s="96">
        <f t="shared" si="123"/>
        <v>39539</v>
      </c>
      <c r="B105" s="97">
        <f t="shared" si="124"/>
        <v>3.4874999999999998</v>
      </c>
      <c r="C105" s="77">
        <f t="shared" si="125"/>
        <v>0.23</v>
      </c>
      <c r="D105" s="97">
        <f t="shared" si="80"/>
        <v>0</v>
      </c>
      <c r="E105" s="100">
        <f t="shared" si="81"/>
        <v>1</v>
      </c>
      <c r="F105" s="99">
        <f t="shared" ca="1" si="126"/>
        <v>2274</v>
      </c>
      <c r="G105" s="77" t="e">
        <f t="shared" si="82"/>
        <v>#DIV/0!</v>
      </c>
      <c r="H105" s="77" t="e">
        <f>IF(B$16=1,_xll.xCalcSkew(A105,I105-AO105,b)/100,0)</f>
        <v>#DIV/0!</v>
      </c>
      <c r="I105" s="98">
        <f t="shared" si="83"/>
        <v>4</v>
      </c>
      <c r="K105" s="97">
        <f t="shared" si="84"/>
        <v>0.02</v>
      </c>
      <c r="L105" s="100">
        <f t="shared" si="85"/>
        <v>1</v>
      </c>
      <c r="M105" s="99">
        <f t="shared" ca="1" si="86"/>
        <v>2275</v>
      </c>
      <c r="N105" s="175" t="e">
        <f t="shared" si="87"/>
        <v>#DIV/0!</v>
      </c>
      <c r="O105" s="77" t="e">
        <f>IF(D$16=1,_xll.xCalcSkew($A105,P105-AZ105,b)/100,0)</f>
        <v>#DIV/0!</v>
      </c>
      <c r="P105" s="98">
        <f t="shared" si="88"/>
        <v>2.5</v>
      </c>
      <c r="R105" s="97">
        <f t="shared" si="89"/>
        <v>0.02</v>
      </c>
      <c r="S105" s="100">
        <f t="shared" si="90"/>
        <v>1</v>
      </c>
      <c r="T105" s="99">
        <f t="shared" ca="1" si="91"/>
        <v>2275</v>
      </c>
      <c r="U105" s="175" t="e">
        <f t="shared" si="92"/>
        <v>#DIV/0!</v>
      </c>
      <c r="V105" s="77" t="e">
        <f>IF(F$16=1,_xll.xCalcSkew($A105,W105-BK105,b)/100,0)</f>
        <v>#DIV/0!</v>
      </c>
      <c r="W105" s="98">
        <f t="shared" si="93"/>
        <v>2.5</v>
      </c>
      <c r="X105" s="99"/>
      <c r="Y105" s="97">
        <f t="shared" si="94"/>
        <v>0.02</v>
      </c>
      <c r="Z105" s="100">
        <f t="shared" si="95"/>
        <v>1</v>
      </c>
      <c r="AA105" s="99">
        <f t="shared" ca="1" si="96"/>
        <v>2275</v>
      </c>
      <c r="AB105" s="77" t="e">
        <f t="shared" si="97"/>
        <v>#DIV/0!</v>
      </c>
      <c r="AC105" s="77" t="e">
        <f>IF(H$16=1,_xll.xCalcSkew($A105,AD105-BV105,b)/100,0)</f>
        <v>#DIV/0!</v>
      </c>
      <c r="AD105" s="98">
        <f t="shared" si="98"/>
        <v>2.4900000000000002</v>
      </c>
      <c r="AF105" s="99">
        <f t="shared" ca="1" si="127"/>
        <v>2275</v>
      </c>
      <c r="AG105" s="99">
        <f t="shared" ca="1" si="128"/>
        <v>2274</v>
      </c>
      <c r="AH105" s="77">
        <f t="shared" si="129"/>
        <v>5.4061865330552898E-2</v>
      </c>
      <c r="AI105" s="154">
        <f t="shared" si="99"/>
        <v>30</v>
      </c>
      <c r="AL105" s="99"/>
      <c r="AM105" s="78"/>
      <c r="AN105" s="78">
        <f t="shared" si="100"/>
        <v>0</v>
      </c>
      <c r="AO105" s="303" t="e">
        <f t="shared" si="130"/>
        <v>#DIV/0!</v>
      </c>
      <c r="AP105" s="75">
        <f t="shared" si="101"/>
        <v>0</v>
      </c>
      <c r="AQ105" s="102">
        <f t="shared" si="102"/>
        <v>0</v>
      </c>
      <c r="AR105" s="101">
        <f t="shared" si="103"/>
        <v>0</v>
      </c>
      <c r="AS105" s="101">
        <f t="shared" si="131"/>
        <v>0</v>
      </c>
      <c r="AT105" s="101">
        <f t="shared" si="104"/>
        <v>0</v>
      </c>
      <c r="AU105" s="103">
        <f t="shared" si="132"/>
        <v>0</v>
      </c>
      <c r="AV105" s="103">
        <f t="shared" si="133"/>
        <v>0</v>
      </c>
      <c r="AW105" s="103">
        <f t="shared" si="134"/>
        <v>0</v>
      </c>
      <c r="AY105" s="78">
        <f t="shared" si="105"/>
        <v>0</v>
      </c>
      <c r="AZ105" s="303" t="e">
        <f t="shared" si="135"/>
        <v>#DIV/0!</v>
      </c>
      <c r="BA105" s="75">
        <f t="shared" si="106"/>
        <v>0</v>
      </c>
      <c r="BB105" s="102">
        <f t="shared" si="107"/>
        <v>0</v>
      </c>
      <c r="BC105" s="101">
        <f t="shared" si="108"/>
        <v>0</v>
      </c>
      <c r="BD105" s="101">
        <f t="shared" si="109"/>
        <v>0</v>
      </c>
      <c r="BE105" s="101">
        <f t="shared" si="110"/>
        <v>0</v>
      </c>
      <c r="BF105" s="103">
        <f t="shared" si="136"/>
        <v>0</v>
      </c>
      <c r="BG105" s="103">
        <f t="shared" si="137"/>
        <v>0</v>
      </c>
      <c r="BH105" s="103">
        <f t="shared" si="138"/>
        <v>0</v>
      </c>
      <c r="BJ105" s="78">
        <f t="shared" si="111"/>
        <v>0</v>
      </c>
      <c r="BK105" s="303" t="e">
        <f t="shared" si="139"/>
        <v>#DIV/0!</v>
      </c>
      <c r="BL105" s="75">
        <f t="shared" si="112"/>
        <v>0</v>
      </c>
      <c r="BM105" s="102">
        <f t="shared" si="113"/>
        <v>0</v>
      </c>
      <c r="BN105" s="101">
        <f t="shared" si="114"/>
        <v>0</v>
      </c>
      <c r="BO105" s="101">
        <f t="shared" si="115"/>
        <v>0</v>
      </c>
      <c r="BP105" s="101">
        <f t="shared" si="116"/>
        <v>0</v>
      </c>
      <c r="BQ105" s="103">
        <f t="shared" si="140"/>
        <v>0</v>
      </c>
      <c r="BR105" s="103">
        <f t="shared" si="141"/>
        <v>0</v>
      </c>
      <c r="BS105" s="103">
        <f t="shared" si="142"/>
        <v>0</v>
      </c>
      <c r="BU105" s="78">
        <f t="shared" si="117"/>
        <v>0</v>
      </c>
      <c r="BV105" s="303" t="e">
        <f t="shared" si="143"/>
        <v>#DIV/0!</v>
      </c>
      <c r="BW105" s="75">
        <f t="shared" si="118"/>
        <v>0</v>
      </c>
      <c r="BX105" s="102">
        <f t="shared" si="119"/>
        <v>0</v>
      </c>
      <c r="BY105" s="101">
        <f t="shared" si="120"/>
        <v>0</v>
      </c>
      <c r="BZ105" s="101">
        <f t="shared" si="121"/>
        <v>0</v>
      </c>
      <c r="CA105" s="101">
        <f t="shared" si="122"/>
        <v>0</v>
      </c>
      <c r="CB105" s="103">
        <f t="shared" si="144"/>
        <v>0</v>
      </c>
      <c r="CC105" s="103">
        <f t="shared" si="145"/>
        <v>0</v>
      </c>
      <c r="CD105" s="103">
        <f t="shared" si="146"/>
        <v>0</v>
      </c>
    </row>
    <row r="106" spans="1:82" x14ac:dyDescent="0.25">
      <c r="A106" s="96">
        <f t="shared" si="123"/>
        <v>39569</v>
      </c>
      <c r="B106" s="97">
        <f t="shared" si="124"/>
        <v>3.4824999999999999</v>
      </c>
      <c r="C106" s="77">
        <f t="shared" si="125"/>
        <v>0.23</v>
      </c>
      <c r="D106" s="97">
        <f t="shared" si="80"/>
        <v>0</v>
      </c>
      <c r="E106" s="100">
        <f t="shared" si="81"/>
        <v>1</v>
      </c>
      <c r="F106" s="99">
        <f t="shared" ca="1" si="126"/>
        <v>2304</v>
      </c>
      <c r="G106" s="77" t="e">
        <f t="shared" si="82"/>
        <v>#DIV/0!</v>
      </c>
      <c r="H106" s="77" t="e">
        <f>IF(B$16=1,_xll.xCalcSkew(A106,I106-AO106,b)/100,0)</f>
        <v>#DIV/0!</v>
      </c>
      <c r="I106" s="98">
        <f t="shared" si="83"/>
        <v>4</v>
      </c>
      <c r="K106" s="97">
        <f t="shared" si="84"/>
        <v>0.02</v>
      </c>
      <c r="L106" s="100">
        <f t="shared" si="85"/>
        <v>1</v>
      </c>
      <c r="M106" s="99">
        <f t="shared" ca="1" si="86"/>
        <v>2307</v>
      </c>
      <c r="N106" s="175" t="e">
        <f t="shared" si="87"/>
        <v>#DIV/0!</v>
      </c>
      <c r="O106" s="77" t="e">
        <f>IF(D$16=1,_xll.xCalcSkew($A106,P106-AZ106,b)/100,0)</f>
        <v>#DIV/0!</v>
      </c>
      <c r="P106" s="98">
        <f t="shared" si="88"/>
        <v>2.5</v>
      </c>
      <c r="R106" s="97">
        <f t="shared" si="89"/>
        <v>0.02</v>
      </c>
      <c r="S106" s="100">
        <f t="shared" si="90"/>
        <v>1</v>
      </c>
      <c r="T106" s="99">
        <f t="shared" ca="1" si="91"/>
        <v>2307</v>
      </c>
      <c r="U106" s="175" t="e">
        <f t="shared" si="92"/>
        <v>#DIV/0!</v>
      </c>
      <c r="V106" s="77" t="e">
        <f>IF(F$16=1,_xll.xCalcSkew($A106,W106-BK106,b)/100,0)</f>
        <v>#DIV/0!</v>
      </c>
      <c r="W106" s="98">
        <f t="shared" si="93"/>
        <v>2.5</v>
      </c>
      <c r="X106" s="99"/>
      <c r="Y106" s="97">
        <f t="shared" si="94"/>
        <v>0.02</v>
      </c>
      <c r="Z106" s="100">
        <f t="shared" si="95"/>
        <v>1</v>
      </c>
      <c r="AA106" s="99">
        <f t="shared" ca="1" si="96"/>
        <v>2307</v>
      </c>
      <c r="AB106" s="77" t="e">
        <f t="shared" si="97"/>
        <v>#DIV/0!</v>
      </c>
      <c r="AC106" s="77" t="e">
        <f>IF(H$16=1,_xll.xCalcSkew($A106,AD106-BV106,b)/100,0)</f>
        <v>#DIV/0!</v>
      </c>
      <c r="AD106" s="98">
        <f t="shared" si="98"/>
        <v>2.4900000000000002</v>
      </c>
      <c r="AF106" s="99">
        <f t="shared" ca="1" si="127"/>
        <v>2307</v>
      </c>
      <c r="AG106" s="99">
        <f t="shared" ca="1" si="128"/>
        <v>2304</v>
      </c>
      <c r="AH106" s="77">
        <f t="shared" si="129"/>
        <v>5.4237523814977699E-2</v>
      </c>
      <c r="AI106" s="154">
        <f t="shared" si="99"/>
        <v>31</v>
      </c>
      <c r="AL106" s="99"/>
      <c r="AM106" s="78"/>
      <c r="AN106" s="78">
        <f t="shared" si="100"/>
        <v>0</v>
      </c>
      <c r="AO106" s="303" t="e">
        <f t="shared" si="130"/>
        <v>#DIV/0!</v>
      </c>
      <c r="AP106" s="75">
        <f t="shared" si="101"/>
        <v>0</v>
      </c>
      <c r="AQ106" s="102">
        <f t="shared" si="102"/>
        <v>0</v>
      </c>
      <c r="AR106" s="101">
        <f t="shared" si="103"/>
        <v>0</v>
      </c>
      <c r="AS106" s="101">
        <f t="shared" si="131"/>
        <v>0</v>
      </c>
      <c r="AT106" s="101">
        <f t="shared" si="104"/>
        <v>0</v>
      </c>
      <c r="AU106" s="103">
        <f t="shared" si="132"/>
        <v>0</v>
      </c>
      <c r="AV106" s="103">
        <f t="shared" si="133"/>
        <v>0</v>
      </c>
      <c r="AW106" s="103">
        <f t="shared" si="134"/>
        <v>0</v>
      </c>
      <c r="AY106" s="78">
        <f t="shared" si="105"/>
        <v>0</v>
      </c>
      <c r="AZ106" s="303" t="e">
        <f t="shared" si="135"/>
        <v>#DIV/0!</v>
      </c>
      <c r="BA106" s="75">
        <f t="shared" si="106"/>
        <v>0</v>
      </c>
      <c r="BB106" s="102">
        <f t="shared" si="107"/>
        <v>0</v>
      </c>
      <c r="BC106" s="101">
        <f t="shared" si="108"/>
        <v>0</v>
      </c>
      <c r="BD106" s="101">
        <f t="shared" si="109"/>
        <v>0</v>
      </c>
      <c r="BE106" s="101">
        <f t="shared" si="110"/>
        <v>0</v>
      </c>
      <c r="BF106" s="103">
        <f t="shared" si="136"/>
        <v>0</v>
      </c>
      <c r="BG106" s="103">
        <f t="shared" si="137"/>
        <v>0</v>
      </c>
      <c r="BH106" s="103">
        <f t="shared" si="138"/>
        <v>0</v>
      </c>
      <c r="BJ106" s="78">
        <f t="shared" si="111"/>
        <v>0</v>
      </c>
      <c r="BK106" s="303" t="e">
        <f t="shared" si="139"/>
        <v>#DIV/0!</v>
      </c>
      <c r="BL106" s="75">
        <f t="shared" si="112"/>
        <v>0</v>
      </c>
      <c r="BM106" s="102">
        <f t="shared" si="113"/>
        <v>0</v>
      </c>
      <c r="BN106" s="101">
        <f t="shared" si="114"/>
        <v>0</v>
      </c>
      <c r="BO106" s="101">
        <f t="shared" si="115"/>
        <v>0</v>
      </c>
      <c r="BP106" s="101">
        <f t="shared" si="116"/>
        <v>0</v>
      </c>
      <c r="BQ106" s="103">
        <f t="shared" si="140"/>
        <v>0</v>
      </c>
      <c r="BR106" s="103">
        <f t="shared" si="141"/>
        <v>0</v>
      </c>
      <c r="BS106" s="103">
        <f t="shared" si="142"/>
        <v>0</v>
      </c>
      <c r="BU106" s="78">
        <f t="shared" si="117"/>
        <v>0</v>
      </c>
      <c r="BV106" s="303" t="e">
        <f t="shared" si="143"/>
        <v>#DIV/0!</v>
      </c>
      <c r="BW106" s="75">
        <f t="shared" si="118"/>
        <v>0</v>
      </c>
      <c r="BX106" s="102">
        <f t="shared" si="119"/>
        <v>0</v>
      </c>
      <c r="BY106" s="101">
        <f t="shared" si="120"/>
        <v>0</v>
      </c>
      <c r="BZ106" s="101">
        <f t="shared" si="121"/>
        <v>0</v>
      </c>
      <c r="CA106" s="101">
        <f t="shared" si="122"/>
        <v>0</v>
      </c>
      <c r="CB106" s="103">
        <f t="shared" si="144"/>
        <v>0</v>
      </c>
      <c r="CC106" s="103">
        <f t="shared" si="145"/>
        <v>0</v>
      </c>
      <c r="CD106" s="103">
        <f t="shared" si="146"/>
        <v>0</v>
      </c>
    </row>
    <row r="107" spans="1:82" x14ac:dyDescent="0.25">
      <c r="A107" s="96">
        <f t="shared" si="123"/>
        <v>39600</v>
      </c>
      <c r="B107" s="97">
        <f t="shared" si="124"/>
        <v>3.5175000000000001</v>
      </c>
      <c r="C107" s="77">
        <f t="shared" si="125"/>
        <v>0.23</v>
      </c>
      <c r="D107" s="97">
        <f t="shared" si="80"/>
        <v>0</v>
      </c>
      <c r="E107" s="100">
        <f t="shared" si="81"/>
        <v>1</v>
      </c>
      <c r="F107" s="99">
        <f t="shared" ca="1" si="126"/>
        <v>2336</v>
      </c>
      <c r="G107" s="77" t="e">
        <f t="shared" si="82"/>
        <v>#DIV/0!</v>
      </c>
      <c r="H107" s="77" t="e">
        <f>IF(B$16=1,_xll.xCalcSkew(A107,I107-AO107,b)/100,0)</f>
        <v>#DIV/0!</v>
      </c>
      <c r="I107" s="98">
        <f t="shared" si="83"/>
        <v>4</v>
      </c>
      <c r="K107" s="97">
        <f t="shared" si="84"/>
        <v>2.5000000000000001E-2</v>
      </c>
      <c r="L107" s="100">
        <f t="shared" si="85"/>
        <v>1</v>
      </c>
      <c r="M107" s="99">
        <f t="shared" ca="1" si="86"/>
        <v>2337</v>
      </c>
      <c r="N107" s="175" t="e">
        <f t="shared" si="87"/>
        <v>#DIV/0!</v>
      </c>
      <c r="O107" s="77" t="e">
        <f>IF(D$16=1,_xll.xCalcSkew($A107,P107-AZ107,b)/100,0)</f>
        <v>#DIV/0!</v>
      </c>
      <c r="P107" s="98">
        <f t="shared" si="88"/>
        <v>2.5</v>
      </c>
      <c r="R107" s="97">
        <f t="shared" si="89"/>
        <v>2.5000000000000001E-2</v>
      </c>
      <c r="S107" s="100">
        <f t="shared" si="90"/>
        <v>1</v>
      </c>
      <c r="T107" s="99">
        <f t="shared" ca="1" si="91"/>
        <v>2337</v>
      </c>
      <c r="U107" s="175" t="e">
        <f t="shared" si="92"/>
        <v>#DIV/0!</v>
      </c>
      <c r="V107" s="77" t="e">
        <f>IF(F$16=1,_xll.xCalcSkew($A107,W107-BK107,b)/100,0)</f>
        <v>#DIV/0!</v>
      </c>
      <c r="W107" s="98">
        <f t="shared" si="93"/>
        <v>2.5</v>
      </c>
      <c r="X107" s="99"/>
      <c r="Y107" s="97">
        <f t="shared" si="94"/>
        <v>2.5000000000000001E-2</v>
      </c>
      <c r="Z107" s="100">
        <f t="shared" si="95"/>
        <v>1</v>
      </c>
      <c r="AA107" s="99">
        <f t="shared" ca="1" si="96"/>
        <v>2337</v>
      </c>
      <c r="AB107" s="77" t="e">
        <f t="shared" si="97"/>
        <v>#DIV/0!</v>
      </c>
      <c r="AC107" s="77" t="e">
        <f>IF(H$16=1,_xll.xCalcSkew($A107,AD107-BV107,b)/100,0)</f>
        <v>#DIV/0!</v>
      </c>
      <c r="AD107" s="98">
        <f t="shared" si="98"/>
        <v>2.4900000000000002</v>
      </c>
      <c r="AF107" s="99">
        <f t="shared" ca="1" si="127"/>
        <v>2337</v>
      </c>
      <c r="AG107" s="99">
        <f t="shared" ca="1" si="128"/>
        <v>2336</v>
      </c>
      <c r="AH107" s="77">
        <f t="shared" si="129"/>
        <v>5.4419037593017403E-2</v>
      </c>
      <c r="AI107" s="154">
        <f t="shared" si="99"/>
        <v>30</v>
      </c>
      <c r="AL107" s="99"/>
      <c r="AM107" s="78"/>
      <c r="AN107" s="78">
        <f t="shared" si="100"/>
        <v>0</v>
      </c>
      <c r="AO107" s="303" t="e">
        <f t="shared" si="130"/>
        <v>#DIV/0!</v>
      </c>
      <c r="AP107" s="75">
        <f t="shared" si="101"/>
        <v>0</v>
      </c>
      <c r="AQ107" s="102">
        <f t="shared" si="102"/>
        <v>0</v>
      </c>
      <c r="AR107" s="101">
        <f t="shared" si="103"/>
        <v>0</v>
      </c>
      <c r="AS107" s="101">
        <f t="shared" si="131"/>
        <v>0</v>
      </c>
      <c r="AT107" s="101">
        <f t="shared" si="104"/>
        <v>0</v>
      </c>
      <c r="AU107" s="103">
        <f t="shared" si="132"/>
        <v>0</v>
      </c>
      <c r="AV107" s="103">
        <f t="shared" si="133"/>
        <v>0</v>
      </c>
      <c r="AW107" s="103">
        <f t="shared" si="134"/>
        <v>0</v>
      </c>
      <c r="AY107" s="78">
        <f t="shared" si="105"/>
        <v>0</v>
      </c>
      <c r="AZ107" s="303" t="e">
        <f t="shared" si="135"/>
        <v>#DIV/0!</v>
      </c>
      <c r="BA107" s="75">
        <f t="shared" si="106"/>
        <v>0</v>
      </c>
      <c r="BB107" s="102">
        <f t="shared" si="107"/>
        <v>0</v>
      </c>
      <c r="BC107" s="101">
        <f t="shared" si="108"/>
        <v>0</v>
      </c>
      <c r="BD107" s="101">
        <f t="shared" si="109"/>
        <v>0</v>
      </c>
      <c r="BE107" s="101">
        <f t="shared" si="110"/>
        <v>0</v>
      </c>
      <c r="BF107" s="103">
        <f t="shared" si="136"/>
        <v>0</v>
      </c>
      <c r="BG107" s="103">
        <f t="shared" si="137"/>
        <v>0</v>
      </c>
      <c r="BH107" s="103">
        <f t="shared" si="138"/>
        <v>0</v>
      </c>
      <c r="BJ107" s="78">
        <f t="shared" si="111"/>
        <v>0</v>
      </c>
      <c r="BK107" s="303" t="e">
        <f t="shared" si="139"/>
        <v>#DIV/0!</v>
      </c>
      <c r="BL107" s="75">
        <f t="shared" si="112"/>
        <v>0</v>
      </c>
      <c r="BM107" s="102">
        <f t="shared" si="113"/>
        <v>0</v>
      </c>
      <c r="BN107" s="101">
        <f t="shared" si="114"/>
        <v>0</v>
      </c>
      <c r="BO107" s="101">
        <f t="shared" si="115"/>
        <v>0</v>
      </c>
      <c r="BP107" s="101">
        <f t="shared" si="116"/>
        <v>0</v>
      </c>
      <c r="BQ107" s="103">
        <f t="shared" si="140"/>
        <v>0</v>
      </c>
      <c r="BR107" s="103">
        <f t="shared" si="141"/>
        <v>0</v>
      </c>
      <c r="BS107" s="103">
        <f t="shared" si="142"/>
        <v>0</v>
      </c>
      <c r="BU107" s="78">
        <f t="shared" si="117"/>
        <v>0</v>
      </c>
      <c r="BV107" s="303" t="e">
        <f t="shared" si="143"/>
        <v>#DIV/0!</v>
      </c>
      <c r="BW107" s="75">
        <f t="shared" si="118"/>
        <v>0</v>
      </c>
      <c r="BX107" s="102">
        <f t="shared" si="119"/>
        <v>0</v>
      </c>
      <c r="BY107" s="101">
        <f t="shared" si="120"/>
        <v>0</v>
      </c>
      <c r="BZ107" s="101">
        <f t="shared" si="121"/>
        <v>0</v>
      </c>
      <c r="CA107" s="101">
        <f t="shared" si="122"/>
        <v>0</v>
      </c>
      <c r="CB107" s="103">
        <f t="shared" si="144"/>
        <v>0</v>
      </c>
      <c r="CC107" s="103">
        <f t="shared" si="145"/>
        <v>0</v>
      </c>
      <c r="CD107" s="103">
        <f t="shared" si="146"/>
        <v>0</v>
      </c>
    </row>
    <row r="108" spans="1:82" x14ac:dyDescent="0.25">
      <c r="A108" s="96">
        <f t="shared" ref="A108:A149" si="147">DATE(YEAR(A107),MONTH(A107)+1,1)</f>
        <v>39630</v>
      </c>
      <c r="B108" s="97">
        <f t="shared" si="124"/>
        <v>3.5575000000000001</v>
      </c>
      <c r="C108" s="77">
        <f t="shared" ref="C108:C149" si="148">VLOOKUP(A108,STRADDLE,8,FALSE)</f>
        <v>0.23</v>
      </c>
      <c r="D108" s="97">
        <f t="shared" si="80"/>
        <v>0</v>
      </c>
      <c r="E108" s="100">
        <f t="shared" si="81"/>
        <v>1</v>
      </c>
      <c r="F108" s="99">
        <f t="shared" ca="1" si="126"/>
        <v>2365</v>
      </c>
      <c r="G108" s="77" t="e">
        <f t="shared" ref="G108:G149" si="149">(($C108+H108)*$E108)+B$15</f>
        <v>#DIV/0!</v>
      </c>
      <c r="H108" s="77" t="e">
        <f>IF(B$16=1,_xll.xCalcSkew(A108,I108-AO108,b)/100,0)</f>
        <v>#DIV/0!</v>
      </c>
      <c r="I108" s="98">
        <f t="shared" si="83"/>
        <v>4</v>
      </c>
      <c r="K108" s="97">
        <f t="shared" si="84"/>
        <v>2.75E-2</v>
      </c>
      <c r="L108" s="100">
        <f t="shared" si="85"/>
        <v>1</v>
      </c>
      <c r="M108" s="99">
        <f t="shared" ref="M108:M149" ca="1" si="150">IF(K$28="NYMEX",$AG108,$AF108)</f>
        <v>2366</v>
      </c>
      <c r="N108" s="175" t="e">
        <f t="shared" ref="N108:N149" si="151">(($C108+O108)*$L108)+D$15</f>
        <v>#DIV/0!</v>
      </c>
      <c r="O108" s="77" t="e">
        <f>IF(D$16=1,_xll.xCalcSkew($A108,P108-AZ108,b)/100,0)</f>
        <v>#DIV/0!</v>
      </c>
      <c r="P108" s="98">
        <f t="shared" si="88"/>
        <v>2.5</v>
      </c>
      <c r="R108" s="97">
        <f t="shared" si="89"/>
        <v>2.75E-2</v>
      </c>
      <c r="S108" s="100">
        <f t="shared" si="90"/>
        <v>1</v>
      </c>
      <c r="T108" s="99">
        <f t="shared" ref="T108:T149" ca="1" si="152">IF(R$28="NYMEX",$AG108,$AF108)</f>
        <v>2366</v>
      </c>
      <c r="U108" s="175" t="e">
        <f t="shared" ref="U108:U149" si="153">(($C108+V108)*$S108)+F$15</f>
        <v>#DIV/0!</v>
      </c>
      <c r="V108" s="77" t="e">
        <f>IF(F$16=1,_xll.xCalcSkew($A108,W108-BK108,b)/100,0)</f>
        <v>#DIV/0!</v>
      </c>
      <c r="W108" s="98">
        <f t="shared" si="93"/>
        <v>2.5</v>
      </c>
      <c r="X108" s="99"/>
      <c r="Y108" s="97">
        <f t="shared" si="94"/>
        <v>2.75E-2</v>
      </c>
      <c r="Z108" s="100">
        <f t="shared" si="95"/>
        <v>1</v>
      </c>
      <c r="AA108" s="99">
        <f t="shared" ref="AA108:AA149" ca="1" si="154">IF(Y$28="NYMEX",$AG108,$AF108)</f>
        <v>2366</v>
      </c>
      <c r="AB108" s="77" t="e">
        <f t="shared" ref="AB108:AB149" si="155">(($C108+AC108)*$Z108)+H$15</f>
        <v>#DIV/0!</v>
      </c>
      <c r="AC108" s="77" t="e">
        <f>IF(H$16=1,_xll.xCalcSkew($A108,AD108-BV108,b)/100,0)</f>
        <v>#DIV/0!</v>
      </c>
      <c r="AD108" s="98">
        <f t="shared" si="98"/>
        <v>2.4900000000000002</v>
      </c>
      <c r="AF108" s="99">
        <f t="shared" ca="1" si="127"/>
        <v>2366</v>
      </c>
      <c r="AG108" s="99">
        <f t="shared" ca="1" si="128"/>
        <v>2365</v>
      </c>
      <c r="AH108" s="77">
        <f t="shared" si="129"/>
        <v>5.4594696098345899E-2</v>
      </c>
      <c r="AI108" s="154">
        <f t="shared" si="99"/>
        <v>31</v>
      </c>
      <c r="AL108" s="99"/>
      <c r="AM108" s="78"/>
      <c r="AN108" s="78">
        <f t="shared" ref="AN108:AN149" si="156">IF($A108&gt;=AO$25,IF($A108&lt;=AO$26,$AI108,0),0)</f>
        <v>0</v>
      </c>
      <c r="AO108" s="303" t="e">
        <f t="shared" ref="AO108:AO149" si="157">AQ108/AN108</f>
        <v>#DIV/0!</v>
      </c>
      <c r="AP108" s="75">
        <f t="shared" si="101"/>
        <v>0</v>
      </c>
      <c r="AQ108" s="102">
        <f t="shared" si="102"/>
        <v>0</v>
      </c>
      <c r="AR108" s="101">
        <f t="shared" ref="AR108:AR149" si="158">IF(AN108=0,0,bsd(1,AS$27,AO108,$I108,$F108,$G108,$AH108,0.1))</f>
        <v>0</v>
      </c>
      <c r="AS108" s="101">
        <f t="shared" ref="AS108:AS149" si="159">IF(AN108=0,0,bsd(2,AS$27,AO108,$I108,$F108,$G108,$AH108,0.1))</f>
        <v>0</v>
      </c>
      <c r="AT108" s="101">
        <f t="shared" ref="AT108:AT149" si="160">IF(AN108=0,0,bsd(AS$28,AS$27,AO108,$I108,$F108,$G108,$AH108,0.1))</f>
        <v>0</v>
      </c>
      <c r="AU108" s="103">
        <f t="shared" ref="AU108:AU149" si="161">AN108*AR108</f>
        <v>0</v>
      </c>
      <c r="AV108" s="103">
        <f t="shared" ref="AV108:AV149" si="162">AN108*AS108</f>
        <v>0</v>
      </c>
      <c r="AW108" s="103">
        <f t="shared" ref="AW108:AW149" si="163">AN108*AT108</f>
        <v>0</v>
      </c>
      <c r="AY108" s="78">
        <f t="shared" ref="AY108:AY149" si="164">IF($A108&gt;=AZ$25,IF($A108&lt;=AZ$26,$AI108,0),0)</f>
        <v>0</v>
      </c>
      <c r="AZ108" s="303" t="e">
        <f t="shared" ref="AZ108:AZ149" si="165">BB108/AY108</f>
        <v>#DIV/0!</v>
      </c>
      <c r="BA108" s="75">
        <f t="shared" si="106"/>
        <v>0</v>
      </c>
      <c r="BB108" s="102">
        <f t="shared" si="107"/>
        <v>0</v>
      </c>
      <c r="BC108" s="101">
        <f t="shared" ref="BC108:BC149" si="166">IF(AY108=0,0,bsd(1,BD$27,AZ108,$P108,$M108,$N108,$AH108,0.1))</f>
        <v>0</v>
      </c>
      <c r="BD108" s="101">
        <f t="shared" ref="BD108:BD149" si="167">IF(AY108=0,0,bsd(2,BD$27,AZ108,$P108,$M108,$N108,$AH108,0.1))</f>
        <v>0</v>
      </c>
      <c r="BE108" s="101">
        <f t="shared" ref="BE108:BE149" si="168">IF(AY108=0,0,bsd(BD$28,BD$27,AZ108,$P108,$M108,$N108,$AH108,0.1))</f>
        <v>0</v>
      </c>
      <c r="BF108" s="103">
        <f t="shared" ref="BF108:BF149" si="169">AY108*BC108</f>
        <v>0</v>
      </c>
      <c r="BG108" s="103">
        <f t="shared" ref="BG108:BG149" si="170">AY108*BD108</f>
        <v>0</v>
      </c>
      <c r="BH108" s="103">
        <f t="shared" ref="BH108:BH149" si="171">AY108*BE108</f>
        <v>0</v>
      </c>
      <c r="BJ108" s="78">
        <f t="shared" ref="BJ108:BJ149" si="172">IF($A108&gt;=BK$25,IF($A108&lt;=BK$26,$AI108,0),0)</f>
        <v>0</v>
      </c>
      <c r="BK108" s="303" t="e">
        <f t="shared" ref="BK108:BK149" si="173">BM108/BJ108</f>
        <v>#DIV/0!</v>
      </c>
      <c r="BL108" s="75">
        <f t="shared" si="112"/>
        <v>0</v>
      </c>
      <c r="BM108" s="102">
        <f t="shared" si="113"/>
        <v>0</v>
      </c>
      <c r="BN108" s="101">
        <f t="shared" ref="BN108:BN149" si="174">IF(BJ108=0,0,bsd(1,BO$27,BK108,$W108,$T108,$U108,$AH108,0.1))</f>
        <v>0</v>
      </c>
      <c r="BO108" s="101">
        <f t="shared" ref="BO108:BO149" si="175">IF(BJ108=0,0,bsd(2,BO$27,BK108,$W108,$T108,$U108,$AH108,0.1))</f>
        <v>0</v>
      </c>
      <c r="BP108" s="101">
        <f t="shared" ref="BP108:BP149" si="176">IF(BJ108=0,0,bsd(BO$28,BO$27,BK108,$W108,$T108,$U108,$AH108,0.1))</f>
        <v>0</v>
      </c>
      <c r="BQ108" s="103">
        <f t="shared" ref="BQ108:BQ149" si="177">BJ108*BN108</f>
        <v>0</v>
      </c>
      <c r="BR108" s="103">
        <f t="shared" ref="BR108:BR149" si="178">BJ108*BO108</f>
        <v>0</v>
      </c>
      <c r="BS108" s="103">
        <f t="shared" ref="BS108:BS149" si="179">BJ108*BP108</f>
        <v>0</v>
      </c>
      <c r="BU108" s="78">
        <f t="shared" ref="BU108:BU149" si="180">IF($A108&gt;=BV$25,IF($A108&lt;=BV$26,$AI108,0),0)</f>
        <v>0</v>
      </c>
      <c r="BV108" s="303" t="e">
        <f t="shared" ref="BV108:BV149" si="181">BX108/BU108</f>
        <v>#DIV/0!</v>
      </c>
      <c r="BW108" s="75">
        <f t="shared" si="118"/>
        <v>0</v>
      </c>
      <c r="BX108" s="102">
        <f t="shared" si="119"/>
        <v>0</v>
      </c>
      <c r="BY108" s="101">
        <f t="shared" ref="BY108:BY149" si="182">IF(BU108=0,0,bsd(1,BZ$27,BV108,$AD108,$AA108,$AB108,$AH108,0.1))</f>
        <v>0</v>
      </c>
      <c r="BZ108" s="101">
        <f t="shared" ref="BZ108:BZ149" si="183">IF(BU108=0,0,bsd(2,BZ$27,BV108,$AD108,$AA108,$AB108,$AH108,0.1))</f>
        <v>0</v>
      </c>
      <c r="CA108" s="101">
        <f t="shared" ref="CA108:CA149" si="184">IF(BU108=0,0,bsd(BZ$28,BZ$27,BV108,$AD108,$AA108,$AB108,$AH108,0.1))</f>
        <v>0</v>
      </c>
      <c r="CB108" s="103">
        <f t="shared" ref="CB108:CB149" si="185">BU108*BY108</f>
        <v>0</v>
      </c>
      <c r="CC108" s="103">
        <f t="shared" ref="CC108:CC149" si="186">BU108*BZ108</f>
        <v>0</v>
      </c>
      <c r="CD108" s="103">
        <f t="shared" ref="CD108:CD149" si="187">BU108*CA108</f>
        <v>0</v>
      </c>
    </row>
    <row r="109" spans="1:82" x14ac:dyDescent="0.25">
      <c r="A109" s="96">
        <f t="shared" si="147"/>
        <v>39661</v>
      </c>
      <c r="B109" s="97">
        <f t="shared" si="124"/>
        <v>3.5975000000000001</v>
      </c>
      <c r="C109" s="77">
        <f t="shared" si="148"/>
        <v>0.23</v>
      </c>
      <c r="D109" s="97">
        <f t="shared" si="80"/>
        <v>0</v>
      </c>
      <c r="E109" s="100">
        <f t="shared" si="81"/>
        <v>1</v>
      </c>
      <c r="F109" s="99">
        <f t="shared" ca="1" si="126"/>
        <v>2398</v>
      </c>
      <c r="G109" s="77" t="e">
        <f t="shared" si="149"/>
        <v>#DIV/0!</v>
      </c>
      <c r="H109" s="77" t="e">
        <f>IF(B$16=1,_xll.xCalcSkew(A109,I109-AO109,b)/100,0)</f>
        <v>#DIV/0!</v>
      </c>
      <c r="I109" s="98">
        <f t="shared" si="83"/>
        <v>4</v>
      </c>
      <c r="K109" s="97">
        <f t="shared" si="84"/>
        <v>0.03</v>
      </c>
      <c r="L109" s="100">
        <f t="shared" si="85"/>
        <v>1</v>
      </c>
      <c r="M109" s="99">
        <f t="shared" ca="1" si="150"/>
        <v>2399</v>
      </c>
      <c r="N109" s="175" t="e">
        <f t="shared" si="151"/>
        <v>#DIV/0!</v>
      </c>
      <c r="O109" s="77" t="e">
        <f>IF(D$16=1,_xll.xCalcSkew($A109,P109-AZ109,b)/100,0)</f>
        <v>#DIV/0!</v>
      </c>
      <c r="P109" s="98">
        <f t="shared" si="88"/>
        <v>2.5</v>
      </c>
      <c r="R109" s="97">
        <f t="shared" si="89"/>
        <v>0.03</v>
      </c>
      <c r="S109" s="100">
        <f t="shared" si="90"/>
        <v>1</v>
      </c>
      <c r="T109" s="99">
        <f t="shared" ca="1" si="152"/>
        <v>2399</v>
      </c>
      <c r="U109" s="175" t="e">
        <f t="shared" si="153"/>
        <v>#DIV/0!</v>
      </c>
      <c r="V109" s="77" t="e">
        <f>IF(F$16=1,_xll.xCalcSkew($A109,W109-BK109,b)/100,0)</f>
        <v>#DIV/0!</v>
      </c>
      <c r="W109" s="98">
        <f t="shared" si="93"/>
        <v>2.5</v>
      </c>
      <c r="X109" s="99"/>
      <c r="Y109" s="97">
        <f t="shared" si="94"/>
        <v>0.03</v>
      </c>
      <c r="Z109" s="100">
        <f t="shared" si="95"/>
        <v>1</v>
      </c>
      <c r="AA109" s="99">
        <f t="shared" ca="1" si="154"/>
        <v>2399</v>
      </c>
      <c r="AB109" s="77" t="e">
        <f t="shared" si="155"/>
        <v>#DIV/0!</v>
      </c>
      <c r="AC109" s="77" t="e">
        <f>IF(H$16=1,_xll.xCalcSkew($A109,AD109-BV109,b)/100,0)</f>
        <v>#DIV/0!</v>
      </c>
      <c r="AD109" s="98">
        <f t="shared" si="98"/>
        <v>2.4900000000000002</v>
      </c>
      <c r="AF109" s="99">
        <f t="shared" ca="1" si="127"/>
        <v>2399</v>
      </c>
      <c r="AG109" s="99">
        <f t="shared" ca="1" si="128"/>
        <v>2398</v>
      </c>
      <c r="AH109" s="77">
        <f t="shared" si="129"/>
        <v>5.47762098979847E-2</v>
      </c>
      <c r="AI109" s="154">
        <f t="shared" si="99"/>
        <v>31</v>
      </c>
      <c r="AL109" s="99"/>
      <c r="AM109" s="78"/>
      <c r="AN109" s="78">
        <f t="shared" si="156"/>
        <v>0</v>
      </c>
      <c r="AO109" s="303" t="e">
        <f t="shared" si="157"/>
        <v>#DIV/0!</v>
      </c>
      <c r="AP109" s="75">
        <f t="shared" si="101"/>
        <v>0</v>
      </c>
      <c r="AQ109" s="102">
        <f t="shared" si="102"/>
        <v>0</v>
      </c>
      <c r="AR109" s="101">
        <f t="shared" si="158"/>
        <v>0</v>
      </c>
      <c r="AS109" s="101">
        <f t="shared" si="159"/>
        <v>0</v>
      </c>
      <c r="AT109" s="101">
        <f t="shared" si="160"/>
        <v>0</v>
      </c>
      <c r="AU109" s="103">
        <f t="shared" si="161"/>
        <v>0</v>
      </c>
      <c r="AV109" s="103">
        <f t="shared" si="162"/>
        <v>0</v>
      </c>
      <c r="AW109" s="103">
        <f t="shared" si="163"/>
        <v>0</v>
      </c>
      <c r="AY109" s="78">
        <f t="shared" si="164"/>
        <v>0</v>
      </c>
      <c r="AZ109" s="303" t="e">
        <f t="shared" si="165"/>
        <v>#DIV/0!</v>
      </c>
      <c r="BA109" s="75">
        <f t="shared" si="106"/>
        <v>0</v>
      </c>
      <c r="BB109" s="102">
        <f t="shared" si="107"/>
        <v>0</v>
      </c>
      <c r="BC109" s="101">
        <f t="shared" si="166"/>
        <v>0</v>
      </c>
      <c r="BD109" s="101">
        <f t="shared" si="167"/>
        <v>0</v>
      </c>
      <c r="BE109" s="101">
        <f t="shared" si="168"/>
        <v>0</v>
      </c>
      <c r="BF109" s="103">
        <f t="shared" si="169"/>
        <v>0</v>
      </c>
      <c r="BG109" s="103">
        <f t="shared" si="170"/>
        <v>0</v>
      </c>
      <c r="BH109" s="103">
        <f t="shared" si="171"/>
        <v>0</v>
      </c>
      <c r="BJ109" s="78">
        <f t="shared" si="172"/>
        <v>0</v>
      </c>
      <c r="BK109" s="303" t="e">
        <f t="shared" si="173"/>
        <v>#DIV/0!</v>
      </c>
      <c r="BL109" s="75">
        <f t="shared" si="112"/>
        <v>0</v>
      </c>
      <c r="BM109" s="102">
        <f t="shared" si="113"/>
        <v>0</v>
      </c>
      <c r="BN109" s="101">
        <f t="shared" si="174"/>
        <v>0</v>
      </c>
      <c r="BO109" s="101">
        <f t="shared" si="175"/>
        <v>0</v>
      </c>
      <c r="BP109" s="101">
        <f t="shared" si="176"/>
        <v>0</v>
      </c>
      <c r="BQ109" s="103">
        <f t="shared" si="177"/>
        <v>0</v>
      </c>
      <c r="BR109" s="103">
        <f t="shared" si="178"/>
        <v>0</v>
      </c>
      <c r="BS109" s="103">
        <f t="shared" si="179"/>
        <v>0</v>
      </c>
      <c r="BU109" s="78">
        <f t="shared" si="180"/>
        <v>0</v>
      </c>
      <c r="BV109" s="303" t="e">
        <f t="shared" si="181"/>
        <v>#DIV/0!</v>
      </c>
      <c r="BW109" s="75">
        <f t="shared" si="118"/>
        <v>0</v>
      </c>
      <c r="BX109" s="102">
        <f t="shared" si="119"/>
        <v>0</v>
      </c>
      <c r="BY109" s="101">
        <f t="shared" si="182"/>
        <v>0</v>
      </c>
      <c r="BZ109" s="101">
        <f t="shared" si="183"/>
        <v>0</v>
      </c>
      <c r="CA109" s="101">
        <f t="shared" si="184"/>
        <v>0</v>
      </c>
      <c r="CB109" s="103">
        <f t="shared" si="185"/>
        <v>0</v>
      </c>
      <c r="CC109" s="103">
        <f t="shared" si="186"/>
        <v>0</v>
      </c>
      <c r="CD109" s="103">
        <f t="shared" si="187"/>
        <v>0</v>
      </c>
    </row>
    <row r="110" spans="1:82" x14ac:dyDescent="0.25">
      <c r="A110" s="96">
        <f t="shared" si="147"/>
        <v>39692</v>
      </c>
      <c r="B110" s="97">
        <f t="shared" si="124"/>
        <v>3.5924999999999998</v>
      </c>
      <c r="C110" s="77">
        <f t="shared" si="148"/>
        <v>0.23</v>
      </c>
      <c r="D110" s="97">
        <f t="shared" si="80"/>
        <v>0</v>
      </c>
      <c r="E110" s="100">
        <f t="shared" si="81"/>
        <v>1</v>
      </c>
      <c r="F110" s="99">
        <f t="shared" ca="1" si="126"/>
        <v>2427</v>
      </c>
      <c r="G110" s="77" t="e">
        <f t="shared" si="149"/>
        <v>#DIV/0!</v>
      </c>
      <c r="H110" s="77" t="e">
        <f>IF(B$16=1,_xll.xCalcSkew(A110,I110-AO110,b)/100,0)</f>
        <v>#DIV/0!</v>
      </c>
      <c r="I110" s="98">
        <f t="shared" si="83"/>
        <v>4</v>
      </c>
      <c r="K110" s="97">
        <f t="shared" si="84"/>
        <v>2.2499999999999999E-2</v>
      </c>
      <c r="L110" s="100">
        <f t="shared" si="85"/>
        <v>1</v>
      </c>
      <c r="M110" s="99">
        <f t="shared" ca="1" si="150"/>
        <v>2428</v>
      </c>
      <c r="N110" s="175" t="e">
        <f t="shared" si="151"/>
        <v>#DIV/0!</v>
      </c>
      <c r="O110" s="77" t="e">
        <f>IF(D$16=1,_xll.xCalcSkew($A110,P110-AZ110,b)/100,0)</f>
        <v>#DIV/0!</v>
      </c>
      <c r="P110" s="98">
        <f t="shared" si="88"/>
        <v>2.5</v>
      </c>
      <c r="R110" s="97">
        <f t="shared" si="89"/>
        <v>2.2499999999999999E-2</v>
      </c>
      <c r="S110" s="100">
        <f t="shared" si="90"/>
        <v>1</v>
      </c>
      <c r="T110" s="99">
        <f t="shared" ca="1" si="152"/>
        <v>2428</v>
      </c>
      <c r="U110" s="175" t="e">
        <f t="shared" si="153"/>
        <v>#DIV/0!</v>
      </c>
      <c r="V110" s="77" t="e">
        <f>IF(F$16=1,_xll.xCalcSkew($A110,W110-BK110,b)/100,0)</f>
        <v>#DIV/0!</v>
      </c>
      <c r="W110" s="98">
        <f t="shared" si="93"/>
        <v>2.5</v>
      </c>
      <c r="X110" s="99"/>
      <c r="Y110" s="97">
        <f t="shared" si="94"/>
        <v>2.2499999999999999E-2</v>
      </c>
      <c r="Z110" s="100">
        <f t="shared" si="95"/>
        <v>1</v>
      </c>
      <c r="AA110" s="99">
        <f t="shared" ca="1" si="154"/>
        <v>2428</v>
      </c>
      <c r="AB110" s="77" t="e">
        <f t="shared" si="155"/>
        <v>#DIV/0!</v>
      </c>
      <c r="AC110" s="77" t="e">
        <f>IF(H$16=1,_xll.xCalcSkew($A110,AD110-BV110,b)/100,0)</f>
        <v>#DIV/0!</v>
      </c>
      <c r="AD110" s="98">
        <f t="shared" si="98"/>
        <v>2.4900000000000002</v>
      </c>
      <c r="AF110" s="99">
        <f t="shared" ca="1" si="127"/>
        <v>2428</v>
      </c>
      <c r="AG110" s="99">
        <f t="shared" ca="1" si="128"/>
        <v>2427</v>
      </c>
      <c r="AH110" s="77">
        <f t="shared" si="129"/>
        <v>5.4957723708598298E-2</v>
      </c>
      <c r="AI110" s="154">
        <f t="shared" si="99"/>
        <v>30</v>
      </c>
      <c r="AL110" s="99"/>
      <c r="AM110" s="78"/>
      <c r="AN110" s="78">
        <f t="shared" si="156"/>
        <v>0</v>
      </c>
      <c r="AO110" s="303" t="e">
        <f t="shared" si="157"/>
        <v>#DIV/0!</v>
      </c>
      <c r="AP110" s="75">
        <f t="shared" si="101"/>
        <v>0</v>
      </c>
      <c r="AQ110" s="102">
        <f t="shared" si="102"/>
        <v>0</v>
      </c>
      <c r="AR110" s="101">
        <f t="shared" si="158"/>
        <v>0</v>
      </c>
      <c r="AS110" s="101">
        <f t="shared" si="159"/>
        <v>0</v>
      </c>
      <c r="AT110" s="101">
        <f t="shared" si="160"/>
        <v>0</v>
      </c>
      <c r="AU110" s="103">
        <f t="shared" si="161"/>
        <v>0</v>
      </c>
      <c r="AV110" s="103">
        <f t="shared" si="162"/>
        <v>0</v>
      </c>
      <c r="AW110" s="103">
        <f t="shared" si="163"/>
        <v>0</v>
      </c>
      <c r="AY110" s="78">
        <f t="shared" si="164"/>
        <v>0</v>
      </c>
      <c r="AZ110" s="303" t="e">
        <f t="shared" si="165"/>
        <v>#DIV/0!</v>
      </c>
      <c r="BA110" s="75">
        <f t="shared" si="106"/>
        <v>0</v>
      </c>
      <c r="BB110" s="102">
        <f t="shared" si="107"/>
        <v>0</v>
      </c>
      <c r="BC110" s="101">
        <f t="shared" si="166"/>
        <v>0</v>
      </c>
      <c r="BD110" s="101">
        <f t="shared" si="167"/>
        <v>0</v>
      </c>
      <c r="BE110" s="101">
        <f t="shared" si="168"/>
        <v>0</v>
      </c>
      <c r="BF110" s="103">
        <f t="shared" si="169"/>
        <v>0</v>
      </c>
      <c r="BG110" s="103">
        <f t="shared" si="170"/>
        <v>0</v>
      </c>
      <c r="BH110" s="103">
        <f t="shared" si="171"/>
        <v>0</v>
      </c>
      <c r="BJ110" s="78">
        <f t="shared" si="172"/>
        <v>0</v>
      </c>
      <c r="BK110" s="303" t="e">
        <f t="shared" si="173"/>
        <v>#DIV/0!</v>
      </c>
      <c r="BL110" s="75">
        <f t="shared" si="112"/>
        <v>0</v>
      </c>
      <c r="BM110" s="102">
        <f t="shared" si="113"/>
        <v>0</v>
      </c>
      <c r="BN110" s="101">
        <f t="shared" si="174"/>
        <v>0</v>
      </c>
      <c r="BO110" s="101">
        <f t="shared" si="175"/>
        <v>0</v>
      </c>
      <c r="BP110" s="101">
        <f t="shared" si="176"/>
        <v>0</v>
      </c>
      <c r="BQ110" s="103">
        <f t="shared" si="177"/>
        <v>0</v>
      </c>
      <c r="BR110" s="103">
        <f t="shared" si="178"/>
        <v>0</v>
      </c>
      <c r="BS110" s="103">
        <f t="shared" si="179"/>
        <v>0</v>
      </c>
      <c r="BU110" s="78">
        <f t="shared" si="180"/>
        <v>0</v>
      </c>
      <c r="BV110" s="303" t="e">
        <f t="shared" si="181"/>
        <v>#DIV/0!</v>
      </c>
      <c r="BW110" s="75">
        <f t="shared" si="118"/>
        <v>0</v>
      </c>
      <c r="BX110" s="102">
        <f t="shared" si="119"/>
        <v>0</v>
      </c>
      <c r="BY110" s="101">
        <f t="shared" si="182"/>
        <v>0</v>
      </c>
      <c r="BZ110" s="101">
        <f t="shared" si="183"/>
        <v>0</v>
      </c>
      <c r="CA110" s="101">
        <f t="shared" si="184"/>
        <v>0</v>
      </c>
      <c r="CB110" s="103">
        <f t="shared" si="185"/>
        <v>0</v>
      </c>
      <c r="CC110" s="103">
        <f t="shared" si="186"/>
        <v>0</v>
      </c>
      <c r="CD110" s="103">
        <f t="shared" si="187"/>
        <v>0</v>
      </c>
    </row>
    <row r="111" spans="1:82" x14ac:dyDescent="0.25">
      <c r="A111" s="96">
        <f t="shared" si="147"/>
        <v>39722</v>
      </c>
      <c r="B111" s="97">
        <f t="shared" si="124"/>
        <v>3.6175000000000002</v>
      </c>
      <c r="C111" s="77">
        <f t="shared" si="148"/>
        <v>0.23</v>
      </c>
      <c r="D111" s="97">
        <f t="shared" si="80"/>
        <v>0</v>
      </c>
      <c r="E111" s="100">
        <f t="shared" si="81"/>
        <v>1</v>
      </c>
      <c r="F111" s="99">
        <f t="shared" ca="1" si="126"/>
        <v>2457</v>
      </c>
      <c r="G111" s="77" t="e">
        <f t="shared" si="149"/>
        <v>#DIV/0!</v>
      </c>
      <c r="H111" s="77" t="e">
        <f>IF(B$16=1,_xll.xCalcSkew(A111,I111-AO111,b)/100,0)</f>
        <v>#DIV/0!</v>
      </c>
      <c r="I111" s="98">
        <f t="shared" si="83"/>
        <v>4</v>
      </c>
      <c r="K111" s="97">
        <f t="shared" si="84"/>
        <v>1.2500000000000001E-2</v>
      </c>
      <c r="L111" s="100">
        <f t="shared" si="85"/>
        <v>1</v>
      </c>
      <c r="M111" s="99">
        <f t="shared" ca="1" si="150"/>
        <v>2458</v>
      </c>
      <c r="N111" s="175" t="e">
        <f t="shared" si="151"/>
        <v>#DIV/0!</v>
      </c>
      <c r="O111" s="77" t="e">
        <f>IF(D$16=1,_xll.xCalcSkew($A111,P111-AZ111,b)/100,0)</f>
        <v>#DIV/0!</v>
      </c>
      <c r="P111" s="98">
        <f t="shared" si="88"/>
        <v>2.5</v>
      </c>
      <c r="R111" s="97">
        <f t="shared" si="89"/>
        <v>1.2500000000000001E-2</v>
      </c>
      <c r="S111" s="100">
        <f t="shared" si="90"/>
        <v>1</v>
      </c>
      <c r="T111" s="99">
        <f t="shared" ca="1" si="152"/>
        <v>2458</v>
      </c>
      <c r="U111" s="175" t="e">
        <f t="shared" si="153"/>
        <v>#DIV/0!</v>
      </c>
      <c r="V111" s="77" t="e">
        <f>IF(F$16=1,_xll.xCalcSkew($A111,W111-BK111,b)/100,0)</f>
        <v>#DIV/0!</v>
      </c>
      <c r="W111" s="98">
        <f t="shared" si="93"/>
        <v>2.5</v>
      </c>
      <c r="X111" s="99"/>
      <c r="Y111" s="97">
        <f t="shared" si="94"/>
        <v>1.2500000000000001E-2</v>
      </c>
      <c r="Z111" s="100">
        <f t="shared" si="95"/>
        <v>1</v>
      </c>
      <c r="AA111" s="99">
        <f t="shared" ca="1" si="154"/>
        <v>2458</v>
      </c>
      <c r="AB111" s="77" t="e">
        <f t="shared" si="155"/>
        <v>#DIV/0!</v>
      </c>
      <c r="AC111" s="77" t="e">
        <f>IF(H$16=1,_xll.xCalcSkew($A111,AD111-BV111,b)/100,0)</f>
        <v>#DIV/0!</v>
      </c>
      <c r="AD111" s="98">
        <f t="shared" si="98"/>
        <v>2.4900000000000002</v>
      </c>
      <c r="AF111" s="99">
        <f t="shared" ca="1" si="127"/>
        <v>2458</v>
      </c>
      <c r="AG111" s="99">
        <f t="shared" ca="1" si="128"/>
        <v>2457</v>
      </c>
      <c r="AH111" s="77">
        <f t="shared" si="129"/>
        <v>5.51333822454474E-2</v>
      </c>
      <c r="AI111" s="154">
        <f t="shared" si="99"/>
        <v>31</v>
      </c>
      <c r="AL111" s="99"/>
      <c r="AM111" s="78"/>
      <c r="AN111" s="78">
        <f t="shared" si="156"/>
        <v>0</v>
      </c>
      <c r="AO111" s="303" t="e">
        <f t="shared" si="157"/>
        <v>#DIV/0!</v>
      </c>
      <c r="AP111" s="75">
        <f t="shared" si="101"/>
        <v>0</v>
      </c>
      <c r="AQ111" s="102">
        <f t="shared" si="102"/>
        <v>0</v>
      </c>
      <c r="AR111" s="101">
        <f t="shared" si="158"/>
        <v>0</v>
      </c>
      <c r="AS111" s="101">
        <f t="shared" si="159"/>
        <v>0</v>
      </c>
      <c r="AT111" s="101">
        <f t="shared" si="160"/>
        <v>0</v>
      </c>
      <c r="AU111" s="103">
        <f t="shared" si="161"/>
        <v>0</v>
      </c>
      <c r="AV111" s="103">
        <f t="shared" si="162"/>
        <v>0</v>
      </c>
      <c r="AW111" s="103">
        <f t="shared" si="163"/>
        <v>0</v>
      </c>
      <c r="AY111" s="78">
        <f t="shared" si="164"/>
        <v>0</v>
      </c>
      <c r="AZ111" s="303" t="e">
        <f t="shared" si="165"/>
        <v>#DIV/0!</v>
      </c>
      <c r="BA111" s="75">
        <f t="shared" si="106"/>
        <v>0</v>
      </c>
      <c r="BB111" s="102">
        <f t="shared" si="107"/>
        <v>0</v>
      </c>
      <c r="BC111" s="101">
        <f t="shared" si="166"/>
        <v>0</v>
      </c>
      <c r="BD111" s="101">
        <f t="shared" si="167"/>
        <v>0</v>
      </c>
      <c r="BE111" s="101">
        <f t="shared" si="168"/>
        <v>0</v>
      </c>
      <c r="BF111" s="103">
        <f t="shared" si="169"/>
        <v>0</v>
      </c>
      <c r="BG111" s="103">
        <f t="shared" si="170"/>
        <v>0</v>
      </c>
      <c r="BH111" s="103">
        <f t="shared" si="171"/>
        <v>0</v>
      </c>
      <c r="BJ111" s="78">
        <f t="shared" si="172"/>
        <v>0</v>
      </c>
      <c r="BK111" s="303" t="e">
        <f t="shared" si="173"/>
        <v>#DIV/0!</v>
      </c>
      <c r="BL111" s="75">
        <f t="shared" si="112"/>
        <v>0</v>
      </c>
      <c r="BM111" s="102">
        <f t="shared" si="113"/>
        <v>0</v>
      </c>
      <c r="BN111" s="101">
        <f t="shared" si="174"/>
        <v>0</v>
      </c>
      <c r="BO111" s="101">
        <f t="shared" si="175"/>
        <v>0</v>
      </c>
      <c r="BP111" s="101">
        <f t="shared" si="176"/>
        <v>0</v>
      </c>
      <c r="BQ111" s="103">
        <f t="shared" si="177"/>
        <v>0</v>
      </c>
      <c r="BR111" s="103">
        <f t="shared" si="178"/>
        <v>0</v>
      </c>
      <c r="BS111" s="103">
        <f t="shared" si="179"/>
        <v>0</v>
      </c>
      <c r="BU111" s="78">
        <f t="shared" si="180"/>
        <v>0</v>
      </c>
      <c r="BV111" s="303" t="e">
        <f t="shared" si="181"/>
        <v>#DIV/0!</v>
      </c>
      <c r="BW111" s="75">
        <f t="shared" si="118"/>
        <v>0</v>
      </c>
      <c r="BX111" s="102">
        <f t="shared" si="119"/>
        <v>0</v>
      </c>
      <c r="BY111" s="101">
        <f t="shared" si="182"/>
        <v>0</v>
      </c>
      <c r="BZ111" s="101">
        <f t="shared" si="183"/>
        <v>0</v>
      </c>
      <c r="CA111" s="101">
        <f t="shared" si="184"/>
        <v>0</v>
      </c>
      <c r="CB111" s="103">
        <f t="shared" si="185"/>
        <v>0</v>
      </c>
      <c r="CC111" s="103">
        <f t="shared" si="186"/>
        <v>0</v>
      </c>
      <c r="CD111" s="103">
        <f t="shared" si="187"/>
        <v>0</v>
      </c>
    </row>
    <row r="112" spans="1:82" x14ac:dyDescent="0.25">
      <c r="A112" s="96">
        <f t="shared" si="147"/>
        <v>39753</v>
      </c>
      <c r="B112" s="97">
        <f t="shared" si="124"/>
        <v>3.7694999999999999</v>
      </c>
      <c r="C112" s="77">
        <f t="shared" si="148"/>
        <v>0.23</v>
      </c>
      <c r="D112" s="97">
        <f t="shared" si="80"/>
        <v>0</v>
      </c>
      <c r="E112" s="100">
        <f t="shared" si="81"/>
        <v>1</v>
      </c>
      <c r="F112" s="99">
        <f t="shared" ca="1" si="126"/>
        <v>2490</v>
      </c>
      <c r="G112" s="77" t="e">
        <f t="shared" si="149"/>
        <v>#DIV/0!</v>
      </c>
      <c r="H112" s="77" t="e">
        <f>IF(B$16=1,_xll.xCalcSkew(A112,I112-AO112,b)/100,0)</f>
        <v>#DIV/0!</v>
      </c>
      <c r="I112" s="98">
        <f t="shared" si="83"/>
        <v>4</v>
      </c>
      <c r="K112" s="97">
        <f t="shared" si="84"/>
        <v>-2.2499999999999999E-2</v>
      </c>
      <c r="L112" s="100">
        <f t="shared" si="85"/>
        <v>1</v>
      </c>
      <c r="M112" s="99">
        <f t="shared" ca="1" si="150"/>
        <v>2491</v>
      </c>
      <c r="N112" s="175" t="e">
        <f t="shared" si="151"/>
        <v>#DIV/0!</v>
      </c>
      <c r="O112" s="77" t="e">
        <f>IF(D$16=1,_xll.xCalcSkew($A112,P112-AZ112,b)/100,0)</f>
        <v>#DIV/0!</v>
      </c>
      <c r="P112" s="98">
        <f t="shared" si="88"/>
        <v>2.5</v>
      </c>
      <c r="R112" s="97">
        <f t="shared" si="89"/>
        <v>-2.2499999999999999E-2</v>
      </c>
      <c r="S112" s="100">
        <f t="shared" si="90"/>
        <v>1</v>
      </c>
      <c r="T112" s="99">
        <f t="shared" ca="1" si="152"/>
        <v>2491</v>
      </c>
      <c r="U112" s="175" t="e">
        <f t="shared" si="153"/>
        <v>#DIV/0!</v>
      </c>
      <c r="V112" s="77" t="e">
        <f>IF(F$16=1,_xll.xCalcSkew($A112,W112-BK112,b)/100,0)</f>
        <v>#DIV/0!</v>
      </c>
      <c r="W112" s="98">
        <f t="shared" si="93"/>
        <v>2.5</v>
      </c>
      <c r="X112" s="99"/>
      <c r="Y112" s="97">
        <f t="shared" si="94"/>
        <v>-2.2499999999999999E-2</v>
      </c>
      <c r="Z112" s="100">
        <f t="shared" si="95"/>
        <v>1</v>
      </c>
      <c r="AA112" s="99">
        <f t="shared" ca="1" si="154"/>
        <v>2491</v>
      </c>
      <c r="AB112" s="77" t="e">
        <f t="shared" si="155"/>
        <v>#DIV/0!</v>
      </c>
      <c r="AC112" s="77" t="e">
        <f>IF(H$16=1,_xll.xCalcSkew($A112,AD112-BV112,b)/100,0)</f>
        <v>#DIV/0!</v>
      </c>
      <c r="AD112" s="98">
        <f t="shared" si="98"/>
        <v>2.4900000000000002</v>
      </c>
      <c r="AF112" s="99">
        <f t="shared" ca="1" si="127"/>
        <v>2491</v>
      </c>
      <c r="AG112" s="99">
        <f t="shared" ca="1" si="128"/>
        <v>2490</v>
      </c>
      <c r="AH112" s="77">
        <f t="shared" si="129"/>
        <v>5.5314896077653899E-2</v>
      </c>
      <c r="AI112" s="154">
        <f t="shared" si="99"/>
        <v>30</v>
      </c>
      <c r="AL112" s="99"/>
      <c r="AM112" s="78"/>
      <c r="AN112" s="78">
        <f t="shared" si="156"/>
        <v>0</v>
      </c>
      <c r="AO112" s="303" t="e">
        <f t="shared" si="157"/>
        <v>#DIV/0!</v>
      </c>
      <c r="AP112" s="75">
        <f t="shared" si="101"/>
        <v>0</v>
      </c>
      <c r="AQ112" s="102">
        <f t="shared" si="102"/>
        <v>0</v>
      </c>
      <c r="AR112" s="101">
        <f t="shared" si="158"/>
        <v>0</v>
      </c>
      <c r="AS112" s="101">
        <f t="shared" si="159"/>
        <v>0</v>
      </c>
      <c r="AT112" s="101">
        <f t="shared" si="160"/>
        <v>0</v>
      </c>
      <c r="AU112" s="103">
        <f t="shared" si="161"/>
        <v>0</v>
      </c>
      <c r="AV112" s="103">
        <f t="shared" si="162"/>
        <v>0</v>
      </c>
      <c r="AW112" s="103">
        <f t="shared" si="163"/>
        <v>0</v>
      </c>
      <c r="AY112" s="78">
        <f t="shared" si="164"/>
        <v>0</v>
      </c>
      <c r="AZ112" s="303" t="e">
        <f t="shared" si="165"/>
        <v>#DIV/0!</v>
      </c>
      <c r="BA112" s="75">
        <f t="shared" si="106"/>
        <v>0</v>
      </c>
      <c r="BB112" s="102">
        <f t="shared" si="107"/>
        <v>0</v>
      </c>
      <c r="BC112" s="101">
        <f t="shared" si="166"/>
        <v>0</v>
      </c>
      <c r="BD112" s="101">
        <f t="shared" si="167"/>
        <v>0</v>
      </c>
      <c r="BE112" s="101">
        <f t="shared" si="168"/>
        <v>0</v>
      </c>
      <c r="BF112" s="103">
        <f t="shared" si="169"/>
        <v>0</v>
      </c>
      <c r="BG112" s="103">
        <f t="shared" si="170"/>
        <v>0</v>
      </c>
      <c r="BH112" s="103">
        <f t="shared" si="171"/>
        <v>0</v>
      </c>
      <c r="BJ112" s="78">
        <f t="shared" si="172"/>
        <v>0</v>
      </c>
      <c r="BK112" s="303" t="e">
        <f t="shared" si="173"/>
        <v>#DIV/0!</v>
      </c>
      <c r="BL112" s="75">
        <f t="shared" si="112"/>
        <v>0</v>
      </c>
      <c r="BM112" s="102">
        <f t="shared" si="113"/>
        <v>0</v>
      </c>
      <c r="BN112" s="101">
        <f t="shared" si="174"/>
        <v>0</v>
      </c>
      <c r="BO112" s="101">
        <f t="shared" si="175"/>
        <v>0</v>
      </c>
      <c r="BP112" s="101">
        <f t="shared" si="176"/>
        <v>0</v>
      </c>
      <c r="BQ112" s="103">
        <f t="shared" si="177"/>
        <v>0</v>
      </c>
      <c r="BR112" s="103">
        <f t="shared" si="178"/>
        <v>0</v>
      </c>
      <c r="BS112" s="103">
        <f t="shared" si="179"/>
        <v>0</v>
      </c>
      <c r="BU112" s="78">
        <f t="shared" si="180"/>
        <v>0</v>
      </c>
      <c r="BV112" s="303" t="e">
        <f t="shared" si="181"/>
        <v>#DIV/0!</v>
      </c>
      <c r="BW112" s="75">
        <f t="shared" si="118"/>
        <v>0</v>
      </c>
      <c r="BX112" s="102">
        <f t="shared" si="119"/>
        <v>0</v>
      </c>
      <c r="BY112" s="101">
        <f t="shared" si="182"/>
        <v>0</v>
      </c>
      <c r="BZ112" s="101">
        <f t="shared" si="183"/>
        <v>0</v>
      </c>
      <c r="CA112" s="101">
        <f t="shared" si="184"/>
        <v>0</v>
      </c>
      <c r="CB112" s="103">
        <f t="shared" si="185"/>
        <v>0</v>
      </c>
      <c r="CC112" s="103">
        <f t="shared" si="186"/>
        <v>0</v>
      </c>
      <c r="CD112" s="103">
        <f t="shared" si="187"/>
        <v>0</v>
      </c>
    </row>
    <row r="113" spans="1:82" x14ac:dyDescent="0.25">
      <c r="A113" s="96">
        <f t="shared" si="147"/>
        <v>39783</v>
      </c>
      <c r="B113" s="97">
        <f t="shared" si="124"/>
        <v>3.9125000000000001</v>
      </c>
      <c r="C113" s="77">
        <f t="shared" si="148"/>
        <v>0.23</v>
      </c>
      <c r="D113" s="97">
        <f t="shared" si="80"/>
        <v>0</v>
      </c>
      <c r="E113" s="100">
        <f t="shared" si="81"/>
        <v>1</v>
      </c>
      <c r="F113" s="99">
        <f t="shared" ca="1" si="126"/>
        <v>2517</v>
      </c>
      <c r="G113" s="77" t="e">
        <f t="shared" si="149"/>
        <v>#DIV/0!</v>
      </c>
      <c r="H113" s="77" t="e">
        <f>IF(B$16=1,_xll.xCalcSkew(A113,I113-AO113,b)/100,0)</f>
        <v>#DIV/0!</v>
      </c>
      <c r="I113" s="98">
        <f t="shared" si="83"/>
        <v>4</v>
      </c>
      <c r="K113" s="97">
        <f t="shared" si="84"/>
        <v>-4.4999999999999998E-2</v>
      </c>
      <c r="L113" s="100">
        <f t="shared" si="85"/>
        <v>1</v>
      </c>
      <c r="M113" s="99">
        <f t="shared" ca="1" si="150"/>
        <v>2518</v>
      </c>
      <c r="N113" s="175" t="e">
        <f t="shared" si="151"/>
        <v>#DIV/0!</v>
      </c>
      <c r="O113" s="77" t="e">
        <f>IF(D$16=1,_xll.xCalcSkew($A113,P113-AZ113,b)/100,0)</f>
        <v>#DIV/0!</v>
      </c>
      <c r="P113" s="98">
        <f t="shared" si="88"/>
        <v>2.5</v>
      </c>
      <c r="R113" s="97">
        <f t="shared" si="89"/>
        <v>-4.4999999999999998E-2</v>
      </c>
      <c r="S113" s="100">
        <f t="shared" si="90"/>
        <v>1</v>
      </c>
      <c r="T113" s="99">
        <f t="shared" ca="1" si="152"/>
        <v>2518</v>
      </c>
      <c r="U113" s="175" t="e">
        <f t="shared" si="153"/>
        <v>#DIV/0!</v>
      </c>
      <c r="V113" s="77" t="e">
        <f>IF(F$16=1,_xll.xCalcSkew($A113,W113-BK113,b)/100,0)</f>
        <v>#DIV/0!</v>
      </c>
      <c r="W113" s="98">
        <f t="shared" si="93"/>
        <v>2.5</v>
      </c>
      <c r="X113" s="99"/>
      <c r="Y113" s="97">
        <f t="shared" si="94"/>
        <v>-4.4999999999999998E-2</v>
      </c>
      <c r="Z113" s="100">
        <f t="shared" si="95"/>
        <v>1</v>
      </c>
      <c r="AA113" s="99">
        <f t="shared" ca="1" si="154"/>
        <v>2518</v>
      </c>
      <c r="AB113" s="77" t="e">
        <f t="shared" si="155"/>
        <v>#DIV/0!</v>
      </c>
      <c r="AC113" s="77" t="e">
        <f>IF(H$16=1,_xll.xCalcSkew($A113,AD113-BV113,b)/100,0)</f>
        <v>#DIV/0!</v>
      </c>
      <c r="AD113" s="98">
        <f t="shared" si="98"/>
        <v>2.4900000000000002</v>
      </c>
      <c r="AF113" s="99">
        <f t="shared" ca="1" si="127"/>
        <v>2518</v>
      </c>
      <c r="AG113" s="99">
        <f t="shared" ca="1" si="128"/>
        <v>2517</v>
      </c>
      <c r="AH113" s="77">
        <f t="shared" si="129"/>
        <v>5.5490554635397898E-2</v>
      </c>
      <c r="AI113" s="154">
        <f t="shared" si="99"/>
        <v>31</v>
      </c>
      <c r="AL113" s="99"/>
      <c r="AM113" s="78"/>
      <c r="AN113" s="78">
        <f t="shared" si="156"/>
        <v>0</v>
      </c>
      <c r="AO113" s="303" t="e">
        <f t="shared" si="157"/>
        <v>#DIV/0!</v>
      </c>
      <c r="AP113" s="75">
        <f t="shared" si="101"/>
        <v>0</v>
      </c>
      <c r="AQ113" s="102">
        <f t="shared" si="102"/>
        <v>0</v>
      </c>
      <c r="AR113" s="101">
        <f t="shared" si="158"/>
        <v>0</v>
      </c>
      <c r="AS113" s="101">
        <f t="shared" si="159"/>
        <v>0</v>
      </c>
      <c r="AT113" s="101">
        <f t="shared" si="160"/>
        <v>0</v>
      </c>
      <c r="AU113" s="103">
        <f t="shared" si="161"/>
        <v>0</v>
      </c>
      <c r="AV113" s="103">
        <f t="shared" si="162"/>
        <v>0</v>
      </c>
      <c r="AW113" s="103">
        <f t="shared" si="163"/>
        <v>0</v>
      </c>
      <c r="AY113" s="78">
        <f t="shared" si="164"/>
        <v>0</v>
      </c>
      <c r="AZ113" s="303" t="e">
        <f t="shared" si="165"/>
        <v>#DIV/0!</v>
      </c>
      <c r="BA113" s="75">
        <f t="shared" si="106"/>
        <v>0</v>
      </c>
      <c r="BB113" s="102">
        <f t="shared" si="107"/>
        <v>0</v>
      </c>
      <c r="BC113" s="101">
        <f t="shared" si="166"/>
        <v>0</v>
      </c>
      <c r="BD113" s="101">
        <f t="shared" si="167"/>
        <v>0</v>
      </c>
      <c r="BE113" s="101">
        <f t="shared" si="168"/>
        <v>0</v>
      </c>
      <c r="BF113" s="103">
        <f t="shared" si="169"/>
        <v>0</v>
      </c>
      <c r="BG113" s="103">
        <f t="shared" si="170"/>
        <v>0</v>
      </c>
      <c r="BH113" s="103">
        <f t="shared" si="171"/>
        <v>0</v>
      </c>
      <c r="BJ113" s="78">
        <f t="shared" si="172"/>
        <v>0</v>
      </c>
      <c r="BK113" s="303" t="e">
        <f t="shared" si="173"/>
        <v>#DIV/0!</v>
      </c>
      <c r="BL113" s="75">
        <f t="shared" si="112"/>
        <v>0</v>
      </c>
      <c r="BM113" s="102">
        <f t="shared" si="113"/>
        <v>0</v>
      </c>
      <c r="BN113" s="101">
        <f t="shared" si="174"/>
        <v>0</v>
      </c>
      <c r="BO113" s="101">
        <f t="shared" si="175"/>
        <v>0</v>
      </c>
      <c r="BP113" s="101">
        <f t="shared" si="176"/>
        <v>0</v>
      </c>
      <c r="BQ113" s="103">
        <f t="shared" si="177"/>
        <v>0</v>
      </c>
      <c r="BR113" s="103">
        <f t="shared" si="178"/>
        <v>0</v>
      </c>
      <c r="BS113" s="103">
        <f t="shared" si="179"/>
        <v>0</v>
      </c>
      <c r="BU113" s="78">
        <f t="shared" si="180"/>
        <v>0</v>
      </c>
      <c r="BV113" s="303" t="e">
        <f t="shared" si="181"/>
        <v>#DIV/0!</v>
      </c>
      <c r="BW113" s="75">
        <f t="shared" si="118"/>
        <v>0</v>
      </c>
      <c r="BX113" s="102">
        <f t="shared" si="119"/>
        <v>0</v>
      </c>
      <c r="BY113" s="101">
        <f t="shared" si="182"/>
        <v>0</v>
      </c>
      <c r="BZ113" s="101">
        <f t="shared" si="183"/>
        <v>0</v>
      </c>
      <c r="CA113" s="101">
        <f t="shared" si="184"/>
        <v>0</v>
      </c>
      <c r="CB113" s="103">
        <f t="shared" si="185"/>
        <v>0</v>
      </c>
      <c r="CC113" s="103">
        <f t="shared" si="186"/>
        <v>0</v>
      </c>
      <c r="CD113" s="103">
        <f t="shared" si="187"/>
        <v>0</v>
      </c>
    </row>
    <row r="114" spans="1:82" x14ac:dyDescent="0.25">
      <c r="A114" s="96">
        <f t="shared" si="147"/>
        <v>39814</v>
      </c>
      <c r="B114" s="97">
        <f t="shared" si="124"/>
        <v>3.9649999999999999</v>
      </c>
      <c r="C114" s="77">
        <f t="shared" si="148"/>
        <v>0.23</v>
      </c>
      <c r="D114" s="97">
        <f t="shared" si="80"/>
        <v>0</v>
      </c>
      <c r="E114" s="100">
        <f t="shared" si="81"/>
        <v>1</v>
      </c>
      <c r="F114" s="99">
        <f t="shared" ca="1" si="126"/>
        <v>2549</v>
      </c>
      <c r="G114" s="77" t="e">
        <f t="shared" si="149"/>
        <v>#DIV/0!</v>
      </c>
      <c r="H114" s="77" t="e">
        <f>IF(B$16=1,_xll.xCalcSkew(A114,I114-AO114,b)/100,0)</f>
        <v>#DIV/0!</v>
      </c>
      <c r="I114" s="98">
        <f t="shared" si="83"/>
        <v>4</v>
      </c>
      <c r="K114" s="97">
        <f t="shared" si="84"/>
        <v>-4.7500000000000001E-2</v>
      </c>
      <c r="L114" s="100">
        <f t="shared" si="85"/>
        <v>1</v>
      </c>
      <c r="M114" s="99">
        <f t="shared" ca="1" si="150"/>
        <v>2552</v>
      </c>
      <c r="N114" s="175" t="e">
        <f t="shared" si="151"/>
        <v>#DIV/0!</v>
      </c>
      <c r="O114" s="77" t="e">
        <f>IF(D$16=1,_xll.xCalcSkew($A114,P114-AZ114,b)/100,0)</f>
        <v>#DIV/0!</v>
      </c>
      <c r="P114" s="98">
        <f t="shared" si="88"/>
        <v>2.5</v>
      </c>
      <c r="R114" s="97">
        <f t="shared" si="89"/>
        <v>-4.7500000000000001E-2</v>
      </c>
      <c r="S114" s="100">
        <f t="shared" si="90"/>
        <v>1</v>
      </c>
      <c r="T114" s="99">
        <f t="shared" ca="1" si="152"/>
        <v>2552</v>
      </c>
      <c r="U114" s="175" t="e">
        <f t="shared" si="153"/>
        <v>#DIV/0!</v>
      </c>
      <c r="V114" s="77" t="e">
        <f>IF(F$16=1,_xll.xCalcSkew($A114,W114-BK114,b)/100,0)</f>
        <v>#DIV/0!</v>
      </c>
      <c r="W114" s="98">
        <f t="shared" si="93"/>
        <v>2.5</v>
      </c>
      <c r="X114" s="99"/>
      <c r="Y114" s="97">
        <f t="shared" si="94"/>
        <v>-4.7500000000000001E-2</v>
      </c>
      <c r="Z114" s="100">
        <f t="shared" si="95"/>
        <v>1</v>
      </c>
      <c r="AA114" s="99">
        <f t="shared" ca="1" si="154"/>
        <v>2552</v>
      </c>
      <c r="AB114" s="77" t="e">
        <f t="shared" si="155"/>
        <v>#DIV/0!</v>
      </c>
      <c r="AC114" s="77" t="e">
        <f>IF(H$16=1,_xll.xCalcSkew($A114,AD114-BV114,b)/100,0)</f>
        <v>#DIV/0!</v>
      </c>
      <c r="AD114" s="98">
        <f t="shared" si="98"/>
        <v>2.4900000000000002</v>
      </c>
      <c r="AF114" s="99">
        <f t="shared" ca="1" si="127"/>
        <v>2552</v>
      </c>
      <c r="AG114" s="99">
        <f t="shared" ca="1" si="128"/>
        <v>2549</v>
      </c>
      <c r="AH114" s="77">
        <f t="shared" si="129"/>
        <v>5.5629285809112097E-2</v>
      </c>
      <c r="AI114" s="154">
        <f t="shared" si="99"/>
        <v>31</v>
      </c>
      <c r="AL114" s="99"/>
      <c r="AM114" s="78"/>
      <c r="AN114" s="78">
        <f t="shared" si="156"/>
        <v>0</v>
      </c>
      <c r="AO114" s="303" t="e">
        <f t="shared" si="157"/>
        <v>#DIV/0!</v>
      </c>
      <c r="AP114" s="75">
        <f t="shared" si="101"/>
        <v>0</v>
      </c>
      <c r="AQ114" s="102">
        <f t="shared" si="102"/>
        <v>0</v>
      </c>
      <c r="AR114" s="101">
        <f t="shared" si="158"/>
        <v>0</v>
      </c>
      <c r="AS114" s="101">
        <f t="shared" si="159"/>
        <v>0</v>
      </c>
      <c r="AT114" s="101">
        <f t="shared" si="160"/>
        <v>0</v>
      </c>
      <c r="AU114" s="103">
        <f t="shared" si="161"/>
        <v>0</v>
      </c>
      <c r="AV114" s="103">
        <f t="shared" si="162"/>
        <v>0</v>
      </c>
      <c r="AW114" s="103">
        <f t="shared" si="163"/>
        <v>0</v>
      </c>
      <c r="AY114" s="78">
        <f t="shared" si="164"/>
        <v>0</v>
      </c>
      <c r="AZ114" s="303" t="e">
        <f t="shared" si="165"/>
        <v>#DIV/0!</v>
      </c>
      <c r="BA114" s="75">
        <f t="shared" si="106"/>
        <v>0</v>
      </c>
      <c r="BB114" s="102">
        <f t="shared" si="107"/>
        <v>0</v>
      </c>
      <c r="BC114" s="101">
        <f t="shared" si="166"/>
        <v>0</v>
      </c>
      <c r="BD114" s="101">
        <f t="shared" si="167"/>
        <v>0</v>
      </c>
      <c r="BE114" s="101">
        <f t="shared" si="168"/>
        <v>0</v>
      </c>
      <c r="BF114" s="103">
        <f t="shared" si="169"/>
        <v>0</v>
      </c>
      <c r="BG114" s="103">
        <f t="shared" si="170"/>
        <v>0</v>
      </c>
      <c r="BH114" s="103">
        <f t="shared" si="171"/>
        <v>0</v>
      </c>
      <c r="BJ114" s="78">
        <f t="shared" si="172"/>
        <v>0</v>
      </c>
      <c r="BK114" s="303" t="e">
        <f t="shared" si="173"/>
        <v>#DIV/0!</v>
      </c>
      <c r="BL114" s="75">
        <f t="shared" si="112"/>
        <v>0</v>
      </c>
      <c r="BM114" s="102">
        <f t="shared" si="113"/>
        <v>0</v>
      </c>
      <c r="BN114" s="101">
        <f t="shared" si="174"/>
        <v>0</v>
      </c>
      <c r="BO114" s="101">
        <f t="shared" si="175"/>
        <v>0</v>
      </c>
      <c r="BP114" s="101">
        <f t="shared" si="176"/>
        <v>0</v>
      </c>
      <c r="BQ114" s="103">
        <f t="shared" si="177"/>
        <v>0</v>
      </c>
      <c r="BR114" s="103">
        <f t="shared" si="178"/>
        <v>0</v>
      </c>
      <c r="BS114" s="103">
        <f t="shared" si="179"/>
        <v>0</v>
      </c>
      <c r="BU114" s="78">
        <f t="shared" si="180"/>
        <v>0</v>
      </c>
      <c r="BV114" s="303" t="e">
        <f t="shared" si="181"/>
        <v>#DIV/0!</v>
      </c>
      <c r="BW114" s="75">
        <f t="shared" si="118"/>
        <v>0</v>
      </c>
      <c r="BX114" s="102">
        <f t="shared" si="119"/>
        <v>0</v>
      </c>
      <c r="BY114" s="101">
        <f t="shared" si="182"/>
        <v>0</v>
      </c>
      <c r="BZ114" s="101">
        <f t="shared" si="183"/>
        <v>0</v>
      </c>
      <c r="CA114" s="101">
        <f t="shared" si="184"/>
        <v>0</v>
      </c>
      <c r="CB114" s="103">
        <f t="shared" si="185"/>
        <v>0</v>
      </c>
      <c r="CC114" s="103">
        <f t="shared" si="186"/>
        <v>0</v>
      </c>
      <c r="CD114" s="103">
        <f t="shared" si="187"/>
        <v>0</v>
      </c>
    </row>
    <row r="115" spans="1:82" x14ac:dyDescent="0.25">
      <c r="A115" s="96">
        <f t="shared" si="147"/>
        <v>39845</v>
      </c>
      <c r="B115" s="97">
        <f t="shared" si="124"/>
        <v>3.88</v>
      </c>
      <c r="C115" s="77">
        <f t="shared" si="148"/>
        <v>0.22750000000000001</v>
      </c>
      <c r="D115" s="97">
        <f t="shared" si="80"/>
        <v>0</v>
      </c>
      <c r="E115" s="100">
        <f t="shared" si="81"/>
        <v>1</v>
      </c>
      <c r="F115" s="99">
        <f t="shared" ca="1" si="126"/>
        <v>2581</v>
      </c>
      <c r="G115" s="77" t="e">
        <f t="shared" si="149"/>
        <v>#DIV/0!</v>
      </c>
      <c r="H115" s="77" t="e">
        <f>IF(B$16=1,_xll.xCalcSkew(A115,I115-AO115,b)/100,0)</f>
        <v>#DIV/0!</v>
      </c>
      <c r="I115" s="98">
        <f t="shared" si="83"/>
        <v>4</v>
      </c>
      <c r="K115" s="97">
        <f t="shared" si="84"/>
        <v>-0.03</v>
      </c>
      <c r="L115" s="100">
        <f t="shared" si="85"/>
        <v>1</v>
      </c>
      <c r="M115" s="99">
        <f t="shared" ca="1" si="150"/>
        <v>2582</v>
      </c>
      <c r="N115" s="175" t="e">
        <f t="shared" si="151"/>
        <v>#DIV/0!</v>
      </c>
      <c r="O115" s="77" t="e">
        <f>IF(D$16=1,_xll.xCalcSkew($A115,P115-AZ115,b)/100,0)</f>
        <v>#DIV/0!</v>
      </c>
      <c r="P115" s="98">
        <f t="shared" si="88"/>
        <v>2.5</v>
      </c>
      <c r="R115" s="97">
        <f t="shared" si="89"/>
        <v>-0.03</v>
      </c>
      <c r="S115" s="100">
        <f t="shared" si="90"/>
        <v>1</v>
      </c>
      <c r="T115" s="99">
        <f t="shared" ca="1" si="152"/>
        <v>2582</v>
      </c>
      <c r="U115" s="175" t="e">
        <f t="shared" si="153"/>
        <v>#DIV/0!</v>
      </c>
      <c r="V115" s="77" t="e">
        <f>IF(F$16=1,_xll.xCalcSkew($A115,W115-BK115,b)/100,0)</f>
        <v>#DIV/0!</v>
      </c>
      <c r="W115" s="98">
        <f t="shared" si="93"/>
        <v>2.5</v>
      </c>
      <c r="X115" s="99"/>
      <c r="Y115" s="97">
        <f t="shared" si="94"/>
        <v>-0.03</v>
      </c>
      <c r="Z115" s="100">
        <f t="shared" si="95"/>
        <v>1</v>
      </c>
      <c r="AA115" s="99">
        <f t="shared" ca="1" si="154"/>
        <v>2582</v>
      </c>
      <c r="AB115" s="77" t="e">
        <f t="shared" si="155"/>
        <v>#DIV/0!</v>
      </c>
      <c r="AC115" s="77" t="e">
        <f>IF(H$16=1,_xll.xCalcSkew($A115,AD115-BV115,b)/100,0)</f>
        <v>#DIV/0!</v>
      </c>
      <c r="AD115" s="98">
        <f t="shared" si="98"/>
        <v>2.4900000000000002</v>
      </c>
      <c r="AF115" s="99">
        <f t="shared" ca="1" si="127"/>
        <v>2582</v>
      </c>
      <c r="AG115" s="99">
        <f t="shared" ca="1" si="128"/>
        <v>2581</v>
      </c>
      <c r="AH115" s="77">
        <f t="shared" si="129"/>
        <v>5.5732784192703999E-2</v>
      </c>
      <c r="AI115" s="154">
        <f t="shared" si="99"/>
        <v>28</v>
      </c>
      <c r="AL115" s="99"/>
      <c r="AM115" s="78"/>
      <c r="AN115" s="78">
        <f t="shared" si="156"/>
        <v>0</v>
      </c>
      <c r="AO115" s="303" t="e">
        <f t="shared" si="157"/>
        <v>#DIV/0!</v>
      </c>
      <c r="AP115" s="75">
        <f t="shared" si="101"/>
        <v>0</v>
      </c>
      <c r="AQ115" s="102">
        <f t="shared" si="102"/>
        <v>0</v>
      </c>
      <c r="AR115" s="101">
        <f t="shared" si="158"/>
        <v>0</v>
      </c>
      <c r="AS115" s="101">
        <f t="shared" si="159"/>
        <v>0</v>
      </c>
      <c r="AT115" s="101">
        <f t="shared" si="160"/>
        <v>0</v>
      </c>
      <c r="AU115" s="103">
        <f t="shared" si="161"/>
        <v>0</v>
      </c>
      <c r="AV115" s="103">
        <f t="shared" si="162"/>
        <v>0</v>
      </c>
      <c r="AW115" s="103">
        <f t="shared" si="163"/>
        <v>0</v>
      </c>
      <c r="AY115" s="78">
        <f t="shared" si="164"/>
        <v>0</v>
      </c>
      <c r="AZ115" s="303" t="e">
        <f t="shared" si="165"/>
        <v>#DIV/0!</v>
      </c>
      <c r="BA115" s="75">
        <f t="shared" si="106"/>
        <v>0</v>
      </c>
      <c r="BB115" s="102">
        <f t="shared" si="107"/>
        <v>0</v>
      </c>
      <c r="BC115" s="101">
        <f t="shared" si="166"/>
        <v>0</v>
      </c>
      <c r="BD115" s="101">
        <f t="shared" si="167"/>
        <v>0</v>
      </c>
      <c r="BE115" s="101">
        <f t="shared" si="168"/>
        <v>0</v>
      </c>
      <c r="BF115" s="103">
        <f t="shared" si="169"/>
        <v>0</v>
      </c>
      <c r="BG115" s="103">
        <f t="shared" si="170"/>
        <v>0</v>
      </c>
      <c r="BH115" s="103">
        <f t="shared" si="171"/>
        <v>0</v>
      </c>
      <c r="BJ115" s="78">
        <f t="shared" si="172"/>
        <v>0</v>
      </c>
      <c r="BK115" s="303" t="e">
        <f t="shared" si="173"/>
        <v>#DIV/0!</v>
      </c>
      <c r="BL115" s="75">
        <f t="shared" si="112"/>
        <v>0</v>
      </c>
      <c r="BM115" s="102">
        <f t="shared" si="113"/>
        <v>0</v>
      </c>
      <c r="BN115" s="101">
        <f t="shared" si="174"/>
        <v>0</v>
      </c>
      <c r="BO115" s="101">
        <f t="shared" si="175"/>
        <v>0</v>
      </c>
      <c r="BP115" s="101">
        <f t="shared" si="176"/>
        <v>0</v>
      </c>
      <c r="BQ115" s="103">
        <f t="shared" si="177"/>
        <v>0</v>
      </c>
      <c r="BR115" s="103">
        <f t="shared" si="178"/>
        <v>0</v>
      </c>
      <c r="BS115" s="103">
        <f t="shared" si="179"/>
        <v>0</v>
      </c>
      <c r="BU115" s="78">
        <f t="shared" si="180"/>
        <v>0</v>
      </c>
      <c r="BV115" s="303" t="e">
        <f t="shared" si="181"/>
        <v>#DIV/0!</v>
      </c>
      <c r="BW115" s="75">
        <f t="shared" si="118"/>
        <v>0</v>
      </c>
      <c r="BX115" s="102">
        <f t="shared" si="119"/>
        <v>0</v>
      </c>
      <c r="BY115" s="101">
        <f t="shared" si="182"/>
        <v>0</v>
      </c>
      <c r="BZ115" s="101">
        <f t="shared" si="183"/>
        <v>0</v>
      </c>
      <c r="CA115" s="101">
        <f t="shared" si="184"/>
        <v>0</v>
      </c>
      <c r="CB115" s="103">
        <f t="shared" si="185"/>
        <v>0</v>
      </c>
      <c r="CC115" s="103">
        <f t="shared" si="186"/>
        <v>0</v>
      </c>
      <c r="CD115" s="103">
        <f t="shared" si="187"/>
        <v>0</v>
      </c>
    </row>
    <row r="116" spans="1:82" x14ac:dyDescent="0.25">
      <c r="A116" s="96">
        <f t="shared" si="147"/>
        <v>39873</v>
      </c>
      <c r="B116" s="97">
        <f t="shared" si="124"/>
        <v>3.75</v>
      </c>
      <c r="C116" s="77">
        <f t="shared" si="148"/>
        <v>0.22</v>
      </c>
      <c r="D116" s="97">
        <f t="shared" si="80"/>
        <v>0</v>
      </c>
      <c r="E116" s="100">
        <f t="shared" si="81"/>
        <v>1</v>
      </c>
      <c r="F116" s="99">
        <f t="shared" ca="1" si="126"/>
        <v>2609</v>
      </c>
      <c r="G116" s="77" t="e">
        <f t="shared" si="149"/>
        <v>#DIV/0!</v>
      </c>
      <c r="H116" s="77" t="e">
        <f>IF(B$16=1,_xll.xCalcSkew(A116,I116-AO116,b)/100,0)</f>
        <v>#DIV/0!</v>
      </c>
      <c r="I116" s="98">
        <f t="shared" si="83"/>
        <v>4</v>
      </c>
      <c r="K116" s="97">
        <f t="shared" si="84"/>
        <v>-1.7500000000000002E-2</v>
      </c>
      <c r="L116" s="100">
        <f t="shared" si="85"/>
        <v>1</v>
      </c>
      <c r="M116" s="99">
        <f t="shared" ca="1" si="150"/>
        <v>2610</v>
      </c>
      <c r="N116" s="175" t="e">
        <f t="shared" si="151"/>
        <v>#DIV/0!</v>
      </c>
      <c r="O116" s="77" t="e">
        <f>IF(D$16=1,_xll.xCalcSkew($A116,P116-AZ116,b)/100,0)</f>
        <v>#DIV/0!</v>
      </c>
      <c r="P116" s="98">
        <f t="shared" si="88"/>
        <v>2.5</v>
      </c>
      <c r="R116" s="97">
        <f t="shared" si="89"/>
        <v>-1.7500000000000002E-2</v>
      </c>
      <c r="S116" s="100">
        <f t="shared" si="90"/>
        <v>1</v>
      </c>
      <c r="T116" s="99">
        <f t="shared" ca="1" si="152"/>
        <v>2610</v>
      </c>
      <c r="U116" s="175" t="e">
        <f t="shared" si="153"/>
        <v>#DIV/0!</v>
      </c>
      <c r="V116" s="77" t="e">
        <f>IF(F$16=1,_xll.xCalcSkew($A116,W116-BK116,b)/100,0)</f>
        <v>#DIV/0!</v>
      </c>
      <c r="W116" s="98">
        <f t="shared" si="93"/>
        <v>2.5</v>
      </c>
      <c r="X116" s="99"/>
      <c r="Y116" s="97">
        <f t="shared" si="94"/>
        <v>-1.7500000000000002E-2</v>
      </c>
      <c r="Z116" s="100">
        <f t="shared" si="95"/>
        <v>1</v>
      </c>
      <c r="AA116" s="99">
        <f t="shared" ca="1" si="154"/>
        <v>2610</v>
      </c>
      <c r="AB116" s="77" t="e">
        <f t="shared" si="155"/>
        <v>#DIV/0!</v>
      </c>
      <c r="AC116" s="77" t="e">
        <f>IF(H$16=1,_xll.xCalcSkew($A116,AD116-BV116,b)/100,0)</f>
        <v>#DIV/0!</v>
      </c>
      <c r="AD116" s="98">
        <f t="shared" si="98"/>
        <v>2.4900000000000002</v>
      </c>
      <c r="AF116" s="99">
        <f t="shared" ca="1" si="127"/>
        <v>2610</v>
      </c>
      <c r="AG116" s="99">
        <f t="shared" ca="1" si="128"/>
        <v>2609</v>
      </c>
      <c r="AH116" s="77">
        <f t="shared" si="129"/>
        <v>5.5826266606755499E-2</v>
      </c>
      <c r="AI116" s="154">
        <f t="shared" si="99"/>
        <v>31</v>
      </c>
      <c r="AL116" s="99"/>
      <c r="AM116" s="78"/>
      <c r="AN116" s="78">
        <f t="shared" si="156"/>
        <v>0</v>
      </c>
      <c r="AO116" s="303" t="e">
        <f t="shared" si="157"/>
        <v>#DIV/0!</v>
      </c>
      <c r="AP116" s="75">
        <f t="shared" si="101"/>
        <v>0</v>
      </c>
      <c r="AQ116" s="102">
        <f t="shared" si="102"/>
        <v>0</v>
      </c>
      <c r="AR116" s="101">
        <f t="shared" si="158"/>
        <v>0</v>
      </c>
      <c r="AS116" s="101">
        <f t="shared" si="159"/>
        <v>0</v>
      </c>
      <c r="AT116" s="101">
        <f t="shared" si="160"/>
        <v>0</v>
      </c>
      <c r="AU116" s="103">
        <f t="shared" si="161"/>
        <v>0</v>
      </c>
      <c r="AV116" s="103">
        <f t="shared" si="162"/>
        <v>0</v>
      </c>
      <c r="AW116" s="103">
        <f t="shared" si="163"/>
        <v>0</v>
      </c>
      <c r="AY116" s="78">
        <f t="shared" si="164"/>
        <v>0</v>
      </c>
      <c r="AZ116" s="303" t="e">
        <f t="shared" si="165"/>
        <v>#DIV/0!</v>
      </c>
      <c r="BA116" s="75">
        <f t="shared" si="106"/>
        <v>0</v>
      </c>
      <c r="BB116" s="102">
        <f t="shared" si="107"/>
        <v>0</v>
      </c>
      <c r="BC116" s="101">
        <f t="shared" si="166"/>
        <v>0</v>
      </c>
      <c r="BD116" s="101">
        <f t="shared" si="167"/>
        <v>0</v>
      </c>
      <c r="BE116" s="101">
        <f t="shared" si="168"/>
        <v>0</v>
      </c>
      <c r="BF116" s="103">
        <f t="shared" si="169"/>
        <v>0</v>
      </c>
      <c r="BG116" s="103">
        <f t="shared" si="170"/>
        <v>0</v>
      </c>
      <c r="BH116" s="103">
        <f t="shared" si="171"/>
        <v>0</v>
      </c>
      <c r="BJ116" s="78">
        <f t="shared" si="172"/>
        <v>0</v>
      </c>
      <c r="BK116" s="303" t="e">
        <f t="shared" si="173"/>
        <v>#DIV/0!</v>
      </c>
      <c r="BL116" s="75">
        <f t="shared" si="112"/>
        <v>0</v>
      </c>
      <c r="BM116" s="102">
        <f t="shared" si="113"/>
        <v>0</v>
      </c>
      <c r="BN116" s="101">
        <f t="shared" si="174"/>
        <v>0</v>
      </c>
      <c r="BO116" s="101">
        <f t="shared" si="175"/>
        <v>0</v>
      </c>
      <c r="BP116" s="101">
        <f t="shared" si="176"/>
        <v>0</v>
      </c>
      <c r="BQ116" s="103">
        <f t="shared" si="177"/>
        <v>0</v>
      </c>
      <c r="BR116" s="103">
        <f t="shared" si="178"/>
        <v>0</v>
      </c>
      <c r="BS116" s="103">
        <f t="shared" si="179"/>
        <v>0</v>
      </c>
      <c r="BU116" s="78">
        <f t="shared" si="180"/>
        <v>0</v>
      </c>
      <c r="BV116" s="303" t="e">
        <f t="shared" si="181"/>
        <v>#DIV/0!</v>
      </c>
      <c r="BW116" s="75">
        <f t="shared" si="118"/>
        <v>0</v>
      </c>
      <c r="BX116" s="102">
        <f t="shared" si="119"/>
        <v>0</v>
      </c>
      <c r="BY116" s="101">
        <f t="shared" si="182"/>
        <v>0</v>
      </c>
      <c r="BZ116" s="101">
        <f t="shared" si="183"/>
        <v>0</v>
      </c>
      <c r="CA116" s="101">
        <f t="shared" si="184"/>
        <v>0</v>
      </c>
      <c r="CB116" s="103">
        <f t="shared" si="185"/>
        <v>0</v>
      </c>
      <c r="CC116" s="103">
        <f t="shared" si="186"/>
        <v>0</v>
      </c>
      <c r="CD116" s="103">
        <f t="shared" si="187"/>
        <v>0</v>
      </c>
    </row>
    <row r="117" spans="1:82" x14ac:dyDescent="0.25">
      <c r="A117" s="96">
        <f t="shared" si="147"/>
        <v>39904</v>
      </c>
      <c r="B117" s="97">
        <f t="shared" si="124"/>
        <v>3.5649999999999999</v>
      </c>
      <c r="C117" s="77">
        <f t="shared" si="148"/>
        <v>0.20250000000000001</v>
      </c>
      <c r="D117" s="97">
        <f t="shared" si="80"/>
        <v>0</v>
      </c>
      <c r="E117" s="100">
        <f t="shared" si="81"/>
        <v>1</v>
      </c>
      <c r="F117" s="99">
        <f t="shared" ca="1" si="126"/>
        <v>2639</v>
      </c>
      <c r="G117" s="77" t="e">
        <f t="shared" si="149"/>
        <v>#DIV/0!</v>
      </c>
      <c r="H117" s="77" t="e">
        <f>IF(B$16=1,_xll.xCalcSkew(A117,I117-AO117,b)/100,0)</f>
        <v>#DIV/0!</v>
      </c>
      <c r="I117" s="98">
        <f t="shared" si="83"/>
        <v>4</v>
      </c>
      <c r="K117" s="97">
        <f t="shared" si="84"/>
        <v>0.02</v>
      </c>
      <c r="L117" s="100">
        <f t="shared" si="85"/>
        <v>1</v>
      </c>
      <c r="M117" s="99">
        <f t="shared" ca="1" si="150"/>
        <v>2640</v>
      </c>
      <c r="N117" s="175" t="e">
        <f t="shared" si="151"/>
        <v>#DIV/0!</v>
      </c>
      <c r="O117" s="77" t="e">
        <f>IF(D$16=1,_xll.xCalcSkew($A117,P117-AZ117,b)/100,0)</f>
        <v>#DIV/0!</v>
      </c>
      <c r="P117" s="98">
        <f t="shared" si="88"/>
        <v>2.5</v>
      </c>
      <c r="R117" s="97">
        <f t="shared" si="89"/>
        <v>0.02</v>
      </c>
      <c r="S117" s="100">
        <f t="shared" si="90"/>
        <v>1</v>
      </c>
      <c r="T117" s="99">
        <f t="shared" ca="1" si="152"/>
        <v>2640</v>
      </c>
      <c r="U117" s="175" t="e">
        <f t="shared" si="153"/>
        <v>#DIV/0!</v>
      </c>
      <c r="V117" s="77" t="e">
        <f>IF(F$16=1,_xll.xCalcSkew($A117,W117-BK117,b)/100,0)</f>
        <v>#DIV/0!</v>
      </c>
      <c r="W117" s="98">
        <f t="shared" si="93"/>
        <v>2.5</v>
      </c>
      <c r="X117" s="99"/>
      <c r="Y117" s="97">
        <f t="shared" si="94"/>
        <v>0.02</v>
      </c>
      <c r="Z117" s="100">
        <f t="shared" si="95"/>
        <v>1</v>
      </c>
      <c r="AA117" s="99">
        <f t="shared" ca="1" si="154"/>
        <v>2640</v>
      </c>
      <c r="AB117" s="77" t="e">
        <f t="shared" si="155"/>
        <v>#DIV/0!</v>
      </c>
      <c r="AC117" s="77" t="e">
        <f>IF(H$16=1,_xll.xCalcSkew($A117,AD117-BV117,b)/100,0)</f>
        <v>#DIV/0!</v>
      </c>
      <c r="AD117" s="98">
        <f t="shared" si="98"/>
        <v>2.4900000000000002</v>
      </c>
      <c r="AF117" s="99">
        <f t="shared" ca="1" si="127"/>
        <v>2640</v>
      </c>
      <c r="AG117" s="99">
        <f t="shared" ca="1" si="128"/>
        <v>2639</v>
      </c>
      <c r="AH117" s="77">
        <f t="shared" si="129"/>
        <v>5.5929764997134403E-2</v>
      </c>
      <c r="AI117" s="154">
        <f t="shared" si="99"/>
        <v>30</v>
      </c>
      <c r="AL117" s="99"/>
      <c r="AM117" s="78"/>
      <c r="AN117" s="78">
        <f t="shared" si="156"/>
        <v>0</v>
      </c>
      <c r="AO117" s="303" t="e">
        <f t="shared" si="157"/>
        <v>#DIV/0!</v>
      </c>
      <c r="AP117" s="75">
        <f t="shared" si="101"/>
        <v>0</v>
      </c>
      <c r="AQ117" s="102">
        <f t="shared" si="102"/>
        <v>0</v>
      </c>
      <c r="AR117" s="101">
        <f t="shared" si="158"/>
        <v>0</v>
      </c>
      <c r="AS117" s="101">
        <f t="shared" si="159"/>
        <v>0</v>
      </c>
      <c r="AT117" s="101">
        <f t="shared" si="160"/>
        <v>0</v>
      </c>
      <c r="AU117" s="103">
        <f t="shared" si="161"/>
        <v>0</v>
      </c>
      <c r="AV117" s="103">
        <f t="shared" si="162"/>
        <v>0</v>
      </c>
      <c r="AW117" s="103">
        <f t="shared" si="163"/>
        <v>0</v>
      </c>
      <c r="AY117" s="78">
        <f t="shared" si="164"/>
        <v>0</v>
      </c>
      <c r="AZ117" s="303" t="e">
        <f t="shared" si="165"/>
        <v>#DIV/0!</v>
      </c>
      <c r="BA117" s="75">
        <f t="shared" si="106"/>
        <v>0</v>
      </c>
      <c r="BB117" s="102">
        <f t="shared" si="107"/>
        <v>0</v>
      </c>
      <c r="BC117" s="101">
        <f t="shared" si="166"/>
        <v>0</v>
      </c>
      <c r="BD117" s="101">
        <f t="shared" si="167"/>
        <v>0</v>
      </c>
      <c r="BE117" s="101">
        <f t="shared" si="168"/>
        <v>0</v>
      </c>
      <c r="BF117" s="103">
        <f t="shared" si="169"/>
        <v>0</v>
      </c>
      <c r="BG117" s="103">
        <f t="shared" si="170"/>
        <v>0</v>
      </c>
      <c r="BH117" s="103">
        <f t="shared" si="171"/>
        <v>0</v>
      </c>
      <c r="BJ117" s="78">
        <f t="shared" si="172"/>
        <v>0</v>
      </c>
      <c r="BK117" s="303" t="e">
        <f t="shared" si="173"/>
        <v>#DIV/0!</v>
      </c>
      <c r="BL117" s="75">
        <f t="shared" si="112"/>
        <v>0</v>
      </c>
      <c r="BM117" s="102">
        <f t="shared" si="113"/>
        <v>0</v>
      </c>
      <c r="BN117" s="101">
        <f t="shared" si="174"/>
        <v>0</v>
      </c>
      <c r="BO117" s="101">
        <f t="shared" si="175"/>
        <v>0</v>
      </c>
      <c r="BP117" s="101">
        <f t="shared" si="176"/>
        <v>0</v>
      </c>
      <c r="BQ117" s="103">
        <f t="shared" si="177"/>
        <v>0</v>
      </c>
      <c r="BR117" s="103">
        <f t="shared" si="178"/>
        <v>0</v>
      </c>
      <c r="BS117" s="103">
        <f t="shared" si="179"/>
        <v>0</v>
      </c>
      <c r="BU117" s="78">
        <f t="shared" si="180"/>
        <v>0</v>
      </c>
      <c r="BV117" s="303" t="e">
        <f t="shared" si="181"/>
        <v>#DIV/0!</v>
      </c>
      <c r="BW117" s="75">
        <f t="shared" si="118"/>
        <v>0</v>
      </c>
      <c r="BX117" s="102">
        <f t="shared" si="119"/>
        <v>0</v>
      </c>
      <c r="BY117" s="101">
        <f t="shared" si="182"/>
        <v>0</v>
      </c>
      <c r="BZ117" s="101">
        <f t="shared" si="183"/>
        <v>0</v>
      </c>
      <c r="CA117" s="101">
        <f t="shared" si="184"/>
        <v>0</v>
      </c>
      <c r="CB117" s="103">
        <f t="shared" si="185"/>
        <v>0</v>
      </c>
      <c r="CC117" s="103">
        <f t="shared" si="186"/>
        <v>0</v>
      </c>
      <c r="CD117" s="103">
        <f t="shared" si="187"/>
        <v>0</v>
      </c>
    </row>
    <row r="118" spans="1:82" x14ac:dyDescent="0.25">
      <c r="A118" s="96">
        <f t="shared" si="147"/>
        <v>39934</v>
      </c>
      <c r="B118" s="97">
        <f t="shared" si="124"/>
        <v>3.56</v>
      </c>
      <c r="C118" s="77">
        <f t="shared" si="148"/>
        <v>0.20250000000000001</v>
      </c>
      <c r="D118" s="97">
        <f t="shared" si="80"/>
        <v>0</v>
      </c>
      <c r="E118" s="100">
        <f t="shared" si="81"/>
        <v>1</v>
      </c>
      <c r="F118" s="99">
        <f t="shared" ca="1" si="126"/>
        <v>2671</v>
      </c>
      <c r="G118" s="77" t="e">
        <f t="shared" si="149"/>
        <v>#DIV/0!</v>
      </c>
      <c r="H118" s="77" t="e">
        <f>IF(B$16=1,_xll.xCalcSkew(A118,I118-AO118,b)/100,0)</f>
        <v>#DIV/0!</v>
      </c>
      <c r="I118" s="98">
        <f t="shared" si="83"/>
        <v>4</v>
      </c>
      <c r="K118" s="97">
        <f t="shared" si="84"/>
        <v>0.02</v>
      </c>
      <c r="L118" s="100">
        <f t="shared" si="85"/>
        <v>1</v>
      </c>
      <c r="M118" s="99">
        <f t="shared" ca="1" si="150"/>
        <v>2672</v>
      </c>
      <c r="N118" s="175" t="e">
        <f t="shared" si="151"/>
        <v>#DIV/0!</v>
      </c>
      <c r="O118" s="77" t="e">
        <f>IF(D$16=1,_xll.xCalcSkew($A118,P118-AZ118,b)/100,0)</f>
        <v>#DIV/0!</v>
      </c>
      <c r="P118" s="98">
        <f t="shared" si="88"/>
        <v>2.5</v>
      </c>
      <c r="R118" s="97">
        <f t="shared" si="89"/>
        <v>0.02</v>
      </c>
      <c r="S118" s="100">
        <f t="shared" si="90"/>
        <v>1</v>
      </c>
      <c r="T118" s="99">
        <f t="shared" ca="1" si="152"/>
        <v>2672</v>
      </c>
      <c r="U118" s="175" t="e">
        <f t="shared" si="153"/>
        <v>#DIV/0!</v>
      </c>
      <c r="V118" s="77" t="e">
        <f>IF(F$16=1,_xll.xCalcSkew($A118,W118-BK118,b)/100,0)</f>
        <v>#DIV/0!</v>
      </c>
      <c r="W118" s="98">
        <f t="shared" si="93"/>
        <v>2.5</v>
      </c>
      <c r="X118" s="99"/>
      <c r="Y118" s="97">
        <f t="shared" si="94"/>
        <v>0.02</v>
      </c>
      <c r="Z118" s="100">
        <f t="shared" si="95"/>
        <v>1</v>
      </c>
      <c r="AA118" s="99">
        <f t="shared" ca="1" si="154"/>
        <v>2672</v>
      </c>
      <c r="AB118" s="77" t="e">
        <f t="shared" si="155"/>
        <v>#DIV/0!</v>
      </c>
      <c r="AC118" s="77" t="e">
        <f>IF(H$16=1,_xll.xCalcSkew($A118,AD118-BV118,b)/100,0)</f>
        <v>#DIV/0!</v>
      </c>
      <c r="AD118" s="98">
        <f t="shared" si="98"/>
        <v>2.4900000000000002</v>
      </c>
      <c r="AF118" s="99">
        <f t="shared" ca="1" si="127"/>
        <v>2672</v>
      </c>
      <c r="AG118" s="99">
        <f t="shared" ca="1" si="128"/>
        <v>2671</v>
      </c>
      <c r="AH118" s="77">
        <f t="shared" si="129"/>
        <v>5.6029924733155503E-2</v>
      </c>
      <c r="AI118" s="154">
        <f t="shared" si="99"/>
        <v>31</v>
      </c>
      <c r="AL118" s="99"/>
      <c r="AM118" s="78"/>
      <c r="AN118" s="78">
        <f t="shared" si="156"/>
        <v>0</v>
      </c>
      <c r="AO118" s="303" t="e">
        <f t="shared" si="157"/>
        <v>#DIV/0!</v>
      </c>
      <c r="AP118" s="75">
        <f t="shared" si="101"/>
        <v>0</v>
      </c>
      <c r="AQ118" s="102">
        <f t="shared" si="102"/>
        <v>0</v>
      </c>
      <c r="AR118" s="101">
        <f t="shared" si="158"/>
        <v>0</v>
      </c>
      <c r="AS118" s="101">
        <f t="shared" si="159"/>
        <v>0</v>
      </c>
      <c r="AT118" s="101">
        <f t="shared" si="160"/>
        <v>0</v>
      </c>
      <c r="AU118" s="103">
        <f t="shared" si="161"/>
        <v>0</v>
      </c>
      <c r="AV118" s="103">
        <f t="shared" si="162"/>
        <v>0</v>
      </c>
      <c r="AW118" s="103">
        <f t="shared" si="163"/>
        <v>0</v>
      </c>
      <c r="AY118" s="78">
        <f t="shared" si="164"/>
        <v>0</v>
      </c>
      <c r="AZ118" s="303" t="e">
        <f t="shared" si="165"/>
        <v>#DIV/0!</v>
      </c>
      <c r="BA118" s="75">
        <f t="shared" si="106"/>
        <v>0</v>
      </c>
      <c r="BB118" s="102">
        <f t="shared" si="107"/>
        <v>0</v>
      </c>
      <c r="BC118" s="101">
        <f t="shared" si="166"/>
        <v>0</v>
      </c>
      <c r="BD118" s="101">
        <f t="shared" si="167"/>
        <v>0</v>
      </c>
      <c r="BE118" s="101">
        <f t="shared" si="168"/>
        <v>0</v>
      </c>
      <c r="BF118" s="103">
        <f t="shared" si="169"/>
        <v>0</v>
      </c>
      <c r="BG118" s="103">
        <f t="shared" si="170"/>
        <v>0</v>
      </c>
      <c r="BH118" s="103">
        <f t="shared" si="171"/>
        <v>0</v>
      </c>
      <c r="BJ118" s="78">
        <f t="shared" si="172"/>
        <v>0</v>
      </c>
      <c r="BK118" s="303" t="e">
        <f t="shared" si="173"/>
        <v>#DIV/0!</v>
      </c>
      <c r="BL118" s="75">
        <f t="shared" si="112"/>
        <v>0</v>
      </c>
      <c r="BM118" s="102">
        <f t="shared" si="113"/>
        <v>0</v>
      </c>
      <c r="BN118" s="101">
        <f t="shared" si="174"/>
        <v>0</v>
      </c>
      <c r="BO118" s="101">
        <f t="shared" si="175"/>
        <v>0</v>
      </c>
      <c r="BP118" s="101">
        <f t="shared" si="176"/>
        <v>0</v>
      </c>
      <c r="BQ118" s="103">
        <f t="shared" si="177"/>
        <v>0</v>
      </c>
      <c r="BR118" s="103">
        <f t="shared" si="178"/>
        <v>0</v>
      </c>
      <c r="BS118" s="103">
        <f t="shared" si="179"/>
        <v>0</v>
      </c>
      <c r="BU118" s="78">
        <f t="shared" si="180"/>
        <v>0</v>
      </c>
      <c r="BV118" s="303" t="e">
        <f t="shared" si="181"/>
        <v>#DIV/0!</v>
      </c>
      <c r="BW118" s="75">
        <f t="shared" si="118"/>
        <v>0</v>
      </c>
      <c r="BX118" s="102">
        <f t="shared" si="119"/>
        <v>0</v>
      </c>
      <c r="BY118" s="101">
        <f t="shared" si="182"/>
        <v>0</v>
      </c>
      <c r="BZ118" s="101">
        <f t="shared" si="183"/>
        <v>0</v>
      </c>
      <c r="CA118" s="101">
        <f t="shared" si="184"/>
        <v>0</v>
      </c>
      <c r="CB118" s="103">
        <f t="shared" si="185"/>
        <v>0</v>
      </c>
      <c r="CC118" s="103">
        <f t="shared" si="186"/>
        <v>0</v>
      </c>
      <c r="CD118" s="103">
        <f t="shared" si="187"/>
        <v>0</v>
      </c>
    </row>
    <row r="119" spans="1:82" x14ac:dyDescent="0.25">
      <c r="A119" s="96">
        <f t="shared" si="147"/>
        <v>39965</v>
      </c>
      <c r="B119" s="97">
        <f t="shared" si="124"/>
        <v>3.5950000000000002</v>
      </c>
      <c r="C119" s="77">
        <f t="shared" si="148"/>
        <v>0.20250000000000001</v>
      </c>
      <c r="D119" s="97">
        <f t="shared" si="80"/>
        <v>0</v>
      </c>
      <c r="E119" s="100">
        <f t="shared" si="81"/>
        <v>1</v>
      </c>
      <c r="F119" s="99">
        <f t="shared" ca="1" si="126"/>
        <v>2700</v>
      </c>
      <c r="G119" s="77" t="e">
        <f t="shared" si="149"/>
        <v>#DIV/0!</v>
      </c>
      <c r="H119" s="77" t="e">
        <f>IF(B$16=1,_xll.xCalcSkew(A119,I119-AO119,b)/100,0)</f>
        <v>#DIV/0!</v>
      </c>
      <c r="I119" s="98">
        <f t="shared" si="83"/>
        <v>4</v>
      </c>
      <c r="K119" s="97">
        <f t="shared" si="84"/>
        <v>2.5000000000000001E-2</v>
      </c>
      <c r="L119" s="100">
        <f t="shared" si="85"/>
        <v>1</v>
      </c>
      <c r="M119" s="99">
        <f t="shared" ca="1" si="150"/>
        <v>2701</v>
      </c>
      <c r="N119" s="175" t="e">
        <f t="shared" si="151"/>
        <v>#DIV/0!</v>
      </c>
      <c r="O119" s="77" t="e">
        <f>IF(D$16=1,_xll.xCalcSkew($A119,P119-AZ119,b)/100,0)</f>
        <v>#DIV/0!</v>
      </c>
      <c r="P119" s="98">
        <f t="shared" si="88"/>
        <v>2.5</v>
      </c>
      <c r="R119" s="97">
        <f t="shared" si="89"/>
        <v>2.5000000000000001E-2</v>
      </c>
      <c r="S119" s="100">
        <f t="shared" si="90"/>
        <v>1</v>
      </c>
      <c r="T119" s="99">
        <f t="shared" ca="1" si="152"/>
        <v>2701</v>
      </c>
      <c r="U119" s="175" t="e">
        <f t="shared" si="153"/>
        <v>#DIV/0!</v>
      </c>
      <c r="V119" s="77" t="e">
        <f>IF(F$16=1,_xll.xCalcSkew($A119,W119-BK119,b)/100,0)</f>
        <v>#DIV/0!</v>
      </c>
      <c r="W119" s="98">
        <f t="shared" si="93"/>
        <v>2.5</v>
      </c>
      <c r="X119" s="99"/>
      <c r="Y119" s="97">
        <f t="shared" si="94"/>
        <v>2.5000000000000001E-2</v>
      </c>
      <c r="Z119" s="100">
        <f t="shared" si="95"/>
        <v>1</v>
      </c>
      <c r="AA119" s="99">
        <f t="shared" ca="1" si="154"/>
        <v>2701</v>
      </c>
      <c r="AB119" s="77" t="e">
        <f t="shared" si="155"/>
        <v>#DIV/0!</v>
      </c>
      <c r="AC119" s="77" t="e">
        <f>IF(H$16=1,_xll.xCalcSkew($A119,AD119-BV119,b)/100,0)</f>
        <v>#DIV/0!</v>
      </c>
      <c r="AD119" s="98">
        <f t="shared" si="98"/>
        <v>2.4900000000000002</v>
      </c>
      <c r="AF119" s="99">
        <f t="shared" ca="1" si="127"/>
        <v>2701</v>
      </c>
      <c r="AG119" s="99">
        <f t="shared" ca="1" si="128"/>
        <v>2700</v>
      </c>
      <c r="AH119" s="77">
        <f t="shared" si="129"/>
        <v>5.6133423130551502E-2</v>
      </c>
      <c r="AI119" s="154">
        <f t="shared" si="99"/>
        <v>30</v>
      </c>
      <c r="AL119" s="99"/>
      <c r="AM119" s="78"/>
      <c r="AN119" s="78">
        <f t="shared" si="156"/>
        <v>0</v>
      </c>
      <c r="AO119" s="303" t="e">
        <f t="shared" si="157"/>
        <v>#DIV/0!</v>
      </c>
      <c r="AP119" s="75">
        <f t="shared" si="101"/>
        <v>0</v>
      </c>
      <c r="AQ119" s="102">
        <f t="shared" si="102"/>
        <v>0</v>
      </c>
      <c r="AR119" s="101">
        <f t="shared" si="158"/>
        <v>0</v>
      </c>
      <c r="AS119" s="101">
        <f t="shared" si="159"/>
        <v>0</v>
      </c>
      <c r="AT119" s="101">
        <f t="shared" si="160"/>
        <v>0</v>
      </c>
      <c r="AU119" s="103">
        <f t="shared" si="161"/>
        <v>0</v>
      </c>
      <c r="AV119" s="103">
        <f t="shared" si="162"/>
        <v>0</v>
      </c>
      <c r="AW119" s="103">
        <f t="shared" si="163"/>
        <v>0</v>
      </c>
      <c r="AY119" s="78">
        <f t="shared" si="164"/>
        <v>0</v>
      </c>
      <c r="AZ119" s="303" t="e">
        <f t="shared" si="165"/>
        <v>#DIV/0!</v>
      </c>
      <c r="BA119" s="75">
        <f t="shared" si="106"/>
        <v>0</v>
      </c>
      <c r="BB119" s="102">
        <f t="shared" si="107"/>
        <v>0</v>
      </c>
      <c r="BC119" s="101">
        <f t="shared" si="166"/>
        <v>0</v>
      </c>
      <c r="BD119" s="101">
        <f t="shared" si="167"/>
        <v>0</v>
      </c>
      <c r="BE119" s="101">
        <f t="shared" si="168"/>
        <v>0</v>
      </c>
      <c r="BF119" s="103">
        <f t="shared" si="169"/>
        <v>0</v>
      </c>
      <c r="BG119" s="103">
        <f t="shared" si="170"/>
        <v>0</v>
      </c>
      <c r="BH119" s="103">
        <f t="shared" si="171"/>
        <v>0</v>
      </c>
      <c r="BJ119" s="78">
        <f t="shared" si="172"/>
        <v>0</v>
      </c>
      <c r="BK119" s="303" t="e">
        <f t="shared" si="173"/>
        <v>#DIV/0!</v>
      </c>
      <c r="BL119" s="75">
        <f t="shared" si="112"/>
        <v>0</v>
      </c>
      <c r="BM119" s="102">
        <f t="shared" si="113"/>
        <v>0</v>
      </c>
      <c r="BN119" s="101">
        <f t="shared" si="174"/>
        <v>0</v>
      </c>
      <c r="BO119" s="101">
        <f t="shared" si="175"/>
        <v>0</v>
      </c>
      <c r="BP119" s="101">
        <f t="shared" si="176"/>
        <v>0</v>
      </c>
      <c r="BQ119" s="103">
        <f t="shared" si="177"/>
        <v>0</v>
      </c>
      <c r="BR119" s="103">
        <f t="shared" si="178"/>
        <v>0</v>
      </c>
      <c r="BS119" s="103">
        <f t="shared" si="179"/>
        <v>0</v>
      </c>
      <c r="BU119" s="78">
        <f t="shared" si="180"/>
        <v>0</v>
      </c>
      <c r="BV119" s="303" t="e">
        <f t="shared" si="181"/>
        <v>#DIV/0!</v>
      </c>
      <c r="BW119" s="75">
        <f t="shared" si="118"/>
        <v>0</v>
      </c>
      <c r="BX119" s="102">
        <f t="shared" si="119"/>
        <v>0</v>
      </c>
      <c r="BY119" s="101">
        <f t="shared" si="182"/>
        <v>0</v>
      </c>
      <c r="BZ119" s="101">
        <f t="shared" si="183"/>
        <v>0</v>
      </c>
      <c r="CA119" s="101">
        <f t="shared" si="184"/>
        <v>0</v>
      </c>
      <c r="CB119" s="103">
        <f t="shared" si="185"/>
        <v>0</v>
      </c>
      <c r="CC119" s="103">
        <f t="shared" si="186"/>
        <v>0</v>
      </c>
      <c r="CD119" s="103">
        <f t="shared" si="187"/>
        <v>0</v>
      </c>
    </row>
    <row r="120" spans="1:82" x14ac:dyDescent="0.25">
      <c r="A120" s="96">
        <f t="shared" si="147"/>
        <v>39995</v>
      </c>
      <c r="B120" s="97">
        <f t="shared" si="124"/>
        <v>3.6349999999999998</v>
      </c>
      <c r="C120" s="77">
        <f t="shared" si="148"/>
        <v>0.20250000000000001</v>
      </c>
      <c r="D120" s="97">
        <f t="shared" si="80"/>
        <v>0</v>
      </c>
      <c r="E120" s="100">
        <f t="shared" si="81"/>
        <v>1</v>
      </c>
      <c r="F120" s="99">
        <f t="shared" ca="1" si="126"/>
        <v>2730</v>
      </c>
      <c r="G120" s="77" t="e">
        <f t="shared" si="149"/>
        <v>#DIV/0!</v>
      </c>
      <c r="H120" s="77" t="e">
        <f>IF(B$16=1,_xll.xCalcSkew(A120,I120-AO120,b)/100,0)</f>
        <v>#DIV/0!</v>
      </c>
      <c r="I120" s="98">
        <f t="shared" si="83"/>
        <v>4</v>
      </c>
      <c r="K120" s="97">
        <f t="shared" si="84"/>
        <v>2.75E-2</v>
      </c>
      <c r="L120" s="100">
        <f t="shared" si="85"/>
        <v>1</v>
      </c>
      <c r="M120" s="99">
        <f t="shared" ca="1" si="150"/>
        <v>2731</v>
      </c>
      <c r="N120" s="175" t="e">
        <f t="shared" si="151"/>
        <v>#DIV/0!</v>
      </c>
      <c r="O120" s="77" t="e">
        <f>IF(D$16=1,_xll.xCalcSkew($A120,P120-AZ120,b)/100,0)</f>
        <v>#DIV/0!</v>
      </c>
      <c r="P120" s="98">
        <f t="shared" si="88"/>
        <v>2.5</v>
      </c>
      <c r="R120" s="97">
        <f t="shared" si="89"/>
        <v>2.75E-2</v>
      </c>
      <c r="S120" s="100">
        <f t="shared" si="90"/>
        <v>1</v>
      </c>
      <c r="T120" s="99">
        <f t="shared" ca="1" si="152"/>
        <v>2731</v>
      </c>
      <c r="U120" s="175" t="e">
        <f t="shared" si="153"/>
        <v>#DIV/0!</v>
      </c>
      <c r="V120" s="77" t="e">
        <f>IF(F$16=1,_xll.xCalcSkew($A120,W120-BK120,b)/100,0)</f>
        <v>#DIV/0!</v>
      </c>
      <c r="W120" s="98">
        <f t="shared" si="93"/>
        <v>2.5</v>
      </c>
      <c r="X120" s="99"/>
      <c r="Y120" s="97">
        <f t="shared" si="94"/>
        <v>2.75E-2</v>
      </c>
      <c r="Z120" s="100">
        <f t="shared" si="95"/>
        <v>1</v>
      </c>
      <c r="AA120" s="99">
        <f t="shared" ca="1" si="154"/>
        <v>2731</v>
      </c>
      <c r="AB120" s="77" t="e">
        <f t="shared" si="155"/>
        <v>#DIV/0!</v>
      </c>
      <c r="AC120" s="77" t="e">
        <f>IF(H$16=1,_xll.xCalcSkew($A120,AD120-BV120,b)/100,0)</f>
        <v>#DIV/0!</v>
      </c>
      <c r="AD120" s="98">
        <f t="shared" si="98"/>
        <v>2.4900000000000002</v>
      </c>
      <c r="AF120" s="99">
        <f t="shared" ca="1" si="127"/>
        <v>2731</v>
      </c>
      <c r="AG120" s="99">
        <f t="shared" ca="1" si="128"/>
        <v>2730</v>
      </c>
      <c r="AH120" s="77">
        <f t="shared" si="129"/>
        <v>5.6233582873363101E-2</v>
      </c>
      <c r="AI120" s="154">
        <f t="shared" si="99"/>
        <v>31</v>
      </c>
      <c r="AL120" s="99"/>
      <c r="AM120" s="78"/>
      <c r="AN120" s="78">
        <f t="shared" si="156"/>
        <v>0</v>
      </c>
      <c r="AO120" s="303" t="e">
        <f t="shared" si="157"/>
        <v>#DIV/0!</v>
      </c>
      <c r="AP120" s="75">
        <f t="shared" si="101"/>
        <v>0</v>
      </c>
      <c r="AQ120" s="102">
        <f t="shared" si="102"/>
        <v>0</v>
      </c>
      <c r="AR120" s="101">
        <f t="shared" si="158"/>
        <v>0</v>
      </c>
      <c r="AS120" s="101">
        <f t="shared" si="159"/>
        <v>0</v>
      </c>
      <c r="AT120" s="101">
        <f t="shared" si="160"/>
        <v>0</v>
      </c>
      <c r="AU120" s="103">
        <f t="shared" si="161"/>
        <v>0</v>
      </c>
      <c r="AV120" s="103">
        <f t="shared" si="162"/>
        <v>0</v>
      </c>
      <c r="AW120" s="103">
        <f t="shared" si="163"/>
        <v>0</v>
      </c>
      <c r="AY120" s="78">
        <f t="shared" si="164"/>
        <v>0</v>
      </c>
      <c r="AZ120" s="303" t="e">
        <f t="shared" si="165"/>
        <v>#DIV/0!</v>
      </c>
      <c r="BA120" s="75">
        <f t="shared" si="106"/>
        <v>0</v>
      </c>
      <c r="BB120" s="102">
        <f t="shared" si="107"/>
        <v>0</v>
      </c>
      <c r="BC120" s="101">
        <f t="shared" si="166"/>
        <v>0</v>
      </c>
      <c r="BD120" s="101">
        <f t="shared" si="167"/>
        <v>0</v>
      </c>
      <c r="BE120" s="101">
        <f t="shared" si="168"/>
        <v>0</v>
      </c>
      <c r="BF120" s="103">
        <f t="shared" si="169"/>
        <v>0</v>
      </c>
      <c r="BG120" s="103">
        <f t="shared" si="170"/>
        <v>0</v>
      </c>
      <c r="BH120" s="103">
        <f t="shared" si="171"/>
        <v>0</v>
      </c>
      <c r="BJ120" s="78">
        <f t="shared" si="172"/>
        <v>0</v>
      </c>
      <c r="BK120" s="303" t="e">
        <f t="shared" si="173"/>
        <v>#DIV/0!</v>
      </c>
      <c r="BL120" s="75">
        <f t="shared" si="112"/>
        <v>0</v>
      </c>
      <c r="BM120" s="102">
        <f t="shared" si="113"/>
        <v>0</v>
      </c>
      <c r="BN120" s="101">
        <f t="shared" si="174"/>
        <v>0</v>
      </c>
      <c r="BO120" s="101">
        <f t="shared" si="175"/>
        <v>0</v>
      </c>
      <c r="BP120" s="101">
        <f t="shared" si="176"/>
        <v>0</v>
      </c>
      <c r="BQ120" s="103">
        <f t="shared" si="177"/>
        <v>0</v>
      </c>
      <c r="BR120" s="103">
        <f t="shared" si="178"/>
        <v>0</v>
      </c>
      <c r="BS120" s="103">
        <f t="shared" si="179"/>
        <v>0</v>
      </c>
      <c r="BU120" s="78">
        <f t="shared" si="180"/>
        <v>0</v>
      </c>
      <c r="BV120" s="303" t="e">
        <f t="shared" si="181"/>
        <v>#DIV/0!</v>
      </c>
      <c r="BW120" s="75">
        <f t="shared" si="118"/>
        <v>0</v>
      </c>
      <c r="BX120" s="102">
        <f t="shared" si="119"/>
        <v>0</v>
      </c>
      <c r="BY120" s="101">
        <f t="shared" si="182"/>
        <v>0</v>
      </c>
      <c r="BZ120" s="101">
        <f t="shared" si="183"/>
        <v>0</v>
      </c>
      <c r="CA120" s="101">
        <f t="shared" si="184"/>
        <v>0</v>
      </c>
      <c r="CB120" s="103">
        <f t="shared" si="185"/>
        <v>0</v>
      </c>
      <c r="CC120" s="103">
        <f t="shared" si="186"/>
        <v>0</v>
      </c>
      <c r="CD120" s="103">
        <f t="shared" si="187"/>
        <v>0</v>
      </c>
    </row>
    <row r="121" spans="1:82" x14ac:dyDescent="0.25">
      <c r="A121" s="96">
        <f t="shared" si="147"/>
        <v>40026</v>
      </c>
      <c r="B121" s="97">
        <f t="shared" si="124"/>
        <v>3.6749999999999998</v>
      </c>
      <c r="C121" s="77">
        <f t="shared" si="148"/>
        <v>0.20250000000000001</v>
      </c>
      <c r="D121" s="97">
        <f t="shared" si="80"/>
        <v>0</v>
      </c>
      <c r="E121" s="100">
        <f t="shared" si="81"/>
        <v>1</v>
      </c>
      <c r="F121" s="99">
        <f t="shared" ca="1" si="126"/>
        <v>2763</v>
      </c>
      <c r="G121" s="77" t="e">
        <f t="shared" si="149"/>
        <v>#DIV/0!</v>
      </c>
      <c r="H121" s="77" t="e">
        <f>IF(B$16=1,_xll.xCalcSkew(A121,I121-AO121,b)/100,0)</f>
        <v>#DIV/0!</v>
      </c>
      <c r="I121" s="98">
        <f t="shared" si="83"/>
        <v>4</v>
      </c>
      <c r="K121" s="97">
        <f t="shared" si="84"/>
        <v>0.03</v>
      </c>
      <c r="L121" s="100">
        <f t="shared" si="85"/>
        <v>1</v>
      </c>
      <c r="M121" s="99">
        <f t="shared" ca="1" si="150"/>
        <v>2764</v>
      </c>
      <c r="N121" s="175" t="e">
        <f t="shared" si="151"/>
        <v>#DIV/0!</v>
      </c>
      <c r="O121" s="77" t="e">
        <f>IF(D$16=1,_xll.xCalcSkew($A121,P121-AZ121,b)/100,0)</f>
        <v>#DIV/0!</v>
      </c>
      <c r="P121" s="98">
        <f t="shared" si="88"/>
        <v>2.5</v>
      </c>
      <c r="R121" s="97">
        <f t="shared" si="89"/>
        <v>0.03</v>
      </c>
      <c r="S121" s="100">
        <f t="shared" si="90"/>
        <v>1</v>
      </c>
      <c r="T121" s="99">
        <f t="shared" ca="1" si="152"/>
        <v>2764</v>
      </c>
      <c r="U121" s="175" t="e">
        <f t="shared" si="153"/>
        <v>#DIV/0!</v>
      </c>
      <c r="V121" s="77" t="e">
        <f>IF(F$16=1,_xll.xCalcSkew($A121,W121-BK121,b)/100,0)</f>
        <v>#DIV/0!</v>
      </c>
      <c r="W121" s="98">
        <f t="shared" si="93"/>
        <v>2.5</v>
      </c>
      <c r="X121" s="99"/>
      <c r="Y121" s="97">
        <f t="shared" si="94"/>
        <v>0.03</v>
      </c>
      <c r="Z121" s="100">
        <f t="shared" si="95"/>
        <v>1</v>
      </c>
      <c r="AA121" s="99">
        <f t="shared" ca="1" si="154"/>
        <v>2764</v>
      </c>
      <c r="AB121" s="77" t="e">
        <f t="shared" si="155"/>
        <v>#DIV/0!</v>
      </c>
      <c r="AC121" s="77" t="e">
        <f>IF(H$16=1,_xll.xCalcSkew($A121,AD121-BV121,b)/100,0)</f>
        <v>#DIV/0!</v>
      </c>
      <c r="AD121" s="98">
        <f t="shared" si="98"/>
        <v>2.4900000000000002</v>
      </c>
      <c r="AF121" s="99">
        <f t="shared" ca="1" si="127"/>
        <v>2764</v>
      </c>
      <c r="AG121" s="99">
        <f t="shared" ca="1" si="128"/>
        <v>2763</v>
      </c>
      <c r="AH121" s="77">
        <f t="shared" si="129"/>
        <v>5.6337081277775702E-2</v>
      </c>
      <c r="AI121" s="154">
        <f t="shared" si="99"/>
        <v>31</v>
      </c>
      <c r="AL121" s="99"/>
      <c r="AM121" s="78"/>
      <c r="AN121" s="78">
        <f t="shared" si="156"/>
        <v>0</v>
      </c>
      <c r="AO121" s="303" t="e">
        <f t="shared" si="157"/>
        <v>#DIV/0!</v>
      </c>
      <c r="AP121" s="75">
        <f t="shared" si="101"/>
        <v>0</v>
      </c>
      <c r="AQ121" s="102">
        <f t="shared" si="102"/>
        <v>0</v>
      </c>
      <c r="AR121" s="101">
        <f t="shared" si="158"/>
        <v>0</v>
      </c>
      <c r="AS121" s="101">
        <f t="shared" si="159"/>
        <v>0</v>
      </c>
      <c r="AT121" s="101">
        <f t="shared" si="160"/>
        <v>0</v>
      </c>
      <c r="AU121" s="103">
        <f t="shared" si="161"/>
        <v>0</v>
      </c>
      <c r="AV121" s="103">
        <f t="shared" si="162"/>
        <v>0</v>
      </c>
      <c r="AW121" s="103">
        <f t="shared" si="163"/>
        <v>0</v>
      </c>
      <c r="AY121" s="78">
        <f t="shared" si="164"/>
        <v>0</v>
      </c>
      <c r="AZ121" s="303" t="e">
        <f t="shared" si="165"/>
        <v>#DIV/0!</v>
      </c>
      <c r="BA121" s="75">
        <f t="shared" si="106"/>
        <v>0</v>
      </c>
      <c r="BB121" s="102">
        <f t="shared" si="107"/>
        <v>0</v>
      </c>
      <c r="BC121" s="101">
        <f t="shared" si="166"/>
        <v>0</v>
      </c>
      <c r="BD121" s="101">
        <f t="shared" si="167"/>
        <v>0</v>
      </c>
      <c r="BE121" s="101">
        <f t="shared" si="168"/>
        <v>0</v>
      </c>
      <c r="BF121" s="103">
        <f t="shared" si="169"/>
        <v>0</v>
      </c>
      <c r="BG121" s="103">
        <f t="shared" si="170"/>
        <v>0</v>
      </c>
      <c r="BH121" s="103">
        <f t="shared" si="171"/>
        <v>0</v>
      </c>
      <c r="BJ121" s="78">
        <f t="shared" si="172"/>
        <v>0</v>
      </c>
      <c r="BK121" s="303" t="e">
        <f t="shared" si="173"/>
        <v>#DIV/0!</v>
      </c>
      <c r="BL121" s="75">
        <f t="shared" si="112"/>
        <v>0</v>
      </c>
      <c r="BM121" s="102">
        <f t="shared" si="113"/>
        <v>0</v>
      </c>
      <c r="BN121" s="101">
        <f t="shared" si="174"/>
        <v>0</v>
      </c>
      <c r="BO121" s="101">
        <f t="shared" si="175"/>
        <v>0</v>
      </c>
      <c r="BP121" s="101">
        <f t="shared" si="176"/>
        <v>0</v>
      </c>
      <c r="BQ121" s="103">
        <f t="shared" si="177"/>
        <v>0</v>
      </c>
      <c r="BR121" s="103">
        <f t="shared" si="178"/>
        <v>0</v>
      </c>
      <c r="BS121" s="103">
        <f t="shared" si="179"/>
        <v>0</v>
      </c>
      <c r="BU121" s="78">
        <f t="shared" si="180"/>
        <v>0</v>
      </c>
      <c r="BV121" s="303" t="e">
        <f t="shared" si="181"/>
        <v>#DIV/0!</v>
      </c>
      <c r="BW121" s="75">
        <f t="shared" si="118"/>
        <v>0</v>
      </c>
      <c r="BX121" s="102">
        <f t="shared" si="119"/>
        <v>0</v>
      </c>
      <c r="BY121" s="101">
        <f t="shared" si="182"/>
        <v>0</v>
      </c>
      <c r="BZ121" s="101">
        <f t="shared" si="183"/>
        <v>0</v>
      </c>
      <c r="CA121" s="101">
        <f t="shared" si="184"/>
        <v>0</v>
      </c>
      <c r="CB121" s="103">
        <f t="shared" si="185"/>
        <v>0</v>
      </c>
      <c r="CC121" s="103">
        <f t="shared" si="186"/>
        <v>0</v>
      </c>
      <c r="CD121" s="103">
        <f t="shared" si="187"/>
        <v>0</v>
      </c>
    </row>
    <row r="122" spans="1:82" x14ac:dyDescent="0.25">
      <c r="A122" s="96">
        <f t="shared" si="147"/>
        <v>40057</v>
      </c>
      <c r="B122" s="97">
        <f t="shared" si="124"/>
        <v>3.67</v>
      </c>
      <c r="C122" s="77">
        <f t="shared" si="148"/>
        <v>0.20250000000000001</v>
      </c>
      <c r="D122" s="97">
        <f t="shared" si="80"/>
        <v>0</v>
      </c>
      <c r="E122" s="100">
        <f t="shared" si="81"/>
        <v>1</v>
      </c>
      <c r="F122" s="99">
        <f t="shared" ca="1" si="126"/>
        <v>2792</v>
      </c>
      <c r="G122" s="77" t="e">
        <f t="shared" si="149"/>
        <v>#DIV/0!</v>
      </c>
      <c r="H122" s="77" t="e">
        <f>IF(B$16=1,_xll.xCalcSkew(A122,I122-AO122,b)/100,0)</f>
        <v>#DIV/0!</v>
      </c>
      <c r="I122" s="98">
        <f t="shared" si="83"/>
        <v>4</v>
      </c>
      <c r="K122" s="97">
        <f t="shared" si="84"/>
        <v>2.2499999999999999E-2</v>
      </c>
      <c r="L122" s="100">
        <f t="shared" si="85"/>
        <v>1</v>
      </c>
      <c r="M122" s="99">
        <f t="shared" ca="1" si="150"/>
        <v>2793</v>
      </c>
      <c r="N122" s="175" t="e">
        <f t="shared" si="151"/>
        <v>#DIV/0!</v>
      </c>
      <c r="O122" s="77" t="e">
        <f>IF(D$16=1,_xll.xCalcSkew($A122,P122-AZ122,b)/100,0)</f>
        <v>#DIV/0!</v>
      </c>
      <c r="P122" s="98">
        <f t="shared" si="88"/>
        <v>2.5</v>
      </c>
      <c r="R122" s="97">
        <f t="shared" si="89"/>
        <v>2.2499999999999999E-2</v>
      </c>
      <c r="S122" s="100">
        <f t="shared" si="90"/>
        <v>1</v>
      </c>
      <c r="T122" s="99">
        <f t="shared" ca="1" si="152"/>
        <v>2793</v>
      </c>
      <c r="U122" s="175" t="e">
        <f t="shared" si="153"/>
        <v>#DIV/0!</v>
      </c>
      <c r="V122" s="77" t="e">
        <f>IF(F$16=1,_xll.xCalcSkew($A122,W122-BK122,b)/100,0)</f>
        <v>#DIV/0!</v>
      </c>
      <c r="W122" s="98">
        <f t="shared" si="93"/>
        <v>2.5</v>
      </c>
      <c r="X122" s="99"/>
      <c r="Y122" s="97">
        <f t="shared" si="94"/>
        <v>2.2499999999999999E-2</v>
      </c>
      <c r="Z122" s="100">
        <f t="shared" si="95"/>
        <v>1</v>
      </c>
      <c r="AA122" s="99">
        <f t="shared" ca="1" si="154"/>
        <v>2793</v>
      </c>
      <c r="AB122" s="77" t="e">
        <f t="shared" si="155"/>
        <v>#DIV/0!</v>
      </c>
      <c r="AC122" s="77" t="e">
        <f>IF(H$16=1,_xll.xCalcSkew($A122,AD122-BV122,b)/100,0)</f>
        <v>#DIV/0!</v>
      </c>
      <c r="AD122" s="98">
        <f t="shared" si="98"/>
        <v>2.4900000000000002</v>
      </c>
      <c r="AF122" s="99">
        <f t="shared" ca="1" si="127"/>
        <v>2793</v>
      </c>
      <c r="AG122" s="99">
        <f t="shared" ca="1" si="128"/>
        <v>2792</v>
      </c>
      <c r="AH122" s="77">
        <f t="shared" si="129"/>
        <v>5.6440579685754798E-2</v>
      </c>
      <c r="AI122" s="154">
        <f t="shared" si="99"/>
        <v>30</v>
      </c>
      <c r="AL122" s="99"/>
      <c r="AM122" s="78"/>
      <c r="AN122" s="78">
        <f t="shared" si="156"/>
        <v>0</v>
      </c>
      <c r="AO122" s="303" t="e">
        <f t="shared" si="157"/>
        <v>#DIV/0!</v>
      </c>
      <c r="AP122" s="75">
        <f t="shared" si="101"/>
        <v>0</v>
      </c>
      <c r="AQ122" s="102">
        <f t="shared" si="102"/>
        <v>0</v>
      </c>
      <c r="AR122" s="101">
        <f t="shared" si="158"/>
        <v>0</v>
      </c>
      <c r="AS122" s="101">
        <f t="shared" si="159"/>
        <v>0</v>
      </c>
      <c r="AT122" s="101">
        <f t="shared" si="160"/>
        <v>0</v>
      </c>
      <c r="AU122" s="103">
        <f t="shared" si="161"/>
        <v>0</v>
      </c>
      <c r="AV122" s="103">
        <f t="shared" si="162"/>
        <v>0</v>
      </c>
      <c r="AW122" s="103">
        <f t="shared" si="163"/>
        <v>0</v>
      </c>
      <c r="AY122" s="78">
        <f t="shared" si="164"/>
        <v>0</v>
      </c>
      <c r="AZ122" s="303" t="e">
        <f t="shared" si="165"/>
        <v>#DIV/0!</v>
      </c>
      <c r="BA122" s="75">
        <f t="shared" si="106"/>
        <v>0</v>
      </c>
      <c r="BB122" s="102">
        <f t="shared" si="107"/>
        <v>0</v>
      </c>
      <c r="BC122" s="101">
        <f t="shared" si="166"/>
        <v>0</v>
      </c>
      <c r="BD122" s="101">
        <f t="shared" si="167"/>
        <v>0</v>
      </c>
      <c r="BE122" s="101">
        <f t="shared" si="168"/>
        <v>0</v>
      </c>
      <c r="BF122" s="103">
        <f t="shared" si="169"/>
        <v>0</v>
      </c>
      <c r="BG122" s="103">
        <f t="shared" si="170"/>
        <v>0</v>
      </c>
      <c r="BH122" s="103">
        <f t="shared" si="171"/>
        <v>0</v>
      </c>
      <c r="BJ122" s="78">
        <f t="shared" si="172"/>
        <v>0</v>
      </c>
      <c r="BK122" s="303" t="e">
        <f t="shared" si="173"/>
        <v>#DIV/0!</v>
      </c>
      <c r="BL122" s="75">
        <f t="shared" si="112"/>
        <v>0</v>
      </c>
      <c r="BM122" s="102">
        <f t="shared" si="113"/>
        <v>0</v>
      </c>
      <c r="BN122" s="101">
        <f t="shared" si="174"/>
        <v>0</v>
      </c>
      <c r="BO122" s="101">
        <f t="shared" si="175"/>
        <v>0</v>
      </c>
      <c r="BP122" s="101">
        <f t="shared" si="176"/>
        <v>0</v>
      </c>
      <c r="BQ122" s="103">
        <f t="shared" si="177"/>
        <v>0</v>
      </c>
      <c r="BR122" s="103">
        <f t="shared" si="178"/>
        <v>0</v>
      </c>
      <c r="BS122" s="103">
        <f t="shared" si="179"/>
        <v>0</v>
      </c>
      <c r="BU122" s="78">
        <f t="shared" si="180"/>
        <v>0</v>
      </c>
      <c r="BV122" s="303" t="e">
        <f t="shared" si="181"/>
        <v>#DIV/0!</v>
      </c>
      <c r="BW122" s="75">
        <f t="shared" si="118"/>
        <v>0</v>
      </c>
      <c r="BX122" s="102">
        <f t="shared" si="119"/>
        <v>0</v>
      </c>
      <c r="BY122" s="101">
        <f t="shared" si="182"/>
        <v>0</v>
      </c>
      <c r="BZ122" s="101">
        <f t="shared" si="183"/>
        <v>0</v>
      </c>
      <c r="CA122" s="101">
        <f t="shared" si="184"/>
        <v>0</v>
      </c>
      <c r="CB122" s="103">
        <f t="shared" si="185"/>
        <v>0</v>
      </c>
      <c r="CC122" s="103">
        <f t="shared" si="186"/>
        <v>0</v>
      </c>
      <c r="CD122" s="103">
        <f t="shared" si="187"/>
        <v>0</v>
      </c>
    </row>
    <row r="123" spans="1:82" x14ac:dyDescent="0.25">
      <c r="A123" s="96">
        <f t="shared" si="147"/>
        <v>40087</v>
      </c>
      <c r="B123" s="97">
        <f t="shared" si="124"/>
        <v>3.6949999999999998</v>
      </c>
      <c r="C123" s="77">
        <f t="shared" si="148"/>
        <v>0.20250000000000001</v>
      </c>
      <c r="D123" s="97">
        <f t="shared" si="80"/>
        <v>0</v>
      </c>
      <c r="E123" s="100">
        <f t="shared" si="81"/>
        <v>1</v>
      </c>
      <c r="F123" s="99">
        <f t="shared" ca="1" si="126"/>
        <v>2822</v>
      </c>
      <c r="G123" s="77" t="e">
        <f t="shared" si="149"/>
        <v>#DIV/0!</v>
      </c>
      <c r="H123" s="77" t="e">
        <f>IF(B$16=1,_xll.xCalcSkew(A123,I123-AO123,b)/100,0)</f>
        <v>#DIV/0!</v>
      </c>
      <c r="I123" s="98">
        <f t="shared" si="83"/>
        <v>4</v>
      </c>
      <c r="K123" s="97">
        <f t="shared" si="84"/>
        <v>1.2500000000000001E-2</v>
      </c>
      <c r="L123" s="100">
        <f t="shared" si="85"/>
        <v>1</v>
      </c>
      <c r="M123" s="99">
        <f t="shared" ca="1" si="150"/>
        <v>2825</v>
      </c>
      <c r="N123" s="175" t="e">
        <f t="shared" si="151"/>
        <v>#DIV/0!</v>
      </c>
      <c r="O123" s="77" t="e">
        <f>IF(D$16=1,_xll.xCalcSkew($A123,P123-AZ123,b)/100,0)</f>
        <v>#DIV/0!</v>
      </c>
      <c r="P123" s="98">
        <f t="shared" si="88"/>
        <v>2.5</v>
      </c>
      <c r="R123" s="97">
        <f t="shared" si="89"/>
        <v>1.2500000000000001E-2</v>
      </c>
      <c r="S123" s="100">
        <f t="shared" si="90"/>
        <v>1</v>
      </c>
      <c r="T123" s="99">
        <f t="shared" ca="1" si="152"/>
        <v>2825</v>
      </c>
      <c r="U123" s="175" t="e">
        <f t="shared" si="153"/>
        <v>#DIV/0!</v>
      </c>
      <c r="V123" s="77" t="e">
        <f>IF(F$16=1,_xll.xCalcSkew($A123,W123-BK123,b)/100,0)</f>
        <v>#DIV/0!</v>
      </c>
      <c r="W123" s="98">
        <f t="shared" si="93"/>
        <v>2.5</v>
      </c>
      <c r="X123" s="99"/>
      <c r="Y123" s="97">
        <f t="shared" si="94"/>
        <v>1.2500000000000001E-2</v>
      </c>
      <c r="Z123" s="100">
        <f t="shared" si="95"/>
        <v>1</v>
      </c>
      <c r="AA123" s="99">
        <f t="shared" ca="1" si="154"/>
        <v>2825</v>
      </c>
      <c r="AB123" s="77" t="e">
        <f t="shared" si="155"/>
        <v>#DIV/0!</v>
      </c>
      <c r="AC123" s="77" t="e">
        <f>IF(H$16=1,_xll.xCalcSkew($A123,AD123-BV123,b)/100,0)</f>
        <v>#DIV/0!</v>
      </c>
      <c r="AD123" s="98">
        <f t="shared" si="98"/>
        <v>2.4900000000000002</v>
      </c>
      <c r="AF123" s="99">
        <f t="shared" ca="1" si="127"/>
        <v>2825</v>
      </c>
      <c r="AG123" s="99">
        <f t="shared" ca="1" si="128"/>
        <v>2822</v>
      </c>
      <c r="AH123" s="77">
        <f t="shared" si="129"/>
        <v>5.6540739438806199E-2</v>
      </c>
      <c r="AI123" s="154">
        <f t="shared" si="99"/>
        <v>31</v>
      </c>
      <c r="AL123" s="99"/>
      <c r="AM123" s="78"/>
      <c r="AN123" s="78">
        <f t="shared" si="156"/>
        <v>0</v>
      </c>
      <c r="AO123" s="303" t="e">
        <f t="shared" si="157"/>
        <v>#DIV/0!</v>
      </c>
      <c r="AP123" s="75">
        <f t="shared" si="101"/>
        <v>0</v>
      </c>
      <c r="AQ123" s="102">
        <f t="shared" si="102"/>
        <v>0</v>
      </c>
      <c r="AR123" s="101">
        <f t="shared" si="158"/>
        <v>0</v>
      </c>
      <c r="AS123" s="101">
        <f t="shared" si="159"/>
        <v>0</v>
      </c>
      <c r="AT123" s="101">
        <f t="shared" si="160"/>
        <v>0</v>
      </c>
      <c r="AU123" s="103">
        <f t="shared" si="161"/>
        <v>0</v>
      </c>
      <c r="AV123" s="103">
        <f t="shared" si="162"/>
        <v>0</v>
      </c>
      <c r="AW123" s="103">
        <f t="shared" si="163"/>
        <v>0</v>
      </c>
      <c r="AY123" s="78">
        <f t="shared" si="164"/>
        <v>0</v>
      </c>
      <c r="AZ123" s="303" t="e">
        <f t="shared" si="165"/>
        <v>#DIV/0!</v>
      </c>
      <c r="BA123" s="75">
        <f t="shared" si="106"/>
        <v>0</v>
      </c>
      <c r="BB123" s="102">
        <f t="shared" si="107"/>
        <v>0</v>
      </c>
      <c r="BC123" s="101">
        <f t="shared" si="166"/>
        <v>0</v>
      </c>
      <c r="BD123" s="101">
        <f t="shared" si="167"/>
        <v>0</v>
      </c>
      <c r="BE123" s="101">
        <f t="shared" si="168"/>
        <v>0</v>
      </c>
      <c r="BF123" s="103">
        <f t="shared" si="169"/>
        <v>0</v>
      </c>
      <c r="BG123" s="103">
        <f t="shared" si="170"/>
        <v>0</v>
      </c>
      <c r="BH123" s="103">
        <f t="shared" si="171"/>
        <v>0</v>
      </c>
      <c r="BJ123" s="78">
        <f t="shared" si="172"/>
        <v>0</v>
      </c>
      <c r="BK123" s="303" t="e">
        <f t="shared" si="173"/>
        <v>#DIV/0!</v>
      </c>
      <c r="BL123" s="75">
        <f t="shared" si="112"/>
        <v>0</v>
      </c>
      <c r="BM123" s="102">
        <f t="shared" si="113"/>
        <v>0</v>
      </c>
      <c r="BN123" s="101">
        <f t="shared" si="174"/>
        <v>0</v>
      </c>
      <c r="BO123" s="101">
        <f t="shared" si="175"/>
        <v>0</v>
      </c>
      <c r="BP123" s="101">
        <f t="shared" si="176"/>
        <v>0</v>
      </c>
      <c r="BQ123" s="103">
        <f t="shared" si="177"/>
        <v>0</v>
      </c>
      <c r="BR123" s="103">
        <f t="shared" si="178"/>
        <v>0</v>
      </c>
      <c r="BS123" s="103">
        <f t="shared" si="179"/>
        <v>0</v>
      </c>
      <c r="BU123" s="78">
        <f t="shared" si="180"/>
        <v>0</v>
      </c>
      <c r="BV123" s="303" t="e">
        <f t="shared" si="181"/>
        <v>#DIV/0!</v>
      </c>
      <c r="BW123" s="75">
        <f t="shared" si="118"/>
        <v>0</v>
      </c>
      <c r="BX123" s="102">
        <f t="shared" si="119"/>
        <v>0</v>
      </c>
      <c r="BY123" s="101">
        <f t="shared" si="182"/>
        <v>0</v>
      </c>
      <c r="BZ123" s="101">
        <f t="shared" si="183"/>
        <v>0</v>
      </c>
      <c r="CA123" s="101">
        <f t="shared" si="184"/>
        <v>0</v>
      </c>
      <c r="CB123" s="103">
        <f t="shared" si="185"/>
        <v>0</v>
      </c>
      <c r="CC123" s="103">
        <f t="shared" si="186"/>
        <v>0</v>
      </c>
      <c r="CD123" s="103">
        <f t="shared" si="187"/>
        <v>0</v>
      </c>
    </row>
    <row r="124" spans="1:82" x14ac:dyDescent="0.25">
      <c r="A124" s="96">
        <f t="shared" si="147"/>
        <v>40118</v>
      </c>
      <c r="B124" s="97">
        <f t="shared" si="124"/>
        <v>3.847</v>
      </c>
      <c r="C124" s="77">
        <f t="shared" si="148"/>
        <v>0.20250000000000001</v>
      </c>
      <c r="D124" s="97">
        <f t="shared" si="80"/>
        <v>0</v>
      </c>
      <c r="E124" s="100">
        <f t="shared" si="81"/>
        <v>1</v>
      </c>
      <c r="F124" s="99">
        <f t="shared" ca="1" si="126"/>
        <v>2854</v>
      </c>
      <c r="G124" s="77" t="e">
        <f t="shared" si="149"/>
        <v>#DIV/0!</v>
      </c>
      <c r="H124" s="77" t="e">
        <f>IF(B$16=1,_xll.xCalcSkew(A124,I124-AO124,b)/100,0)</f>
        <v>#DIV/0!</v>
      </c>
      <c r="I124" s="98">
        <f t="shared" si="83"/>
        <v>4</v>
      </c>
      <c r="K124" s="97">
        <f t="shared" si="84"/>
        <v>-2.2499999999999999E-2</v>
      </c>
      <c r="L124" s="100">
        <f t="shared" si="85"/>
        <v>1</v>
      </c>
      <c r="M124" s="99">
        <f t="shared" ca="1" si="150"/>
        <v>2855</v>
      </c>
      <c r="N124" s="175" t="e">
        <f t="shared" si="151"/>
        <v>#DIV/0!</v>
      </c>
      <c r="O124" s="77" t="e">
        <f>IF(D$16=1,_xll.xCalcSkew($A124,P124-AZ124,b)/100,0)</f>
        <v>#DIV/0!</v>
      </c>
      <c r="P124" s="98">
        <f t="shared" si="88"/>
        <v>2.5</v>
      </c>
      <c r="R124" s="97">
        <f t="shared" si="89"/>
        <v>-2.2499999999999999E-2</v>
      </c>
      <c r="S124" s="100">
        <f t="shared" si="90"/>
        <v>1</v>
      </c>
      <c r="T124" s="99">
        <f t="shared" ca="1" si="152"/>
        <v>2855</v>
      </c>
      <c r="U124" s="175" t="e">
        <f t="shared" si="153"/>
        <v>#DIV/0!</v>
      </c>
      <c r="V124" s="77" t="e">
        <f>IF(F$16=1,_xll.xCalcSkew($A124,W124-BK124,b)/100,0)</f>
        <v>#DIV/0!</v>
      </c>
      <c r="W124" s="98">
        <f t="shared" si="93"/>
        <v>2.5</v>
      </c>
      <c r="X124" s="99"/>
      <c r="Y124" s="97">
        <f t="shared" si="94"/>
        <v>-2.2499999999999999E-2</v>
      </c>
      <c r="Z124" s="100">
        <f t="shared" si="95"/>
        <v>1</v>
      </c>
      <c r="AA124" s="99">
        <f t="shared" ca="1" si="154"/>
        <v>2855</v>
      </c>
      <c r="AB124" s="77" t="e">
        <f t="shared" si="155"/>
        <v>#DIV/0!</v>
      </c>
      <c r="AC124" s="77" t="e">
        <f>IF(H$16=1,_xll.xCalcSkew($A124,AD124-BV124,b)/100,0)</f>
        <v>#DIV/0!</v>
      </c>
      <c r="AD124" s="98">
        <f t="shared" si="98"/>
        <v>2.4900000000000002</v>
      </c>
      <c r="AF124" s="99">
        <f t="shared" ca="1" si="127"/>
        <v>2855</v>
      </c>
      <c r="AG124" s="99">
        <f t="shared" ca="1" si="128"/>
        <v>2854</v>
      </c>
      <c r="AH124" s="77">
        <f t="shared" si="129"/>
        <v>5.66442378538001E-2</v>
      </c>
      <c r="AI124" s="154">
        <f t="shared" si="99"/>
        <v>30</v>
      </c>
      <c r="AL124" s="99"/>
      <c r="AM124" s="78"/>
      <c r="AN124" s="78">
        <f t="shared" si="156"/>
        <v>0</v>
      </c>
      <c r="AO124" s="303" t="e">
        <f t="shared" si="157"/>
        <v>#DIV/0!</v>
      </c>
      <c r="AP124" s="75">
        <f t="shared" si="101"/>
        <v>0</v>
      </c>
      <c r="AQ124" s="102">
        <f t="shared" si="102"/>
        <v>0</v>
      </c>
      <c r="AR124" s="101">
        <f t="shared" si="158"/>
        <v>0</v>
      </c>
      <c r="AS124" s="101">
        <f t="shared" si="159"/>
        <v>0</v>
      </c>
      <c r="AT124" s="101">
        <f t="shared" si="160"/>
        <v>0</v>
      </c>
      <c r="AU124" s="103">
        <f t="shared" si="161"/>
        <v>0</v>
      </c>
      <c r="AV124" s="103">
        <f t="shared" si="162"/>
        <v>0</v>
      </c>
      <c r="AW124" s="103">
        <f t="shared" si="163"/>
        <v>0</v>
      </c>
      <c r="AY124" s="78">
        <f t="shared" si="164"/>
        <v>0</v>
      </c>
      <c r="AZ124" s="303" t="e">
        <f t="shared" si="165"/>
        <v>#DIV/0!</v>
      </c>
      <c r="BA124" s="75">
        <f t="shared" si="106"/>
        <v>0</v>
      </c>
      <c r="BB124" s="102">
        <f t="shared" si="107"/>
        <v>0</v>
      </c>
      <c r="BC124" s="101">
        <f t="shared" si="166"/>
        <v>0</v>
      </c>
      <c r="BD124" s="101">
        <f t="shared" si="167"/>
        <v>0</v>
      </c>
      <c r="BE124" s="101">
        <f t="shared" si="168"/>
        <v>0</v>
      </c>
      <c r="BF124" s="103">
        <f t="shared" si="169"/>
        <v>0</v>
      </c>
      <c r="BG124" s="103">
        <f t="shared" si="170"/>
        <v>0</v>
      </c>
      <c r="BH124" s="103">
        <f t="shared" si="171"/>
        <v>0</v>
      </c>
      <c r="BJ124" s="78">
        <f t="shared" si="172"/>
        <v>0</v>
      </c>
      <c r="BK124" s="303" t="e">
        <f t="shared" si="173"/>
        <v>#DIV/0!</v>
      </c>
      <c r="BL124" s="75">
        <f t="shared" si="112"/>
        <v>0</v>
      </c>
      <c r="BM124" s="102">
        <f t="shared" si="113"/>
        <v>0</v>
      </c>
      <c r="BN124" s="101">
        <f t="shared" si="174"/>
        <v>0</v>
      </c>
      <c r="BO124" s="101">
        <f t="shared" si="175"/>
        <v>0</v>
      </c>
      <c r="BP124" s="101">
        <f t="shared" si="176"/>
        <v>0</v>
      </c>
      <c r="BQ124" s="103">
        <f t="shared" si="177"/>
        <v>0</v>
      </c>
      <c r="BR124" s="103">
        <f t="shared" si="178"/>
        <v>0</v>
      </c>
      <c r="BS124" s="103">
        <f t="shared" si="179"/>
        <v>0</v>
      </c>
      <c r="BU124" s="78">
        <f t="shared" si="180"/>
        <v>0</v>
      </c>
      <c r="BV124" s="303" t="e">
        <f t="shared" si="181"/>
        <v>#DIV/0!</v>
      </c>
      <c r="BW124" s="75">
        <f t="shared" si="118"/>
        <v>0</v>
      </c>
      <c r="BX124" s="102">
        <f t="shared" si="119"/>
        <v>0</v>
      </c>
      <c r="BY124" s="101">
        <f t="shared" si="182"/>
        <v>0</v>
      </c>
      <c r="BZ124" s="101">
        <f t="shared" si="183"/>
        <v>0</v>
      </c>
      <c r="CA124" s="101">
        <f t="shared" si="184"/>
        <v>0</v>
      </c>
      <c r="CB124" s="103">
        <f t="shared" si="185"/>
        <v>0</v>
      </c>
      <c r="CC124" s="103">
        <f t="shared" si="186"/>
        <v>0</v>
      </c>
      <c r="CD124" s="103">
        <f t="shared" si="187"/>
        <v>0</v>
      </c>
    </row>
    <row r="125" spans="1:82" x14ac:dyDescent="0.25">
      <c r="A125" s="96">
        <f t="shared" si="147"/>
        <v>40148</v>
      </c>
      <c r="B125" s="97">
        <f t="shared" si="124"/>
        <v>3.99</v>
      </c>
      <c r="C125" s="77">
        <f t="shared" si="148"/>
        <v>0.20250000000000001</v>
      </c>
      <c r="D125" s="97">
        <f t="shared" si="80"/>
        <v>0</v>
      </c>
      <c r="E125" s="100">
        <f t="shared" si="81"/>
        <v>1</v>
      </c>
      <c r="F125" s="99">
        <f t="shared" ca="1" si="126"/>
        <v>2882</v>
      </c>
      <c r="G125" s="77" t="e">
        <f t="shared" si="149"/>
        <v>#DIV/0!</v>
      </c>
      <c r="H125" s="77" t="e">
        <f>IF(B$16=1,_xll.xCalcSkew(A125,I125-AO125,b)/100,0)</f>
        <v>#DIV/0!</v>
      </c>
      <c r="I125" s="98">
        <f t="shared" si="83"/>
        <v>4</v>
      </c>
      <c r="K125" s="97">
        <f t="shared" si="84"/>
        <v>-4.4999999999999998E-2</v>
      </c>
      <c r="L125" s="100">
        <f t="shared" si="85"/>
        <v>1</v>
      </c>
      <c r="M125" s="99">
        <f t="shared" ca="1" si="150"/>
        <v>2883</v>
      </c>
      <c r="N125" s="175" t="e">
        <f t="shared" si="151"/>
        <v>#DIV/0!</v>
      </c>
      <c r="O125" s="77" t="e">
        <f>IF(D$16=1,_xll.xCalcSkew($A125,P125-AZ125,b)/100,0)</f>
        <v>#DIV/0!</v>
      </c>
      <c r="P125" s="98">
        <f t="shared" si="88"/>
        <v>2.5</v>
      </c>
      <c r="R125" s="97">
        <f t="shared" si="89"/>
        <v>-4.4999999999999998E-2</v>
      </c>
      <c r="S125" s="100">
        <f t="shared" si="90"/>
        <v>1</v>
      </c>
      <c r="T125" s="99">
        <f t="shared" ca="1" si="152"/>
        <v>2883</v>
      </c>
      <c r="U125" s="175" t="e">
        <f t="shared" si="153"/>
        <v>#DIV/0!</v>
      </c>
      <c r="V125" s="77" t="e">
        <f>IF(F$16=1,_xll.xCalcSkew($A125,W125-BK125,b)/100,0)</f>
        <v>#DIV/0!</v>
      </c>
      <c r="W125" s="98">
        <f t="shared" si="93"/>
        <v>2.5</v>
      </c>
      <c r="X125" s="99"/>
      <c r="Y125" s="97">
        <f t="shared" si="94"/>
        <v>-4.4999999999999998E-2</v>
      </c>
      <c r="Z125" s="100">
        <f t="shared" si="95"/>
        <v>1</v>
      </c>
      <c r="AA125" s="99">
        <f t="shared" ca="1" si="154"/>
        <v>2883</v>
      </c>
      <c r="AB125" s="77" t="e">
        <f t="shared" si="155"/>
        <v>#DIV/0!</v>
      </c>
      <c r="AC125" s="77" t="e">
        <f>IF(H$16=1,_xll.xCalcSkew($A125,AD125-BV125,b)/100,0)</f>
        <v>#DIV/0!</v>
      </c>
      <c r="AD125" s="98">
        <f t="shared" si="98"/>
        <v>2.4900000000000002</v>
      </c>
      <c r="AF125" s="99">
        <f t="shared" ca="1" si="127"/>
        <v>2883</v>
      </c>
      <c r="AG125" s="99">
        <f t="shared" ca="1" si="128"/>
        <v>2882</v>
      </c>
      <c r="AH125" s="77">
        <f t="shared" si="129"/>
        <v>5.67443976136408E-2</v>
      </c>
      <c r="AI125" s="154">
        <f t="shared" si="99"/>
        <v>31</v>
      </c>
      <c r="AL125" s="99"/>
      <c r="AM125" s="78"/>
      <c r="AN125" s="78">
        <f t="shared" si="156"/>
        <v>0</v>
      </c>
      <c r="AO125" s="303" t="e">
        <f t="shared" si="157"/>
        <v>#DIV/0!</v>
      </c>
      <c r="AP125" s="75">
        <f t="shared" si="101"/>
        <v>0</v>
      </c>
      <c r="AQ125" s="102">
        <f t="shared" si="102"/>
        <v>0</v>
      </c>
      <c r="AR125" s="101">
        <f t="shared" si="158"/>
        <v>0</v>
      </c>
      <c r="AS125" s="101">
        <f t="shared" si="159"/>
        <v>0</v>
      </c>
      <c r="AT125" s="101">
        <f t="shared" si="160"/>
        <v>0</v>
      </c>
      <c r="AU125" s="103">
        <f t="shared" si="161"/>
        <v>0</v>
      </c>
      <c r="AV125" s="103">
        <f t="shared" si="162"/>
        <v>0</v>
      </c>
      <c r="AW125" s="103">
        <f t="shared" si="163"/>
        <v>0</v>
      </c>
      <c r="AY125" s="78">
        <f t="shared" si="164"/>
        <v>0</v>
      </c>
      <c r="AZ125" s="303" t="e">
        <f t="shared" si="165"/>
        <v>#DIV/0!</v>
      </c>
      <c r="BA125" s="75">
        <f t="shared" si="106"/>
        <v>0</v>
      </c>
      <c r="BB125" s="102">
        <f t="shared" si="107"/>
        <v>0</v>
      </c>
      <c r="BC125" s="101">
        <f t="shared" si="166"/>
        <v>0</v>
      </c>
      <c r="BD125" s="101">
        <f t="shared" si="167"/>
        <v>0</v>
      </c>
      <c r="BE125" s="101">
        <f t="shared" si="168"/>
        <v>0</v>
      </c>
      <c r="BF125" s="103">
        <f t="shared" si="169"/>
        <v>0</v>
      </c>
      <c r="BG125" s="103">
        <f t="shared" si="170"/>
        <v>0</v>
      </c>
      <c r="BH125" s="103">
        <f t="shared" si="171"/>
        <v>0</v>
      </c>
      <c r="BJ125" s="78">
        <f t="shared" si="172"/>
        <v>0</v>
      </c>
      <c r="BK125" s="303" t="e">
        <f t="shared" si="173"/>
        <v>#DIV/0!</v>
      </c>
      <c r="BL125" s="75">
        <f t="shared" si="112"/>
        <v>0</v>
      </c>
      <c r="BM125" s="102">
        <f t="shared" si="113"/>
        <v>0</v>
      </c>
      <c r="BN125" s="101">
        <f t="shared" si="174"/>
        <v>0</v>
      </c>
      <c r="BO125" s="101">
        <f t="shared" si="175"/>
        <v>0</v>
      </c>
      <c r="BP125" s="101">
        <f t="shared" si="176"/>
        <v>0</v>
      </c>
      <c r="BQ125" s="103">
        <f t="shared" si="177"/>
        <v>0</v>
      </c>
      <c r="BR125" s="103">
        <f t="shared" si="178"/>
        <v>0</v>
      </c>
      <c r="BS125" s="103">
        <f t="shared" si="179"/>
        <v>0</v>
      </c>
      <c r="BU125" s="78">
        <f t="shared" si="180"/>
        <v>0</v>
      </c>
      <c r="BV125" s="303" t="e">
        <f t="shared" si="181"/>
        <v>#DIV/0!</v>
      </c>
      <c r="BW125" s="75">
        <f t="shared" si="118"/>
        <v>0</v>
      </c>
      <c r="BX125" s="102">
        <f t="shared" si="119"/>
        <v>0</v>
      </c>
      <c r="BY125" s="101">
        <f t="shared" si="182"/>
        <v>0</v>
      </c>
      <c r="BZ125" s="101">
        <f t="shared" si="183"/>
        <v>0</v>
      </c>
      <c r="CA125" s="101">
        <f t="shared" si="184"/>
        <v>0</v>
      </c>
      <c r="CB125" s="103">
        <f t="shared" si="185"/>
        <v>0</v>
      </c>
      <c r="CC125" s="103">
        <f t="shared" si="186"/>
        <v>0</v>
      </c>
      <c r="CD125" s="103">
        <f t="shared" si="187"/>
        <v>0</v>
      </c>
    </row>
    <row r="126" spans="1:82" x14ac:dyDescent="0.25">
      <c r="A126" s="96">
        <f t="shared" si="147"/>
        <v>40179</v>
      </c>
      <c r="B126" s="97">
        <f t="shared" si="124"/>
        <v>4.0449999999999999</v>
      </c>
      <c r="C126" s="77">
        <f t="shared" si="148"/>
        <v>0.20250000000000001</v>
      </c>
      <c r="D126" s="97">
        <f t="shared" si="80"/>
        <v>0</v>
      </c>
      <c r="E126" s="100">
        <f t="shared" si="81"/>
        <v>1</v>
      </c>
      <c r="F126" s="99">
        <f t="shared" ca="1" si="126"/>
        <v>2916</v>
      </c>
      <c r="G126" s="77" t="e">
        <f t="shared" si="149"/>
        <v>#DIV/0!</v>
      </c>
      <c r="H126" s="77" t="e">
        <f>IF(B$16=1,_xll.xCalcSkew(A126,I126-AO126,b)/100,0)</f>
        <v>#DIV/0!</v>
      </c>
      <c r="I126" s="98">
        <f t="shared" si="83"/>
        <v>4</v>
      </c>
      <c r="K126" s="97">
        <f t="shared" si="84"/>
        <v>-4.7500000000000001E-2</v>
      </c>
      <c r="L126" s="100">
        <f t="shared" si="85"/>
        <v>1</v>
      </c>
      <c r="M126" s="99">
        <f t="shared" ca="1" si="150"/>
        <v>2917</v>
      </c>
      <c r="N126" s="175" t="e">
        <f t="shared" si="151"/>
        <v>#DIV/0!</v>
      </c>
      <c r="O126" s="77" t="e">
        <f>IF(D$16=1,_xll.xCalcSkew($A126,P126-AZ126,b)/100,0)</f>
        <v>#DIV/0!</v>
      </c>
      <c r="P126" s="98">
        <f t="shared" si="88"/>
        <v>2.5</v>
      </c>
      <c r="R126" s="97">
        <f t="shared" si="89"/>
        <v>-4.7500000000000001E-2</v>
      </c>
      <c r="S126" s="100">
        <f t="shared" si="90"/>
        <v>1</v>
      </c>
      <c r="T126" s="99">
        <f t="shared" ca="1" si="152"/>
        <v>2917</v>
      </c>
      <c r="U126" s="175" t="e">
        <f t="shared" si="153"/>
        <v>#DIV/0!</v>
      </c>
      <c r="V126" s="77" t="e">
        <f>IF(F$16=1,_xll.xCalcSkew($A126,W126-BK126,b)/100,0)</f>
        <v>#DIV/0!</v>
      </c>
      <c r="W126" s="98">
        <f t="shared" si="93"/>
        <v>2.5</v>
      </c>
      <c r="X126" s="99"/>
      <c r="Y126" s="97">
        <f t="shared" si="94"/>
        <v>-4.7500000000000001E-2</v>
      </c>
      <c r="Z126" s="100">
        <f t="shared" si="95"/>
        <v>1</v>
      </c>
      <c r="AA126" s="99">
        <f t="shared" ca="1" si="154"/>
        <v>2917</v>
      </c>
      <c r="AB126" s="77" t="e">
        <f t="shared" si="155"/>
        <v>#DIV/0!</v>
      </c>
      <c r="AC126" s="77" t="e">
        <f>IF(H$16=1,_xll.xCalcSkew($A126,AD126-BV126,b)/100,0)</f>
        <v>#DIV/0!</v>
      </c>
      <c r="AD126" s="98">
        <f t="shared" si="98"/>
        <v>2.4900000000000002</v>
      </c>
      <c r="AF126" s="99">
        <f t="shared" ca="1" si="127"/>
        <v>2917</v>
      </c>
      <c r="AG126" s="99">
        <f t="shared" ca="1" si="128"/>
        <v>2916</v>
      </c>
      <c r="AH126" s="77">
        <f t="shared" si="129"/>
        <v>5.6847896035649603E-2</v>
      </c>
      <c r="AI126" s="154">
        <f t="shared" si="99"/>
        <v>31</v>
      </c>
      <c r="AL126" s="99"/>
      <c r="AM126" s="78"/>
      <c r="AN126" s="78">
        <f t="shared" si="156"/>
        <v>0</v>
      </c>
      <c r="AO126" s="303" t="e">
        <f t="shared" si="157"/>
        <v>#DIV/0!</v>
      </c>
      <c r="AP126" s="75">
        <f t="shared" si="101"/>
        <v>0</v>
      </c>
      <c r="AQ126" s="102">
        <f t="shared" si="102"/>
        <v>0</v>
      </c>
      <c r="AR126" s="101">
        <f t="shared" si="158"/>
        <v>0</v>
      </c>
      <c r="AS126" s="101">
        <f t="shared" si="159"/>
        <v>0</v>
      </c>
      <c r="AT126" s="101">
        <f t="shared" si="160"/>
        <v>0</v>
      </c>
      <c r="AU126" s="103">
        <f t="shared" si="161"/>
        <v>0</v>
      </c>
      <c r="AV126" s="103">
        <f t="shared" si="162"/>
        <v>0</v>
      </c>
      <c r="AW126" s="103">
        <f t="shared" si="163"/>
        <v>0</v>
      </c>
      <c r="AY126" s="78">
        <f t="shared" si="164"/>
        <v>0</v>
      </c>
      <c r="AZ126" s="303" t="e">
        <f t="shared" si="165"/>
        <v>#DIV/0!</v>
      </c>
      <c r="BA126" s="75">
        <f t="shared" si="106"/>
        <v>0</v>
      </c>
      <c r="BB126" s="102">
        <f t="shared" si="107"/>
        <v>0</v>
      </c>
      <c r="BC126" s="101">
        <f t="shared" si="166"/>
        <v>0</v>
      </c>
      <c r="BD126" s="101">
        <f t="shared" si="167"/>
        <v>0</v>
      </c>
      <c r="BE126" s="101">
        <f t="shared" si="168"/>
        <v>0</v>
      </c>
      <c r="BF126" s="103">
        <f t="shared" si="169"/>
        <v>0</v>
      </c>
      <c r="BG126" s="103">
        <f t="shared" si="170"/>
        <v>0</v>
      </c>
      <c r="BH126" s="103">
        <f t="shared" si="171"/>
        <v>0</v>
      </c>
      <c r="BJ126" s="78">
        <f t="shared" si="172"/>
        <v>0</v>
      </c>
      <c r="BK126" s="303" t="e">
        <f t="shared" si="173"/>
        <v>#DIV/0!</v>
      </c>
      <c r="BL126" s="75">
        <f t="shared" si="112"/>
        <v>0</v>
      </c>
      <c r="BM126" s="102">
        <f t="shared" si="113"/>
        <v>0</v>
      </c>
      <c r="BN126" s="101">
        <f t="shared" si="174"/>
        <v>0</v>
      </c>
      <c r="BO126" s="101">
        <f t="shared" si="175"/>
        <v>0</v>
      </c>
      <c r="BP126" s="101">
        <f t="shared" si="176"/>
        <v>0</v>
      </c>
      <c r="BQ126" s="103">
        <f t="shared" si="177"/>
        <v>0</v>
      </c>
      <c r="BR126" s="103">
        <f t="shared" si="178"/>
        <v>0</v>
      </c>
      <c r="BS126" s="103">
        <f t="shared" si="179"/>
        <v>0</v>
      </c>
      <c r="BU126" s="78">
        <f t="shared" si="180"/>
        <v>0</v>
      </c>
      <c r="BV126" s="303" t="e">
        <f t="shared" si="181"/>
        <v>#DIV/0!</v>
      </c>
      <c r="BW126" s="75">
        <f t="shared" si="118"/>
        <v>0</v>
      </c>
      <c r="BX126" s="102">
        <f t="shared" si="119"/>
        <v>0</v>
      </c>
      <c r="BY126" s="101">
        <f t="shared" si="182"/>
        <v>0</v>
      </c>
      <c r="BZ126" s="101">
        <f t="shared" si="183"/>
        <v>0</v>
      </c>
      <c r="CA126" s="101">
        <f t="shared" si="184"/>
        <v>0</v>
      </c>
      <c r="CB126" s="103">
        <f t="shared" si="185"/>
        <v>0</v>
      </c>
      <c r="CC126" s="103">
        <f t="shared" si="186"/>
        <v>0</v>
      </c>
      <c r="CD126" s="103">
        <f t="shared" si="187"/>
        <v>0</v>
      </c>
    </row>
    <row r="127" spans="1:82" x14ac:dyDescent="0.25">
      <c r="A127" s="96">
        <f t="shared" si="147"/>
        <v>40210</v>
      </c>
      <c r="B127" s="97">
        <f t="shared" si="124"/>
        <v>3.96</v>
      </c>
      <c r="C127" s="77">
        <f t="shared" si="148"/>
        <v>0.2</v>
      </c>
      <c r="D127" s="97">
        <f t="shared" si="80"/>
        <v>0</v>
      </c>
      <c r="E127" s="100">
        <f t="shared" si="81"/>
        <v>1</v>
      </c>
      <c r="F127" s="99">
        <f t="shared" ca="1" si="126"/>
        <v>2945</v>
      </c>
      <c r="G127" s="77" t="e">
        <f t="shared" si="149"/>
        <v>#DIV/0!</v>
      </c>
      <c r="H127" s="77" t="e">
        <f>IF(B$16=1,_xll.xCalcSkew(A127,I127-AO127,b)/100,0)</f>
        <v>#DIV/0!</v>
      </c>
      <c r="I127" s="98">
        <f t="shared" ref="I127:I149" si="188">IF($B$19=4,$AO127,$B$18)</f>
        <v>4</v>
      </c>
      <c r="K127" s="97">
        <f t="shared" si="84"/>
        <v>-0.03</v>
      </c>
      <c r="L127" s="100">
        <f t="shared" si="85"/>
        <v>1</v>
      </c>
      <c r="M127" s="99">
        <f t="shared" ca="1" si="150"/>
        <v>2946</v>
      </c>
      <c r="N127" s="175" t="e">
        <f t="shared" si="151"/>
        <v>#DIV/0!</v>
      </c>
      <c r="O127" s="77" t="e">
        <f>IF(D$16=1,_xll.xCalcSkew($A127,P127-AZ127,b)/100,0)</f>
        <v>#DIV/0!</v>
      </c>
      <c r="P127" s="98">
        <f t="shared" ref="P127:P149" si="189">IF($D$19=4,$AZ127,$D$18)</f>
        <v>2.5</v>
      </c>
      <c r="R127" s="97">
        <f t="shared" si="89"/>
        <v>-0.03</v>
      </c>
      <c r="S127" s="100">
        <f t="shared" si="90"/>
        <v>1</v>
      </c>
      <c r="T127" s="99">
        <f t="shared" ca="1" si="152"/>
        <v>2946</v>
      </c>
      <c r="U127" s="175" t="e">
        <f t="shared" si="153"/>
        <v>#DIV/0!</v>
      </c>
      <c r="V127" s="77" t="e">
        <f>IF(F$16=1,_xll.xCalcSkew($A127,W127-BK127,b)/100,0)</f>
        <v>#DIV/0!</v>
      </c>
      <c r="W127" s="98">
        <f t="shared" ref="W127:W149" si="190">IF($F$19=4,$BK127,$F$18)</f>
        <v>2.5</v>
      </c>
      <c r="X127" s="99"/>
      <c r="Y127" s="97">
        <f t="shared" si="94"/>
        <v>-0.03</v>
      </c>
      <c r="Z127" s="100">
        <f t="shared" si="95"/>
        <v>1</v>
      </c>
      <c r="AA127" s="99">
        <f t="shared" ca="1" si="154"/>
        <v>2946</v>
      </c>
      <c r="AB127" s="77" t="e">
        <f t="shared" si="155"/>
        <v>#DIV/0!</v>
      </c>
      <c r="AC127" s="77" t="e">
        <f>IF(H$16=1,_xll.xCalcSkew($A127,AD127-BV127,b)/100,0)</f>
        <v>#DIV/0!</v>
      </c>
      <c r="AD127" s="98">
        <f t="shared" ref="AD127:AD149" si="191">IF($H$19=4,$BV127,$H$18)</f>
        <v>2.4900000000000002</v>
      </c>
      <c r="AF127" s="99">
        <f t="shared" ca="1" si="127"/>
        <v>2946</v>
      </c>
      <c r="AG127" s="99">
        <f t="shared" ca="1" si="128"/>
        <v>2945</v>
      </c>
      <c r="AH127" s="77">
        <f t="shared" si="129"/>
        <v>5.6951394461223E-2</v>
      </c>
      <c r="AI127" s="154">
        <f t="shared" si="99"/>
        <v>28</v>
      </c>
      <c r="AL127" s="99"/>
      <c r="AM127" s="78"/>
      <c r="AN127" s="78">
        <f t="shared" si="156"/>
        <v>0</v>
      </c>
      <c r="AO127" s="303" t="e">
        <f t="shared" si="157"/>
        <v>#DIV/0!</v>
      </c>
      <c r="AP127" s="75">
        <f t="shared" ref="AP127:AP149" si="192">AN127*($B127+B$13)</f>
        <v>0</v>
      </c>
      <c r="AQ127" s="102">
        <f t="shared" ref="AQ127:AQ149" si="193">IF(ISNUMBER(((AP127/AN127)+B$14+$D127)*AN127),((AP127/AN127)+B$14+$D127)*AN127,0)</f>
        <v>0</v>
      </c>
      <c r="AR127" s="101">
        <f t="shared" si="158"/>
        <v>0</v>
      </c>
      <c r="AS127" s="101">
        <f t="shared" si="159"/>
        <v>0</v>
      </c>
      <c r="AT127" s="101">
        <f t="shared" si="160"/>
        <v>0</v>
      </c>
      <c r="AU127" s="103">
        <f t="shared" si="161"/>
        <v>0</v>
      </c>
      <c r="AV127" s="103">
        <f t="shared" si="162"/>
        <v>0</v>
      </c>
      <c r="AW127" s="103">
        <f t="shared" si="163"/>
        <v>0</v>
      </c>
      <c r="AY127" s="78">
        <f t="shared" si="164"/>
        <v>0</v>
      </c>
      <c r="AZ127" s="303" t="e">
        <f t="shared" si="165"/>
        <v>#DIV/0!</v>
      </c>
      <c r="BA127" s="75">
        <f t="shared" ref="BA127:BA149" si="194">AY127*($B127+D$13)</f>
        <v>0</v>
      </c>
      <c r="BB127" s="102">
        <f t="shared" ref="BB127:BB149" si="195">IF(ISNUMBER(((BA127/AY127)+D$14+$K127)*AY127),((BA127/AY127)+D$14+$K127)*AY127,0)</f>
        <v>0</v>
      </c>
      <c r="BC127" s="101">
        <f t="shared" si="166"/>
        <v>0</v>
      </c>
      <c r="BD127" s="101">
        <f t="shared" si="167"/>
        <v>0</v>
      </c>
      <c r="BE127" s="101">
        <f t="shared" si="168"/>
        <v>0</v>
      </c>
      <c r="BF127" s="103">
        <f t="shared" si="169"/>
        <v>0</v>
      </c>
      <c r="BG127" s="103">
        <f t="shared" si="170"/>
        <v>0</v>
      </c>
      <c r="BH127" s="103">
        <f t="shared" si="171"/>
        <v>0</v>
      </c>
      <c r="BJ127" s="78">
        <f t="shared" si="172"/>
        <v>0</v>
      </c>
      <c r="BK127" s="303" t="e">
        <f t="shared" si="173"/>
        <v>#DIV/0!</v>
      </c>
      <c r="BL127" s="75">
        <f t="shared" ref="BL127:BL149" si="196">BJ127*($B127+F$13)</f>
        <v>0</v>
      </c>
      <c r="BM127" s="102">
        <f t="shared" ref="BM127:BM149" si="197">IF(ISNUMBER(((BL127/BJ127)+F$14+$R127)*BJ127),((BL127/BJ127)+F$14+$R127)*BJ127,0)</f>
        <v>0</v>
      </c>
      <c r="BN127" s="101">
        <f t="shared" si="174"/>
        <v>0</v>
      </c>
      <c r="BO127" s="101">
        <f t="shared" si="175"/>
        <v>0</v>
      </c>
      <c r="BP127" s="101">
        <f t="shared" si="176"/>
        <v>0</v>
      </c>
      <c r="BQ127" s="103">
        <f t="shared" si="177"/>
        <v>0</v>
      </c>
      <c r="BR127" s="103">
        <f t="shared" si="178"/>
        <v>0</v>
      </c>
      <c r="BS127" s="103">
        <f t="shared" si="179"/>
        <v>0</v>
      </c>
      <c r="BU127" s="78">
        <f t="shared" si="180"/>
        <v>0</v>
      </c>
      <c r="BV127" s="303" t="e">
        <f t="shared" si="181"/>
        <v>#DIV/0!</v>
      </c>
      <c r="BW127" s="75">
        <f t="shared" ref="BW127:BW149" si="198">BU127*($B127+H$13)</f>
        <v>0</v>
      </c>
      <c r="BX127" s="102">
        <f t="shared" ref="BX127:BX149" si="199">IF(ISNUMBER(((BW127/BU127)+H$14+$Y127)*BU127),((BW127/BU127)+H$14+$Y127)*BU127,0)</f>
        <v>0</v>
      </c>
      <c r="BY127" s="101">
        <f t="shared" si="182"/>
        <v>0</v>
      </c>
      <c r="BZ127" s="101">
        <f t="shared" si="183"/>
        <v>0</v>
      </c>
      <c r="CA127" s="101">
        <f t="shared" si="184"/>
        <v>0</v>
      </c>
      <c r="CB127" s="103">
        <f t="shared" si="185"/>
        <v>0</v>
      </c>
      <c r="CC127" s="103">
        <f t="shared" si="186"/>
        <v>0</v>
      </c>
      <c r="CD127" s="103">
        <f t="shared" si="187"/>
        <v>0</v>
      </c>
    </row>
    <row r="128" spans="1:82" x14ac:dyDescent="0.25">
      <c r="A128" s="96">
        <f t="shared" si="147"/>
        <v>40238</v>
      </c>
      <c r="B128" s="97">
        <f t="shared" si="124"/>
        <v>3.83</v>
      </c>
      <c r="C128" s="77">
        <f t="shared" si="148"/>
        <v>0.19500000000000001</v>
      </c>
      <c r="D128" s="97">
        <f t="shared" si="80"/>
        <v>0</v>
      </c>
      <c r="E128" s="100">
        <f t="shared" si="81"/>
        <v>1</v>
      </c>
      <c r="F128" s="99">
        <f t="shared" ca="1" si="126"/>
        <v>2973</v>
      </c>
      <c r="G128" s="77" t="e">
        <f t="shared" si="149"/>
        <v>#DIV/0!</v>
      </c>
      <c r="H128" s="77" t="e">
        <f>IF(B$16=1,_xll.xCalcSkew(A128,I128-AO128,b)/100,0)</f>
        <v>#DIV/0!</v>
      </c>
      <c r="I128" s="98">
        <f t="shared" si="188"/>
        <v>4</v>
      </c>
      <c r="K128" s="97">
        <f t="shared" si="84"/>
        <v>-1.7500000000000002E-2</v>
      </c>
      <c r="L128" s="100">
        <f t="shared" si="85"/>
        <v>1</v>
      </c>
      <c r="M128" s="99">
        <f t="shared" ca="1" si="150"/>
        <v>2974</v>
      </c>
      <c r="N128" s="175" t="e">
        <f t="shared" si="151"/>
        <v>#DIV/0!</v>
      </c>
      <c r="O128" s="77" t="e">
        <f>IF(D$16=1,_xll.xCalcSkew($A128,P128-AZ128,b)/100,0)</f>
        <v>#DIV/0!</v>
      </c>
      <c r="P128" s="98">
        <f t="shared" si="189"/>
        <v>2.5</v>
      </c>
      <c r="R128" s="97">
        <f t="shared" si="89"/>
        <v>-1.7500000000000002E-2</v>
      </c>
      <c r="S128" s="100">
        <f t="shared" si="90"/>
        <v>1</v>
      </c>
      <c r="T128" s="99">
        <f t="shared" ca="1" si="152"/>
        <v>2974</v>
      </c>
      <c r="U128" s="175" t="e">
        <f t="shared" si="153"/>
        <v>#DIV/0!</v>
      </c>
      <c r="V128" s="77" t="e">
        <f>IF(F$16=1,_xll.xCalcSkew($A128,W128-BK128,b)/100,0)</f>
        <v>#DIV/0!</v>
      </c>
      <c r="W128" s="98">
        <f t="shared" si="190"/>
        <v>2.5</v>
      </c>
      <c r="X128" s="99"/>
      <c r="Y128" s="97">
        <f t="shared" si="94"/>
        <v>-1.7500000000000002E-2</v>
      </c>
      <c r="Z128" s="100">
        <f t="shared" si="95"/>
        <v>1</v>
      </c>
      <c r="AA128" s="99">
        <f t="shared" ca="1" si="154"/>
        <v>2974</v>
      </c>
      <c r="AB128" s="77" t="e">
        <f t="shared" si="155"/>
        <v>#DIV/0!</v>
      </c>
      <c r="AC128" s="77" t="e">
        <f>IF(H$16=1,_xll.xCalcSkew($A128,AD128-BV128,b)/100,0)</f>
        <v>#DIV/0!</v>
      </c>
      <c r="AD128" s="98">
        <f t="shared" si="191"/>
        <v>2.4900000000000002</v>
      </c>
      <c r="AF128" s="99">
        <f t="shared" ca="1" si="127"/>
        <v>2974</v>
      </c>
      <c r="AG128" s="99">
        <f t="shared" ca="1" si="128"/>
        <v>2973</v>
      </c>
      <c r="AH128" s="77">
        <f t="shared" si="129"/>
        <v>5.7044876913192197E-2</v>
      </c>
      <c r="AI128" s="154">
        <f t="shared" si="99"/>
        <v>31</v>
      </c>
      <c r="AL128" s="99"/>
      <c r="AM128" s="78"/>
      <c r="AN128" s="78">
        <f t="shared" si="156"/>
        <v>0</v>
      </c>
      <c r="AO128" s="303" t="e">
        <f t="shared" si="157"/>
        <v>#DIV/0!</v>
      </c>
      <c r="AP128" s="75">
        <f t="shared" si="192"/>
        <v>0</v>
      </c>
      <c r="AQ128" s="102">
        <f t="shared" si="193"/>
        <v>0</v>
      </c>
      <c r="AR128" s="101">
        <f t="shared" si="158"/>
        <v>0</v>
      </c>
      <c r="AS128" s="101">
        <f t="shared" si="159"/>
        <v>0</v>
      </c>
      <c r="AT128" s="101">
        <f t="shared" si="160"/>
        <v>0</v>
      </c>
      <c r="AU128" s="103">
        <f t="shared" si="161"/>
        <v>0</v>
      </c>
      <c r="AV128" s="103">
        <f t="shared" si="162"/>
        <v>0</v>
      </c>
      <c r="AW128" s="103">
        <f t="shared" si="163"/>
        <v>0</v>
      </c>
      <c r="AY128" s="78">
        <f t="shared" si="164"/>
        <v>0</v>
      </c>
      <c r="AZ128" s="303" t="e">
        <f t="shared" si="165"/>
        <v>#DIV/0!</v>
      </c>
      <c r="BA128" s="75">
        <f t="shared" si="194"/>
        <v>0</v>
      </c>
      <c r="BB128" s="102">
        <f t="shared" si="195"/>
        <v>0</v>
      </c>
      <c r="BC128" s="101">
        <f t="shared" si="166"/>
        <v>0</v>
      </c>
      <c r="BD128" s="101">
        <f t="shared" si="167"/>
        <v>0</v>
      </c>
      <c r="BE128" s="101">
        <f t="shared" si="168"/>
        <v>0</v>
      </c>
      <c r="BF128" s="103">
        <f t="shared" si="169"/>
        <v>0</v>
      </c>
      <c r="BG128" s="103">
        <f t="shared" si="170"/>
        <v>0</v>
      </c>
      <c r="BH128" s="103">
        <f t="shared" si="171"/>
        <v>0</v>
      </c>
      <c r="BJ128" s="78">
        <f t="shared" si="172"/>
        <v>0</v>
      </c>
      <c r="BK128" s="303" t="e">
        <f t="shared" si="173"/>
        <v>#DIV/0!</v>
      </c>
      <c r="BL128" s="75">
        <f t="shared" si="196"/>
        <v>0</v>
      </c>
      <c r="BM128" s="102">
        <f t="shared" si="197"/>
        <v>0</v>
      </c>
      <c r="BN128" s="101">
        <f t="shared" si="174"/>
        <v>0</v>
      </c>
      <c r="BO128" s="101">
        <f t="shared" si="175"/>
        <v>0</v>
      </c>
      <c r="BP128" s="101">
        <f t="shared" si="176"/>
        <v>0</v>
      </c>
      <c r="BQ128" s="103">
        <f t="shared" si="177"/>
        <v>0</v>
      </c>
      <c r="BR128" s="103">
        <f t="shared" si="178"/>
        <v>0</v>
      </c>
      <c r="BS128" s="103">
        <f t="shared" si="179"/>
        <v>0</v>
      </c>
      <c r="BU128" s="78">
        <f t="shared" si="180"/>
        <v>0</v>
      </c>
      <c r="BV128" s="303" t="e">
        <f t="shared" si="181"/>
        <v>#DIV/0!</v>
      </c>
      <c r="BW128" s="75">
        <f t="shared" si="198"/>
        <v>0</v>
      </c>
      <c r="BX128" s="102">
        <f t="shared" si="199"/>
        <v>0</v>
      </c>
      <c r="BY128" s="101">
        <f t="shared" si="182"/>
        <v>0</v>
      </c>
      <c r="BZ128" s="101">
        <f t="shared" si="183"/>
        <v>0</v>
      </c>
      <c r="CA128" s="101">
        <f t="shared" si="184"/>
        <v>0</v>
      </c>
      <c r="CB128" s="103">
        <f t="shared" si="185"/>
        <v>0</v>
      </c>
      <c r="CC128" s="103">
        <f t="shared" si="186"/>
        <v>0</v>
      </c>
      <c r="CD128" s="103">
        <f t="shared" si="187"/>
        <v>0</v>
      </c>
    </row>
    <row r="129" spans="1:82" x14ac:dyDescent="0.25">
      <c r="A129" s="96">
        <f t="shared" si="147"/>
        <v>40269</v>
      </c>
      <c r="B129" s="97">
        <f t="shared" si="124"/>
        <v>3.645</v>
      </c>
      <c r="C129" s="77">
        <f t="shared" si="148"/>
        <v>0.19</v>
      </c>
      <c r="D129" s="97">
        <f t="shared" si="80"/>
        <v>0</v>
      </c>
      <c r="E129" s="100">
        <f t="shared" si="81"/>
        <v>1</v>
      </c>
      <c r="F129" s="99">
        <f t="shared" ca="1" si="126"/>
        <v>3004</v>
      </c>
      <c r="G129" s="77" t="e">
        <f t="shared" si="149"/>
        <v>#DIV/0!</v>
      </c>
      <c r="H129" s="77" t="e">
        <f>IF(B$16=1,_xll.xCalcSkew(A129,I129-AO129,b)/100,0)</f>
        <v>#DIV/0!</v>
      </c>
      <c r="I129" s="98">
        <f t="shared" si="188"/>
        <v>4</v>
      </c>
      <c r="K129" s="97">
        <f t="shared" si="84"/>
        <v>0.02</v>
      </c>
      <c r="L129" s="100">
        <f t="shared" si="85"/>
        <v>1</v>
      </c>
      <c r="M129" s="99">
        <f t="shared" ca="1" si="150"/>
        <v>3007</v>
      </c>
      <c r="N129" s="175" t="e">
        <f t="shared" si="151"/>
        <v>#DIV/0!</v>
      </c>
      <c r="O129" s="77" t="e">
        <f>IF(D$16=1,_xll.xCalcSkew($A129,P129-AZ129,b)/100,0)</f>
        <v>#DIV/0!</v>
      </c>
      <c r="P129" s="98">
        <f t="shared" si="189"/>
        <v>2.5</v>
      </c>
      <c r="R129" s="97">
        <f t="shared" si="89"/>
        <v>0.02</v>
      </c>
      <c r="S129" s="100">
        <f t="shared" si="90"/>
        <v>1</v>
      </c>
      <c r="T129" s="99">
        <f t="shared" ca="1" si="152"/>
        <v>3007</v>
      </c>
      <c r="U129" s="175" t="e">
        <f t="shared" si="153"/>
        <v>#DIV/0!</v>
      </c>
      <c r="V129" s="77" t="e">
        <f>IF(F$16=1,_xll.xCalcSkew($A129,W129-BK129,b)/100,0)</f>
        <v>#DIV/0!</v>
      </c>
      <c r="W129" s="98">
        <f t="shared" si="190"/>
        <v>2.5</v>
      </c>
      <c r="X129" s="99"/>
      <c r="Y129" s="97">
        <f t="shared" si="94"/>
        <v>0.02</v>
      </c>
      <c r="Z129" s="100">
        <f t="shared" si="95"/>
        <v>1</v>
      </c>
      <c r="AA129" s="99">
        <f t="shared" ca="1" si="154"/>
        <v>3007</v>
      </c>
      <c r="AB129" s="77" t="e">
        <f t="shared" si="155"/>
        <v>#DIV/0!</v>
      </c>
      <c r="AC129" s="77" t="e">
        <f>IF(H$16=1,_xll.xCalcSkew($A129,AD129-BV129,b)/100,0)</f>
        <v>#DIV/0!</v>
      </c>
      <c r="AD129" s="98">
        <f t="shared" si="191"/>
        <v>2.4900000000000002</v>
      </c>
      <c r="AF129" s="99">
        <f t="shared" ca="1" si="127"/>
        <v>3007</v>
      </c>
      <c r="AG129" s="99">
        <f t="shared" ca="1" si="128"/>
        <v>3004</v>
      </c>
      <c r="AH129" s="77">
        <f t="shared" si="129"/>
        <v>5.7148375345549098E-2</v>
      </c>
      <c r="AI129" s="154">
        <f t="shared" si="99"/>
        <v>30</v>
      </c>
      <c r="AL129" s="99"/>
      <c r="AM129" s="78"/>
      <c r="AN129" s="78">
        <f t="shared" si="156"/>
        <v>0</v>
      </c>
      <c r="AO129" s="303" t="e">
        <f t="shared" si="157"/>
        <v>#DIV/0!</v>
      </c>
      <c r="AP129" s="75">
        <f t="shared" si="192"/>
        <v>0</v>
      </c>
      <c r="AQ129" s="102">
        <f t="shared" si="193"/>
        <v>0</v>
      </c>
      <c r="AR129" s="101">
        <f t="shared" si="158"/>
        <v>0</v>
      </c>
      <c r="AS129" s="101">
        <f t="shared" si="159"/>
        <v>0</v>
      </c>
      <c r="AT129" s="101">
        <f t="shared" si="160"/>
        <v>0</v>
      </c>
      <c r="AU129" s="103">
        <f t="shared" si="161"/>
        <v>0</v>
      </c>
      <c r="AV129" s="103">
        <f t="shared" si="162"/>
        <v>0</v>
      </c>
      <c r="AW129" s="103">
        <f t="shared" si="163"/>
        <v>0</v>
      </c>
      <c r="AY129" s="78">
        <f t="shared" si="164"/>
        <v>0</v>
      </c>
      <c r="AZ129" s="303" t="e">
        <f t="shared" si="165"/>
        <v>#DIV/0!</v>
      </c>
      <c r="BA129" s="75">
        <f t="shared" si="194"/>
        <v>0</v>
      </c>
      <c r="BB129" s="102">
        <f t="shared" si="195"/>
        <v>0</v>
      </c>
      <c r="BC129" s="101">
        <f t="shared" si="166"/>
        <v>0</v>
      </c>
      <c r="BD129" s="101">
        <f t="shared" si="167"/>
        <v>0</v>
      </c>
      <c r="BE129" s="101">
        <f t="shared" si="168"/>
        <v>0</v>
      </c>
      <c r="BF129" s="103">
        <f t="shared" si="169"/>
        <v>0</v>
      </c>
      <c r="BG129" s="103">
        <f t="shared" si="170"/>
        <v>0</v>
      </c>
      <c r="BH129" s="103">
        <f t="shared" si="171"/>
        <v>0</v>
      </c>
      <c r="BJ129" s="78">
        <f t="shared" si="172"/>
        <v>0</v>
      </c>
      <c r="BK129" s="303" t="e">
        <f t="shared" si="173"/>
        <v>#DIV/0!</v>
      </c>
      <c r="BL129" s="75">
        <f t="shared" si="196"/>
        <v>0</v>
      </c>
      <c r="BM129" s="102">
        <f t="shared" si="197"/>
        <v>0</v>
      </c>
      <c r="BN129" s="101">
        <f t="shared" si="174"/>
        <v>0</v>
      </c>
      <c r="BO129" s="101">
        <f t="shared" si="175"/>
        <v>0</v>
      </c>
      <c r="BP129" s="101">
        <f t="shared" si="176"/>
        <v>0</v>
      </c>
      <c r="BQ129" s="103">
        <f t="shared" si="177"/>
        <v>0</v>
      </c>
      <c r="BR129" s="103">
        <f t="shared" si="178"/>
        <v>0</v>
      </c>
      <c r="BS129" s="103">
        <f t="shared" si="179"/>
        <v>0</v>
      </c>
      <c r="BU129" s="78">
        <f t="shared" si="180"/>
        <v>0</v>
      </c>
      <c r="BV129" s="303" t="e">
        <f t="shared" si="181"/>
        <v>#DIV/0!</v>
      </c>
      <c r="BW129" s="75">
        <f t="shared" si="198"/>
        <v>0</v>
      </c>
      <c r="BX129" s="102">
        <f t="shared" si="199"/>
        <v>0</v>
      </c>
      <c r="BY129" s="101">
        <f t="shared" si="182"/>
        <v>0</v>
      </c>
      <c r="BZ129" s="101">
        <f t="shared" si="183"/>
        <v>0</v>
      </c>
      <c r="CA129" s="101">
        <f t="shared" si="184"/>
        <v>0</v>
      </c>
      <c r="CB129" s="103">
        <f t="shared" si="185"/>
        <v>0</v>
      </c>
      <c r="CC129" s="103">
        <f t="shared" si="186"/>
        <v>0</v>
      </c>
      <c r="CD129" s="103">
        <f t="shared" si="187"/>
        <v>0</v>
      </c>
    </row>
    <row r="130" spans="1:82" x14ac:dyDescent="0.25">
      <c r="A130" s="96">
        <f t="shared" si="147"/>
        <v>40299</v>
      </c>
      <c r="B130" s="97">
        <f t="shared" si="124"/>
        <v>3.64</v>
      </c>
      <c r="C130" s="77">
        <f t="shared" si="148"/>
        <v>0.185</v>
      </c>
      <c r="D130" s="97">
        <f t="shared" si="80"/>
        <v>0</v>
      </c>
      <c r="E130" s="100">
        <f t="shared" si="81"/>
        <v>1</v>
      </c>
      <c r="F130" s="99">
        <f t="shared" ca="1" si="126"/>
        <v>3036</v>
      </c>
      <c r="G130" s="77" t="e">
        <f t="shared" si="149"/>
        <v>#DIV/0!</v>
      </c>
      <c r="H130" s="77" t="e">
        <f>IF(B$16=1,_xll.xCalcSkew(A130,I130-AO130,b)/100,0)</f>
        <v>#DIV/0!</v>
      </c>
      <c r="I130" s="98">
        <f t="shared" si="188"/>
        <v>4</v>
      </c>
      <c r="K130" s="97">
        <f t="shared" si="84"/>
        <v>0.02</v>
      </c>
      <c r="L130" s="100">
        <f t="shared" si="85"/>
        <v>1</v>
      </c>
      <c r="M130" s="99">
        <f t="shared" ca="1" si="150"/>
        <v>3037</v>
      </c>
      <c r="N130" s="175" t="e">
        <f t="shared" si="151"/>
        <v>#DIV/0!</v>
      </c>
      <c r="O130" s="77" t="e">
        <f>IF(D$16=1,_xll.xCalcSkew($A130,P130-AZ130,b)/100,0)</f>
        <v>#DIV/0!</v>
      </c>
      <c r="P130" s="98">
        <f t="shared" si="189"/>
        <v>2.5</v>
      </c>
      <c r="R130" s="97">
        <f t="shared" si="89"/>
        <v>0.02</v>
      </c>
      <c r="S130" s="100">
        <f t="shared" si="90"/>
        <v>1</v>
      </c>
      <c r="T130" s="99">
        <f t="shared" ca="1" si="152"/>
        <v>3037</v>
      </c>
      <c r="U130" s="175" t="e">
        <f t="shared" si="153"/>
        <v>#DIV/0!</v>
      </c>
      <c r="V130" s="77" t="e">
        <f>IF(F$16=1,_xll.xCalcSkew($A130,W130-BK130,b)/100,0)</f>
        <v>#DIV/0!</v>
      </c>
      <c r="W130" s="98">
        <f t="shared" si="190"/>
        <v>2.5</v>
      </c>
      <c r="X130" s="99"/>
      <c r="Y130" s="97">
        <f t="shared" si="94"/>
        <v>0.02</v>
      </c>
      <c r="Z130" s="100">
        <f t="shared" si="95"/>
        <v>1</v>
      </c>
      <c r="AA130" s="99">
        <f t="shared" ca="1" si="154"/>
        <v>3037</v>
      </c>
      <c r="AB130" s="77" t="e">
        <f t="shared" si="155"/>
        <v>#DIV/0!</v>
      </c>
      <c r="AC130" s="77" t="e">
        <f>IF(H$16=1,_xll.xCalcSkew($A130,AD130-BV130,b)/100,0)</f>
        <v>#DIV/0!</v>
      </c>
      <c r="AD130" s="98">
        <f t="shared" si="191"/>
        <v>2.4900000000000002</v>
      </c>
      <c r="AF130" s="99">
        <f t="shared" ca="1" si="127"/>
        <v>3037</v>
      </c>
      <c r="AG130" s="99">
        <f t="shared" ca="1" si="128"/>
        <v>3036</v>
      </c>
      <c r="AH130" s="77">
        <f t="shared" si="129"/>
        <v>5.7248535122191899E-2</v>
      </c>
      <c r="AI130" s="154">
        <f t="shared" si="99"/>
        <v>31</v>
      </c>
      <c r="AL130" s="99"/>
      <c r="AM130" s="78"/>
      <c r="AN130" s="78">
        <f t="shared" si="156"/>
        <v>0</v>
      </c>
      <c r="AO130" s="303" t="e">
        <f t="shared" si="157"/>
        <v>#DIV/0!</v>
      </c>
      <c r="AP130" s="75">
        <f t="shared" si="192"/>
        <v>0</v>
      </c>
      <c r="AQ130" s="102">
        <f t="shared" si="193"/>
        <v>0</v>
      </c>
      <c r="AR130" s="101">
        <f t="shared" si="158"/>
        <v>0</v>
      </c>
      <c r="AS130" s="101">
        <f t="shared" si="159"/>
        <v>0</v>
      </c>
      <c r="AT130" s="101">
        <f t="shared" si="160"/>
        <v>0</v>
      </c>
      <c r="AU130" s="103">
        <f t="shared" si="161"/>
        <v>0</v>
      </c>
      <c r="AV130" s="103">
        <f t="shared" si="162"/>
        <v>0</v>
      </c>
      <c r="AW130" s="103">
        <f t="shared" si="163"/>
        <v>0</v>
      </c>
      <c r="AY130" s="78">
        <f t="shared" si="164"/>
        <v>0</v>
      </c>
      <c r="AZ130" s="303" t="e">
        <f t="shared" si="165"/>
        <v>#DIV/0!</v>
      </c>
      <c r="BA130" s="75">
        <f t="shared" si="194"/>
        <v>0</v>
      </c>
      <c r="BB130" s="102">
        <f t="shared" si="195"/>
        <v>0</v>
      </c>
      <c r="BC130" s="101">
        <f t="shared" si="166"/>
        <v>0</v>
      </c>
      <c r="BD130" s="101">
        <f t="shared" si="167"/>
        <v>0</v>
      </c>
      <c r="BE130" s="101">
        <f t="shared" si="168"/>
        <v>0</v>
      </c>
      <c r="BF130" s="103">
        <f t="shared" si="169"/>
        <v>0</v>
      </c>
      <c r="BG130" s="103">
        <f t="shared" si="170"/>
        <v>0</v>
      </c>
      <c r="BH130" s="103">
        <f t="shared" si="171"/>
        <v>0</v>
      </c>
      <c r="BJ130" s="78">
        <f t="shared" si="172"/>
        <v>0</v>
      </c>
      <c r="BK130" s="303" t="e">
        <f t="shared" si="173"/>
        <v>#DIV/0!</v>
      </c>
      <c r="BL130" s="75">
        <f t="shared" si="196"/>
        <v>0</v>
      </c>
      <c r="BM130" s="102">
        <f t="shared" si="197"/>
        <v>0</v>
      </c>
      <c r="BN130" s="101">
        <f t="shared" si="174"/>
        <v>0</v>
      </c>
      <c r="BO130" s="101">
        <f t="shared" si="175"/>
        <v>0</v>
      </c>
      <c r="BP130" s="101">
        <f t="shared" si="176"/>
        <v>0</v>
      </c>
      <c r="BQ130" s="103">
        <f t="shared" si="177"/>
        <v>0</v>
      </c>
      <c r="BR130" s="103">
        <f t="shared" si="178"/>
        <v>0</v>
      </c>
      <c r="BS130" s="103">
        <f t="shared" si="179"/>
        <v>0</v>
      </c>
      <c r="BU130" s="78">
        <f t="shared" si="180"/>
        <v>0</v>
      </c>
      <c r="BV130" s="303" t="e">
        <f t="shared" si="181"/>
        <v>#DIV/0!</v>
      </c>
      <c r="BW130" s="75">
        <f t="shared" si="198"/>
        <v>0</v>
      </c>
      <c r="BX130" s="102">
        <f t="shared" si="199"/>
        <v>0</v>
      </c>
      <c r="BY130" s="101">
        <f t="shared" si="182"/>
        <v>0</v>
      </c>
      <c r="BZ130" s="101">
        <f t="shared" si="183"/>
        <v>0</v>
      </c>
      <c r="CA130" s="101">
        <f t="shared" si="184"/>
        <v>0</v>
      </c>
      <c r="CB130" s="103">
        <f t="shared" si="185"/>
        <v>0</v>
      </c>
      <c r="CC130" s="103">
        <f t="shared" si="186"/>
        <v>0</v>
      </c>
      <c r="CD130" s="103">
        <f t="shared" si="187"/>
        <v>0</v>
      </c>
    </row>
    <row r="131" spans="1:82" x14ac:dyDescent="0.25">
      <c r="A131" s="96">
        <f t="shared" si="147"/>
        <v>40330</v>
      </c>
      <c r="B131" s="97">
        <f t="shared" si="124"/>
        <v>3.6749999999999998</v>
      </c>
      <c r="C131" s="77">
        <f t="shared" si="148"/>
        <v>0.185</v>
      </c>
      <c r="D131" s="97">
        <f t="shared" si="80"/>
        <v>0</v>
      </c>
      <c r="E131" s="100">
        <f t="shared" si="81"/>
        <v>1</v>
      </c>
      <c r="F131" s="99">
        <f t="shared" ca="1" si="126"/>
        <v>3064</v>
      </c>
      <c r="G131" s="77" t="e">
        <f t="shared" si="149"/>
        <v>#DIV/0!</v>
      </c>
      <c r="H131" s="77" t="e">
        <f>IF(B$16=1,_xll.xCalcSkew(A131,I131-AO131,b)/100,0)</f>
        <v>#DIV/0!</v>
      </c>
      <c r="I131" s="98">
        <f t="shared" si="188"/>
        <v>4</v>
      </c>
      <c r="K131" s="97">
        <f t="shared" si="84"/>
        <v>2.5000000000000001E-2</v>
      </c>
      <c r="L131" s="100">
        <f t="shared" si="85"/>
        <v>1</v>
      </c>
      <c r="M131" s="99">
        <f t="shared" ca="1" si="150"/>
        <v>3065</v>
      </c>
      <c r="N131" s="175" t="e">
        <f t="shared" si="151"/>
        <v>#DIV/0!</v>
      </c>
      <c r="O131" s="77" t="e">
        <f>IF(D$16=1,_xll.xCalcSkew($A131,P131-AZ131,b)/100,0)</f>
        <v>#DIV/0!</v>
      </c>
      <c r="P131" s="98">
        <f t="shared" si="189"/>
        <v>2.5</v>
      </c>
      <c r="R131" s="97">
        <f t="shared" si="89"/>
        <v>2.5000000000000001E-2</v>
      </c>
      <c r="S131" s="100">
        <f t="shared" si="90"/>
        <v>1</v>
      </c>
      <c r="T131" s="99">
        <f t="shared" ca="1" si="152"/>
        <v>3065</v>
      </c>
      <c r="U131" s="175" t="e">
        <f t="shared" si="153"/>
        <v>#DIV/0!</v>
      </c>
      <c r="V131" s="77" t="e">
        <f>IF(F$16=1,_xll.xCalcSkew($A131,W131-BK131,b)/100,0)</f>
        <v>#DIV/0!</v>
      </c>
      <c r="W131" s="98">
        <f t="shared" si="190"/>
        <v>2.5</v>
      </c>
      <c r="X131" s="99"/>
      <c r="Y131" s="97">
        <f t="shared" si="94"/>
        <v>2.5000000000000001E-2</v>
      </c>
      <c r="Z131" s="100">
        <f t="shared" si="95"/>
        <v>1</v>
      </c>
      <c r="AA131" s="99">
        <f t="shared" ca="1" si="154"/>
        <v>3065</v>
      </c>
      <c r="AB131" s="77" t="e">
        <f t="shared" si="155"/>
        <v>#DIV/0!</v>
      </c>
      <c r="AC131" s="77" t="e">
        <f>IF(H$16=1,_xll.xCalcSkew($A131,AD131-BV131,b)/100,0)</f>
        <v>#DIV/0!</v>
      </c>
      <c r="AD131" s="98">
        <f t="shared" si="191"/>
        <v>2.4900000000000002</v>
      </c>
      <c r="AF131" s="99">
        <f t="shared" ca="1" si="127"/>
        <v>3065</v>
      </c>
      <c r="AG131" s="99">
        <f t="shared" ca="1" si="128"/>
        <v>3064</v>
      </c>
      <c r="AH131" s="77">
        <f t="shared" si="129"/>
        <v>5.7352033561562703E-2</v>
      </c>
      <c r="AI131" s="154">
        <f t="shared" si="99"/>
        <v>30</v>
      </c>
      <c r="AL131" s="99"/>
      <c r="AM131" s="78"/>
      <c r="AN131" s="78">
        <f t="shared" si="156"/>
        <v>0</v>
      </c>
      <c r="AO131" s="303" t="e">
        <f t="shared" si="157"/>
        <v>#DIV/0!</v>
      </c>
      <c r="AP131" s="75">
        <f t="shared" si="192"/>
        <v>0</v>
      </c>
      <c r="AQ131" s="102">
        <f t="shared" si="193"/>
        <v>0</v>
      </c>
      <c r="AR131" s="101">
        <f t="shared" si="158"/>
        <v>0</v>
      </c>
      <c r="AS131" s="101">
        <f t="shared" si="159"/>
        <v>0</v>
      </c>
      <c r="AT131" s="101">
        <f t="shared" si="160"/>
        <v>0</v>
      </c>
      <c r="AU131" s="103">
        <f t="shared" si="161"/>
        <v>0</v>
      </c>
      <c r="AV131" s="103">
        <f t="shared" si="162"/>
        <v>0</v>
      </c>
      <c r="AW131" s="103">
        <f t="shared" si="163"/>
        <v>0</v>
      </c>
      <c r="AY131" s="78">
        <f t="shared" si="164"/>
        <v>0</v>
      </c>
      <c r="AZ131" s="303" t="e">
        <f t="shared" si="165"/>
        <v>#DIV/0!</v>
      </c>
      <c r="BA131" s="75">
        <f t="shared" si="194"/>
        <v>0</v>
      </c>
      <c r="BB131" s="102">
        <f t="shared" si="195"/>
        <v>0</v>
      </c>
      <c r="BC131" s="101">
        <f t="shared" si="166"/>
        <v>0</v>
      </c>
      <c r="BD131" s="101">
        <f t="shared" si="167"/>
        <v>0</v>
      </c>
      <c r="BE131" s="101">
        <f t="shared" si="168"/>
        <v>0</v>
      </c>
      <c r="BF131" s="103">
        <f t="shared" si="169"/>
        <v>0</v>
      </c>
      <c r="BG131" s="103">
        <f t="shared" si="170"/>
        <v>0</v>
      </c>
      <c r="BH131" s="103">
        <f t="shared" si="171"/>
        <v>0</v>
      </c>
      <c r="BJ131" s="78">
        <f t="shared" si="172"/>
        <v>0</v>
      </c>
      <c r="BK131" s="303" t="e">
        <f t="shared" si="173"/>
        <v>#DIV/0!</v>
      </c>
      <c r="BL131" s="75">
        <f t="shared" si="196"/>
        <v>0</v>
      </c>
      <c r="BM131" s="102">
        <f t="shared" si="197"/>
        <v>0</v>
      </c>
      <c r="BN131" s="101">
        <f t="shared" si="174"/>
        <v>0</v>
      </c>
      <c r="BO131" s="101">
        <f t="shared" si="175"/>
        <v>0</v>
      </c>
      <c r="BP131" s="101">
        <f t="shared" si="176"/>
        <v>0</v>
      </c>
      <c r="BQ131" s="103">
        <f t="shared" si="177"/>
        <v>0</v>
      </c>
      <c r="BR131" s="103">
        <f t="shared" si="178"/>
        <v>0</v>
      </c>
      <c r="BS131" s="103">
        <f t="shared" si="179"/>
        <v>0</v>
      </c>
      <c r="BU131" s="78">
        <f t="shared" si="180"/>
        <v>0</v>
      </c>
      <c r="BV131" s="303" t="e">
        <f t="shared" si="181"/>
        <v>#DIV/0!</v>
      </c>
      <c r="BW131" s="75">
        <f t="shared" si="198"/>
        <v>0</v>
      </c>
      <c r="BX131" s="102">
        <f t="shared" si="199"/>
        <v>0</v>
      </c>
      <c r="BY131" s="101">
        <f t="shared" si="182"/>
        <v>0</v>
      </c>
      <c r="BZ131" s="101">
        <f t="shared" si="183"/>
        <v>0</v>
      </c>
      <c r="CA131" s="101">
        <f t="shared" si="184"/>
        <v>0</v>
      </c>
      <c r="CB131" s="103">
        <f t="shared" si="185"/>
        <v>0</v>
      </c>
      <c r="CC131" s="103">
        <f t="shared" si="186"/>
        <v>0</v>
      </c>
      <c r="CD131" s="103">
        <f t="shared" si="187"/>
        <v>0</v>
      </c>
    </row>
    <row r="132" spans="1:82" x14ac:dyDescent="0.25">
      <c r="A132" s="96">
        <f t="shared" si="147"/>
        <v>40360</v>
      </c>
      <c r="B132" s="97">
        <f t="shared" si="124"/>
        <v>3.7149999999999999</v>
      </c>
      <c r="C132" s="77">
        <f t="shared" si="148"/>
        <v>0.185</v>
      </c>
      <c r="D132" s="97">
        <f t="shared" si="80"/>
        <v>0</v>
      </c>
      <c r="E132" s="100">
        <f t="shared" si="81"/>
        <v>1</v>
      </c>
      <c r="F132" s="99">
        <f t="shared" ca="1" si="126"/>
        <v>3095</v>
      </c>
      <c r="G132" s="77" t="e">
        <f t="shared" si="149"/>
        <v>#DIV/0!</v>
      </c>
      <c r="H132" s="77" t="e">
        <f>IF(B$16=1,_xll.xCalcSkew(A132,I132-AO132,b)/100,0)</f>
        <v>#DIV/0!</v>
      </c>
      <c r="I132" s="98">
        <f t="shared" si="188"/>
        <v>4</v>
      </c>
      <c r="K132" s="97">
        <f t="shared" si="84"/>
        <v>2.75E-2</v>
      </c>
      <c r="L132" s="100">
        <f t="shared" si="85"/>
        <v>1</v>
      </c>
      <c r="M132" s="99">
        <f t="shared" ca="1" si="150"/>
        <v>3098</v>
      </c>
      <c r="N132" s="175" t="e">
        <f t="shared" si="151"/>
        <v>#DIV/0!</v>
      </c>
      <c r="O132" s="77" t="e">
        <f>IF(D$16=1,_xll.xCalcSkew($A132,P132-AZ132,b)/100,0)</f>
        <v>#DIV/0!</v>
      </c>
      <c r="P132" s="98">
        <f t="shared" si="189"/>
        <v>2.5</v>
      </c>
      <c r="R132" s="97">
        <f t="shared" si="89"/>
        <v>2.75E-2</v>
      </c>
      <c r="S132" s="100">
        <f t="shared" si="90"/>
        <v>1</v>
      </c>
      <c r="T132" s="99">
        <f t="shared" ca="1" si="152"/>
        <v>3098</v>
      </c>
      <c r="U132" s="175" t="e">
        <f t="shared" si="153"/>
        <v>#DIV/0!</v>
      </c>
      <c r="V132" s="77" t="e">
        <f>IF(F$16=1,_xll.xCalcSkew($A132,W132-BK132,b)/100,0)</f>
        <v>#DIV/0!</v>
      </c>
      <c r="W132" s="98">
        <f t="shared" si="190"/>
        <v>2.5</v>
      </c>
      <c r="X132" s="99"/>
      <c r="Y132" s="97">
        <f t="shared" si="94"/>
        <v>2.75E-2</v>
      </c>
      <c r="Z132" s="100">
        <f t="shared" si="95"/>
        <v>1</v>
      </c>
      <c r="AA132" s="99">
        <f t="shared" ca="1" si="154"/>
        <v>3098</v>
      </c>
      <c r="AB132" s="77" t="e">
        <f t="shared" si="155"/>
        <v>#DIV/0!</v>
      </c>
      <c r="AC132" s="77" t="e">
        <f>IF(H$16=1,_xll.xCalcSkew($A132,AD132-BV132,b)/100,0)</f>
        <v>#DIV/0!</v>
      </c>
      <c r="AD132" s="98">
        <f t="shared" si="191"/>
        <v>2.4900000000000002</v>
      </c>
      <c r="AF132" s="99">
        <f t="shared" ca="1" si="127"/>
        <v>3098</v>
      </c>
      <c r="AG132" s="99">
        <f t="shared" ca="1" si="128"/>
        <v>3095</v>
      </c>
      <c r="AH132" s="77">
        <f t="shared" si="129"/>
        <v>5.7452193344991603E-2</v>
      </c>
      <c r="AI132" s="154">
        <f t="shared" si="99"/>
        <v>31</v>
      </c>
      <c r="AL132" s="99"/>
      <c r="AM132" s="78"/>
      <c r="AN132" s="78">
        <f t="shared" si="156"/>
        <v>0</v>
      </c>
      <c r="AO132" s="303" t="e">
        <f t="shared" si="157"/>
        <v>#DIV/0!</v>
      </c>
      <c r="AP132" s="75">
        <f t="shared" si="192"/>
        <v>0</v>
      </c>
      <c r="AQ132" s="102">
        <f t="shared" si="193"/>
        <v>0</v>
      </c>
      <c r="AR132" s="101">
        <f t="shared" si="158"/>
        <v>0</v>
      </c>
      <c r="AS132" s="101">
        <f t="shared" si="159"/>
        <v>0</v>
      </c>
      <c r="AT132" s="101">
        <f t="shared" si="160"/>
        <v>0</v>
      </c>
      <c r="AU132" s="103">
        <f t="shared" si="161"/>
        <v>0</v>
      </c>
      <c r="AV132" s="103">
        <f t="shared" si="162"/>
        <v>0</v>
      </c>
      <c r="AW132" s="103">
        <f t="shared" si="163"/>
        <v>0</v>
      </c>
      <c r="AY132" s="78">
        <f t="shared" si="164"/>
        <v>0</v>
      </c>
      <c r="AZ132" s="303" t="e">
        <f t="shared" si="165"/>
        <v>#DIV/0!</v>
      </c>
      <c r="BA132" s="75">
        <f t="shared" si="194"/>
        <v>0</v>
      </c>
      <c r="BB132" s="102">
        <f t="shared" si="195"/>
        <v>0</v>
      </c>
      <c r="BC132" s="101">
        <f t="shared" si="166"/>
        <v>0</v>
      </c>
      <c r="BD132" s="101">
        <f t="shared" si="167"/>
        <v>0</v>
      </c>
      <c r="BE132" s="101">
        <f t="shared" si="168"/>
        <v>0</v>
      </c>
      <c r="BF132" s="103">
        <f t="shared" si="169"/>
        <v>0</v>
      </c>
      <c r="BG132" s="103">
        <f t="shared" si="170"/>
        <v>0</v>
      </c>
      <c r="BH132" s="103">
        <f t="shared" si="171"/>
        <v>0</v>
      </c>
      <c r="BJ132" s="78">
        <f t="shared" si="172"/>
        <v>0</v>
      </c>
      <c r="BK132" s="303" t="e">
        <f t="shared" si="173"/>
        <v>#DIV/0!</v>
      </c>
      <c r="BL132" s="75">
        <f t="shared" si="196"/>
        <v>0</v>
      </c>
      <c r="BM132" s="102">
        <f t="shared" si="197"/>
        <v>0</v>
      </c>
      <c r="BN132" s="101">
        <f t="shared" si="174"/>
        <v>0</v>
      </c>
      <c r="BO132" s="101">
        <f t="shared" si="175"/>
        <v>0</v>
      </c>
      <c r="BP132" s="101">
        <f t="shared" si="176"/>
        <v>0</v>
      </c>
      <c r="BQ132" s="103">
        <f t="shared" si="177"/>
        <v>0</v>
      </c>
      <c r="BR132" s="103">
        <f t="shared" si="178"/>
        <v>0</v>
      </c>
      <c r="BS132" s="103">
        <f t="shared" si="179"/>
        <v>0</v>
      </c>
      <c r="BU132" s="78">
        <f t="shared" si="180"/>
        <v>0</v>
      </c>
      <c r="BV132" s="303" t="e">
        <f t="shared" si="181"/>
        <v>#DIV/0!</v>
      </c>
      <c r="BW132" s="75">
        <f t="shared" si="198"/>
        <v>0</v>
      </c>
      <c r="BX132" s="102">
        <f t="shared" si="199"/>
        <v>0</v>
      </c>
      <c r="BY132" s="101">
        <f t="shared" si="182"/>
        <v>0</v>
      </c>
      <c r="BZ132" s="101">
        <f t="shared" si="183"/>
        <v>0</v>
      </c>
      <c r="CA132" s="101">
        <f t="shared" si="184"/>
        <v>0</v>
      </c>
      <c r="CB132" s="103">
        <f t="shared" si="185"/>
        <v>0</v>
      </c>
      <c r="CC132" s="103">
        <f t="shared" si="186"/>
        <v>0</v>
      </c>
      <c r="CD132" s="103">
        <f t="shared" si="187"/>
        <v>0</v>
      </c>
    </row>
    <row r="133" spans="1:82" x14ac:dyDescent="0.25">
      <c r="A133" s="96">
        <f t="shared" si="147"/>
        <v>40391</v>
      </c>
      <c r="B133" s="97">
        <f t="shared" si="124"/>
        <v>3.7549999999999999</v>
      </c>
      <c r="C133" s="77">
        <f t="shared" si="148"/>
        <v>0.185</v>
      </c>
      <c r="D133" s="97">
        <f t="shared" si="80"/>
        <v>0</v>
      </c>
      <c r="E133" s="100">
        <f t="shared" si="81"/>
        <v>1</v>
      </c>
      <c r="F133" s="99">
        <f t="shared" ca="1" si="126"/>
        <v>3127</v>
      </c>
      <c r="G133" s="77" t="e">
        <f t="shared" si="149"/>
        <v>#DIV/0!</v>
      </c>
      <c r="H133" s="77" t="e">
        <f>IF(B$16=1,_xll.xCalcSkew(A133,I133-AO133,b)/100,0)</f>
        <v>#DIV/0!</v>
      </c>
      <c r="I133" s="98">
        <f t="shared" si="188"/>
        <v>4</v>
      </c>
      <c r="K133" s="97">
        <f t="shared" si="84"/>
        <v>0.03</v>
      </c>
      <c r="L133" s="100">
        <f t="shared" si="85"/>
        <v>1</v>
      </c>
      <c r="M133" s="99">
        <f t="shared" ca="1" si="150"/>
        <v>3128</v>
      </c>
      <c r="N133" s="175" t="e">
        <f t="shared" si="151"/>
        <v>#DIV/0!</v>
      </c>
      <c r="O133" s="77" t="e">
        <f>IF(D$16=1,_xll.xCalcSkew($A133,P133-AZ133,b)/100,0)</f>
        <v>#DIV/0!</v>
      </c>
      <c r="P133" s="98">
        <f t="shared" si="189"/>
        <v>2.5</v>
      </c>
      <c r="R133" s="97">
        <f t="shared" si="89"/>
        <v>0.03</v>
      </c>
      <c r="S133" s="100">
        <f t="shared" si="90"/>
        <v>1</v>
      </c>
      <c r="T133" s="99">
        <f t="shared" ca="1" si="152"/>
        <v>3128</v>
      </c>
      <c r="U133" s="175" t="e">
        <f t="shared" si="153"/>
        <v>#DIV/0!</v>
      </c>
      <c r="V133" s="77" t="e">
        <f>IF(F$16=1,_xll.xCalcSkew($A133,W133-BK133,b)/100,0)</f>
        <v>#DIV/0!</v>
      </c>
      <c r="W133" s="98">
        <f t="shared" si="190"/>
        <v>2.5</v>
      </c>
      <c r="X133" s="99"/>
      <c r="Y133" s="97">
        <f t="shared" si="94"/>
        <v>0.03</v>
      </c>
      <c r="Z133" s="100">
        <f t="shared" si="95"/>
        <v>1</v>
      </c>
      <c r="AA133" s="99">
        <f t="shared" ca="1" si="154"/>
        <v>3128</v>
      </c>
      <c r="AB133" s="77" t="e">
        <f t="shared" si="155"/>
        <v>#DIV/0!</v>
      </c>
      <c r="AC133" s="77" t="e">
        <f>IF(H$16=1,_xll.xCalcSkew($A133,AD133-BV133,b)/100,0)</f>
        <v>#DIV/0!</v>
      </c>
      <c r="AD133" s="98">
        <f t="shared" si="191"/>
        <v>2.4900000000000002</v>
      </c>
      <c r="AF133" s="99">
        <f t="shared" ca="1" si="127"/>
        <v>3128</v>
      </c>
      <c r="AG133" s="99">
        <f t="shared" ca="1" si="128"/>
        <v>3127</v>
      </c>
      <c r="AH133" s="77">
        <f t="shared" si="129"/>
        <v>5.7555691791374597E-2</v>
      </c>
      <c r="AI133" s="154">
        <f t="shared" si="99"/>
        <v>31</v>
      </c>
      <c r="AL133" s="99"/>
      <c r="AM133" s="78"/>
      <c r="AN133" s="78">
        <f t="shared" si="156"/>
        <v>0</v>
      </c>
      <c r="AO133" s="303" t="e">
        <f t="shared" si="157"/>
        <v>#DIV/0!</v>
      </c>
      <c r="AP133" s="75">
        <f t="shared" si="192"/>
        <v>0</v>
      </c>
      <c r="AQ133" s="102">
        <f t="shared" si="193"/>
        <v>0</v>
      </c>
      <c r="AR133" s="101">
        <f t="shared" si="158"/>
        <v>0</v>
      </c>
      <c r="AS133" s="101">
        <f t="shared" si="159"/>
        <v>0</v>
      </c>
      <c r="AT133" s="101">
        <f t="shared" si="160"/>
        <v>0</v>
      </c>
      <c r="AU133" s="103">
        <f t="shared" si="161"/>
        <v>0</v>
      </c>
      <c r="AV133" s="103">
        <f t="shared" si="162"/>
        <v>0</v>
      </c>
      <c r="AW133" s="103">
        <f t="shared" si="163"/>
        <v>0</v>
      </c>
      <c r="AY133" s="78">
        <f t="shared" si="164"/>
        <v>0</v>
      </c>
      <c r="AZ133" s="303" t="e">
        <f t="shared" si="165"/>
        <v>#DIV/0!</v>
      </c>
      <c r="BA133" s="75">
        <f t="shared" si="194"/>
        <v>0</v>
      </c>
      <c r="BB133" s="102">
        <f t="shared" si="195"/>
        <v>0</v>
      </c>
      <c r="BC133" s="101">
        <f t="shared" si="166"/>
        <v>0</v>
      </c>
      <c r="BD133" s="101">
        <f t="shared" si="167"/>
        <v>0</v>
      </c>
      <c r="BE133" s="101">
        <f t="shared" si="168"/>
        <v>0</v>
      </c>
      <c r="BF133" s="103">
        <f t="shared" si="169"/>
        <v>0</v>
      </c>
      <c r="BG133" s="103">
        <f t="shared" si="170"/>
        <v>0</v>
      </c>
      <c r="BH133" s="103">
        <f t="shared" si="171"/>
        <v>0</v>
      </c>
      <c r="BJ133" s="78">
        <f t="shared" si="172"/>
        <v>0</v>
      </c>
      <c r="BK133" s="303" t="e">
        <f t="shared" si="173"/>
        <v>#DIV/0!</v>
      </c>
      <c r="BL133" s="75">
        <f t="shared" si="196"/>
        <v>0</v>
      </c>
      <c r="BM133" s="102">
        <f t="shared" si="197"/>
        <v>0</v>
      </c>
      <c r="BN133" s="101">
        <f t="shared" si="174"/>
        <v>0</v>
      </c>
      <c r="BO133" s="101">
        <f t="shared" si="175"/>
        <v>0</v>
      </c>
      <c r="BP133" s="101">
        <f t="shared" si="176"/>
        <v>0</v>
      </c>
      <c r="BQ133" s="103">
        <f t="shared" si="177"/>
        <v>0</v>
      </c>
      <c r="BR133" s="103">
        <f t="shared" si="178"/>
        <v>0</v>
      </c>
      <c r="BS133" s="103">
        <f t="shared" si="179"/>
        <v>0</v>
      </c>
      <c r="BU133" s="78">
        <f t="shared" si="180"/>
        <v>0</v>
      </c>
      <c r="BV133" s="303" t="e">
        <f t="shared" si="181"/>
        <v>#DIV/0!</v>
      </c>
      <c r="BW133" s="75">
        <f t="shared" si="198"/>
        <v>0</v>
      </c>
      <c r="BX133" s="102">
        <f t="shared" si="199"/>
        <v>0</v>
      </c>
      <c r="BY133" s="101">
        <f t="shared" si="182"/>
        <v>0</v>
      </c>
      <c r="BZ133" s="101">
        <f t="shared" si="183"/>
        <v>0</v>
      </c>
      <c r="CA133" s="101">
        <f t="shared" si="184"/>
        <v>0</v>
      </c>
      <c r="CB133" s="103">
        <f t="shared" si="185"/>
        <v>0</v>
      </c>
      <c r="CC133" s="103">
        <f t="shared" si="186"/>
        <v>0</v>
      </c>
      <c r="CD133" s="103">
        <f t="shared" si="187"/>
        <v>0</v>
      </c>
    </row>
    <row r="134" spans="1:82" x14ac:dyDescent="0.25">
      <c r="A134" s="96">
        <f t="shared" si="147"/>
        <v>40422</v>
      </c>
      <c r="B134" s="97">
        <f t="shared" si="124"/>
        <v>3.75</v>
      </c>
      <c r="C134" s="77">
        <f t="shared" si="148"/>
        <v>0.185</v>
      </c>
      <c r="D134" s="97">
        <f t="shared" si="80"/>
        <v>0</v>
      </c>
      <c r="E134" s="100">
        <f t="shared" si="81"/>
        <v>1</v>
      </c>
      <c r="F134" s="99">
        <f t="shared" ca="1" si="126"/>
        <v>3157</v>
      </c>
      <c r="G134" s="77" t="e">
        <f t="shared" si="149"/>
        <v>#DIV/0!</v>
      </c>
      <c r="H134" s="77" t="e">
        <f>IF(B$16=1,_xll.xCalcSkew(A134,I134-AO134,b)/100,0)</f>
        <v>#DIV/0!</v>
      </c>
      <c r="I134" s="98">
        <f t="shared" si="188"/>
        <v>4</v>
      </c>
      <c r="K134" s="97">
        <f t="shared" si="84"/>
        <v>2.2499999999999999E-2</v>
      </c>
      <c r="L134" s="100">
        <f t="shared" si="85"/>
        <v>1</v>
      </c>
      <c r="M134" s="99">
        <f t="shared" ca="1" si="150"/>
        <v>3158</v>
      </c>
      <c r="N134" s="175" t="e">
        <f t="shared" si="151"/>
        <v>#DIV/0!</v>
      </c>
      <c r="O134" s="77" t="e">
        <f>IF(D$16=1,_xll.xCalcSkew($A134,P134-AZ134,b)/100,0)</f>
        <v>#DIV/0!</v>
      </c>
      <c r="P134" s="98">
        <f t="shared" si="189"/>
        <v>2.5</v>
      </c>
      <c r="R134" s="97">
        <f t="shared" si="89"/>
        <v>2.2499999999999999E-2</v>
      </c>
      <c r="S134" s="100">
        <f t="shared" si="90"/>
        <v>1</v>
      </c>
      <c r="T134" s="99">
        <f t="shared" ca="1" si="152"/>
        <v>3158</v>
      </c>
      <c r="U134" s="175" t="e">
        <f t="shared" si="153"/>
        <v>#DIV/0!</v>
      </c>
      <c r="V134" s="77" t="e">
        <f>IF(F$16=1,_xll.xCalcSkew($A134,W134-BK134,b)/100,0)</f>
        <v>#DIV/0!</v>
      </c>
      <c r="W134" s="98">
        <f t="shared" si="190"/>
        <v>2.5</v>
      </c>
      <c r="X134" s="99"/>
      <c r="Y134" s="97">
        <f t="shared" si="94"/>
        <v>2.2499999999999999E-2</v>
      </c>
      <c r="Z134" s="100">
        <f t="shared" si="95"/>
        <v>1</v>
      </c>
      <c r="AA134" s="99">
        <f t="shared" ca="1" si="154"/>
        <v>3158</v>
      </c>
      <c r="AB134" s="77" t="e">
        <f t="shared" si="155"/>
        <v>#DIV/0!</v>
      </c>
      <c r="AC134" s="77" t="e">
        <f>IF(H$16=1,_xll.xCalcSkew($A134,AD134-BV134,b)/100,0)</f>
        <v>#DIV/0!</v>
      </c>
      <c r="AD134" s="98">
        <f t="shared" si="191"/>
        <v>2.4900000000000002</v>
      </c>
      <c r="AF134" s="99">
        <f t="shared" ca="1" si="127"/>
        <v>3158</v>
      </c>
      <c r="AG134" s="99">
        <f t="shared" ca="1" si="128"/>
        <v>3157</v>
      </c>
      <c r="AH134" s="77">
        <f t="shared" si="129"/>
        <v>5.7659190241320601E-2</v>
      </c>
      <c r="AI134" s="154">
        <f t="shared" si="99"/>
        <v>30</v>
      </c>
      <c r="AL134" s="99"/>
      <c r="AM134" s="78"/>
      <c r="AN134" s="78">
        <f t="shared" si="156"/>
        <v>0</v>
      </c>
      <c r="AO134" s="303" t="e">
        <f t="shared" si="157"/>
        <v>#DIV/0!</v>
      </c>
      <c r="AP134" s="75">
        <f t="shared" si="192"/>
        <v>0</v>
      </c>
      <c r="AQ134" s="102">
        <f t="shared" si="193"/>
        <v>0</v>
      </c>
      <c r="AR134" s="101">
        <f t="shared" si="158"/>
        <v>0</v>
      </c>
      <c r="AS134" s="101">
        <f t="shared" si="159"/>
        <v>0</v>
      </c>
      <c r="AT134" s="101">
        <f t="shared" si="160"/>
        <v>0</v>
      </c>
      <c r="AU134" s="103">
        <f t="shared" si="161"/>
        <v>0</v>
      </c>
      <c r="AV134" s="103">
        <f t="shared" si="162"/>
        <v>0</v>
      </c>
      <c r="AW134" s="103">
        <f t="shared" si="163"/>
        <v>0</v>
      </c>
      <c r="AY134" s="78">
        <f t="shared" si="164"/>
        <v>0</v>
      </c>
      <c r="AZ134" s="303" t="e">
        <f t="shared" si="165"/>
        <v>#DIV/0!</v>
      </c>
      <c r="BA134" s="75">
        <f t="shared" si="194"/>
        <v>0</v>
      </c>
      <c r="BB134" s="102">
        <f t="shared" si="195"/>
        <v>0</v>
      </c>
      <c r="BC134" s="101">
        <f t="shared" si="166"/>
        <v>0</v>
      </c>
      <c r="BD134" s="101">
        <f t="shared" si="167"/>
        <v>0</v>
      </c>
      <c r="BE134" s="101">
        <f t="shared" si="168"/>
        <v>0</v>
      </c>
      <c r="BF134" s="103">
        <f t="shared" si="169"/>
        <v>0</v>
      </c>
      <c r="BG134" s="103">
        <f t="shared" si="170"/>
        <v>0</v>
      </c>
      <c r="BH134" s="103">
        <f t="shared" si="171"/>
        <v>0</v>
      </c>
      <c r="BJ134" s="78">
        <f t="shared" si="172"/>
        <v>0</v>
      </c>
      <c r="BK134" s="303" t="e">
        <f t="shared" si="173"/>
        <v>#DIV/0!</v>
      </c>
      <c r="BL134" s="75">
        <f t="shared" si="196"/>
        <v>0</v>
      </c>
      <c r="BM134" s="102">
        <f t="shared" si="197"/>
        <v>0</v>
      </c>
      <c r="BN134" s="101">
        <f t="shared" si="174"/>
        <v>0</v>
      </c>
      <c r="BO134" s="101">
        <f t="shared" si="175"/>
        <v>0</v>
      </c>
      <c r="BP134" s="101">
        <f t="shared" si="176"/>
        <v>0</v>
      </c>
      <c r="BQ134" s="103">
        <f t="shared" si="177"/>
        <v>0</v>
      </c>
      <c r="BR134" s="103">
        <f t="shared" si="178"/>
        <v>0</v>
      </c>
      <c r="BS134" s="103">
        <f t="shared" si="179"/>
        <v>0</v>
      </c>
      <c r="BU134" s="78">
        <f t="shared" si="180"/>
        <v>0</v>
      </c>
      <c r="BV134" s="303" t="e">
        <f t="shared" si="181"/>
        <v>#DIV/0!</v>
      </c>
      <c r="BW134" s="75">
        <f t="shared" si="198"/>
        <v>0</v>
      </c>
      <c r="BX134" s="102">
        <f t="shared" si="199"/>
        <v>0</v>
      </c>
      <c r="BY134" s="101">
        <f t="shared" si="182"/>
        <v>0</v>
      </c>
      <c r="BZ134" s="101">
        <f t="shared" si="183"/>
        <v>0</v>
      </c>
      <c r="CA134" s="101">
        <f t="shared" si="184"/>
        <v>0</v>
      </c>
      <c r="CB134" s="103">
        <f t="shared" si="185"/>
        <v>0</v>
      </c>
      <c r="CC134" s="103">
        <f t="shared" si="186"/>
        <v>0</v>
      </c>
      <c r="CD134" s="103">
        <f t="shared" si="187"/>
        <v>0</v>
      </c>
    </row>
    <row r="135" spans="1:82" x14ac:dyDescent="0.25">
      <c r="A135" s="96">
        <f t="shared" si="147"/>
        <v>40452</v>
      </c>
      <c r="B135" s="97">
        <f t="shared" si="124"/>
        <v>3.7749999999999999</v>
      </c>
      <c r="C135" s="77">
        <f t="shared" si="148"/>
        <v>0.185</v>
      </c>
      <c r="D135" s="97">
        <f t="shared" si="80"/>
        <v>0</v>
      </c>
      <c r="E135" s="100">
        <f t="shared" si="81"/>
        <v>1</v>
      </c>
      <c r="F135" s="99">
        <f t="shared" ca="1" si="126"/>
        <v>3189</v>
      </c>
      <c r="G135" s="77" t="e">
        <f t="shared" si="149"/>
        <v>#DIV/0!</v>
      </c>
      <c r="H135" s="77" t="e">
        <f>IF(B$16=1,_xll.xCalcSkew(A135,I135-AO135,b)/100,0)</f>
        <v>#DIV/0!</v>
      </c>
      <c r="I135" s="98">
        <f t="shared" si="188"/>
        <v>4</v>
      </c>
      <c r="K135" s="97">
        <f t="shared" si="84"/>
        <v>1.2500000000000001E-2</v>
      </c>
      <c r="L135" s="100">
        <f t="shared" si="85"/>
        <v>1</v>
      </c>
      <c r="M135" s="99">
        <f t="shared" ca="1" si="150"/>
        <v>3190</v>
      </c>
      <c r="N135" s="175" t="e">
        <f t="shared" si="151"/>
        <v>#DIV/0!</v>
      </c>
      <c r="O135" s="77" t="e">
        <f>IF(D$16=1,_xll.xCalcSkew($A135,P135-AZ135,b)/100,0)</f>
        <v>#DIV/0!</v>
      </c>
      <c r="P135" s="98">
        <f t="shared" si="189"/>
        <v>2.5</v>
      </c>
      <c r="R135" s="97">
        <f t="shared" si="89"/>
        <v>1.2500000000000001E-2</v>
      </c>
      <c r="S135" s="100">
        <f t="shared" si="90"/>
        <v>1</v>
      </c>
      <c r="T135" s="99">
        <f t="shared" ca="1" si="152"/>
        <v>3190</v>
      </c>
      <c r="U135" s="175" t="e">
        <f t="shared" si="153"/>
        <v>#DIV/0!</v>
      </c>
      <c r="V135" s="77" t="e">
        <f>IF(F$16=1,_xll.xCalcSkew($A135,W135-BK135,b)/100,0)</f>
        <v>#DIV/0!</v>
      </c>
      <c r="W135" s="98">
        <f t="shared" si="190"/>
        <v>2.5</v>
      </c>
      <c r="X135" s="99"/>
      <c r="Y135" s="97">
        <f t="shared" si="94"/>
        <v>1.2500000000000001E-2</v>
      </c>
      <c r="Z135" s="100">
        <f t="shared" si="95"/>
        <v>1</v>
      </c>
      <c r="AA135" s="99">
        <f t="shared" ca="1" si="154"/>
        <v>3190</v>
      </c>
      <c r="AB135" s="77" t="e">
        <f t="shared" si="155"/>
        <v>#DIV/0!</v>
      </c>
      <c r="AC135" s="77" t="e">
        <f>IF(H$16=1,_xll.xCalcSkew($A135,AD135-BV135,b)/100,0)</f>
        <v>#DIV/0!</v>
      </c>
      <c r="AD135" s="98">
        <f t="shared" si="191"/>
        <v>2.4900000000000002</v>
      </c>
      <c r="AF135" s="99">
        <f t="shared" ca="1" si="127"/>
        <v>3190</v>
      </c>
      <c r="AG135" s="99">
        <f t="shared" ca="1" si="128"/>
        <v>3189</v>
      </c>
      <c r="AH135" s="77">
        <f t="shared" si="129"/>
        <v>5.7759350034984003E-2</v>
      </c>
      <c r="AI135" s="154">
        <f t="shared" si="99"/>
        <v>31</v>
      </c>
      <c r="AL135" s="99"/>
      <c r="AM135" s="78"/>
      <c r="AN135" s="78">
        <f t="shared" si="156"/>
        <v>0</v>
      </c>
      <c r="AO135" s="303" t="e">
        <f t="shared" si="157"/>
        <v>#DIV/0!</v>
      </c>
      <c r="AP135" s="75">
        <f t="shared" si="192"/>
        <v>0</v>
      </c>
      <c r="AQ135" s="102">
        <f t="shared" si="193"/>
        <v>0</v>
      </c>
      <c r="AR135" s="101">
        <f t="shared" si="158"/>
        <v>0</v>
      </c>
      <c r="AS135" s="101">
        <f t="shared" si="159"/>
        <v>0</v>
      </c>
      <c r="AT135" s="101">
        <f t="shared" si="160"/>
        <v>0</v>
      </c>
      <c r="AU135" s="103">
        <f t="shared" si="161"/>
        <v>0</v>
      </c>
      <c r="AV135" s="103">
        <f t="shared" si="162"/>
        <v>0</v>
      </c>
      <c r="AW135" s="103">
        <f t="shared" si="163"/>
        <v>0</v>
      </c>
      <c r="AY135" s="78">
        <f t="shared" si="164"/>
        <v>0</v>
      </c>
      <c r="AZ135" s="303" t="e">
        <f t="shared" si="165"/>
        <v>#DIV/0!</v>
      </c>
      <c r="BA135" s="75">
        <f t="shared" si="194"/>
        <v>0</v>
      </c>
      <c r="BB135" s="102">
        <f t="shared" si="195"/>
        <v>0</v>
      </c>
      <c r="BC135" s="101">
        <f t="shared" si="166"/>
        <v>0</v>
      </c>
      <c r="BD135" s="101">
        <f t="shared" si="167"/>
        <v>0</v>
      </c>
      <c r="BE135" s="101">
        <f t="shared" si="168"/>
        <v>0</v>
      </c>
      <c r="BF135" s="103">
        <f t="shared" si="169"/>
        <v>0</v>
      </c>
      <c r="BG135" s="103">
        <f t="shared" si="170"/>
        <v>0</v>
      </c>
      <c r="BH135" s="103">
        <f t="shared" si="171"/>
        <v>0</v>
      </c>
      <c r="BJ135" s="78">
        <f t="shared" si="172"/>
        <v>0</v>
      </c>
      <c r="BK135" s="303" t="e">
        <f t="shared" si="173"/>
        <v>#DIV/0!</v>
      </c>
      <c r="BL135" s="75">
        <f t="shared" si="196"/>
        <v>0</v>
      </c>
      <c r="BM135" s="102">
        <f t="shared" si="197"/>
        <v>0</v>
      </c>
      <c r="BN135" s="101">
        <f t="shared" si="174"/>
        <v>0</v>
      </c>
      <c r="BO135" s="101">
        <f t="shared" si="175"/>
        <v>0</v>
      </c>
      <c r="BP135" s="101">
        <f t="shared" si="176"/>
        <v>0</v>
      </c>
      <c r="BQ135" s="103">
        <f t="shared" si="177"/>
        <v>0</v>
      </c>
      <c r="BR135" s="103">
        <f t="shared" si="178"/>
        <v>0</v>
      </c>
      <c r="BS135" s="103">
        <f t="shared" si="179"/>
        <v>0</v>
      </c>
      <c r="BU135" s="78">
        <f t="shared" si="180"/>
        <v>0</v>
      </c>
      <c r="BV135" s="303" t="e">
        <f t="shared" si="181"/>
        <v>#DIV/0!</v>
      </c>
      <c r="BW135" s="75">
        <f t="shared" si="198"/>
        <v>0</v>
      </c>
      <c r="BX135" s="102">
        <f t="shared" si="199"/>
        <v>0</v>
      </c>
      <c r="BY135" s="101">
        <f t="shared" si="182"/>
        <v>0</v>
      </c>
      <c r="BZ135" s="101">
        <f t="shared" si="183"/>
        <v>0</v>
      </c>
      <c r="CA135" s="101">
        <f t="shared" si="184"/>
        <v>0</v>
      </c>
      <c r="CB135" s="103">
        <f t="shared" si="185"/>
        <v>0</v>
      </c>
      <c r="CC135" s="103">
        <f t="shared" si="186"/>
        <v>0</v>
      </c>
      <c r="CD135" s="103">
        <f t="shared" si="187"/>
        <v>0</v>
      </c>
    </row>
    <row r="136" spans="1:82" x14ac:dyDescent="0.25">
      <c r="A136" s="96">
        <f t="shared" si="147"/>
        <v>40483</v>
      </c>
      <c r="B136" s="97">
        <f t="shared" si="124"/>
        <v>3.927</v>
      </c>
      <c r="C136" s="77">
        <f t="shared" si="148"/>
        <v>0.185</v>
      </c>
      <c r="D136" s="97">
        <f t="shared" si="80"/>
        <v>0</v>
      </c>
      <c r="E136" s="100">
        <f t="shared" si="81"/>
        <v>1</v>
      </c>
      <c r="F136" s="99">
        <f t="shared" ca="1" si="126"/>
        <v>3218</v>
      </c>
      <c r="G136" s="77" t="e">
        <f t="shared" si="149"/>
        <v>#DIV/0!</v>
      </c>
      <c r="H136" s="77" t="e">
        <f>IF(B$16=1,_xll.xCalcSkew(A136,I136-AO136,b)/100,0)</f>
        <v>#DIV/0!</v>
      </c>
      <c r="I136" s="98">
        <f t="shared" si="188"/>
        <v>4</v>
      </c>
      <c r="K136" s="97">
        <f t="shared" si="84"/>
        <v>-2.2499999999999999E-2</v>
      </c>
      <c r="L136" s="100">
        <f t="shared" si="85"/>
        <v>1</v>
      </c>
      <c r="M136" s="99">
        <f t="shared" ca="1" si="150"/>
        <v>3219</v>
      </c>
      <c r="N136" s="175" t="e">
        <f t="shared" si="151"/>
        <v>#DIV/0!</v>
      </c>
      <c r="O136" s="77" t="e">
        <f>IF(D$16=1,_xll.xCalcSkew($A136,P136-AZ136,b)/100,0)</f>
        <v>#DIV/0!</v>
      </c>
      <c r="P136" s="98">
        <f t="shared" si="189"/>
        <v>2.5</v>
      </c>
      <c r="R136" s="97">
        <f t="shared" si="89"/>
        <v>-2.2499999999999999E-2</v>
      </c>
      <c r="S136" s="100">
        <f t="shared" si="90"/>
        <v>1</v>
      </c>
      <c r="T136" s="99">
        <f t="shared" ca="1" si="152"/>
        <v>3219</v>
      </c>
      <c r="U136" s="175" t="e">
        <f t="shared" si="153"/>
        <v>#DIV/0!</v>
      </c>
      <c r="V136" s="77" t="e">
        <f>IF(F$16=1,_xll.xCalcSkew($A136,W136-BK136,b)/100,0)</f>
        <v>#DIV/0!</v>
      </c>
      <c r="W136" s="98">
        <f t="shared" si="190"/>
        <v>2.5</v>
      </c>
      <c r="X136" s="99"/>
      <c r="Y136" s="97">
        <f t="shared" si="94"/>
        <v>-2.2499999999999999E-2</v>
      </c>
      <c r="Z136" s="100">
        <f t="shared" si="95"/>
        <v>1</v>
      </c>
      <c r="AA136" s="99">
        <f t="shared" ca="1" si="154"/>
        <v>3219</v>
      </c>
      <c r="AB136" s="77" t="e">
        <f t="shared" si="155"/>
        <v>#DIV/0!</v>
      </c>
      <c r="AC136" s="77" t="e">
        <f>IF(H$16=1,_xll.xCalcSkew($A136,AD136-BV136,b)/100,0)</f>
        <v>#DIV/0!</v>
      </c>
      <c r="AD136" s="98">
        <f t="shared" si="191"/>
        <v>2.4900000000000002</v>
      </c>
      <c r="AF136" s="99">
        <f t="shared" ca="1" si="127"/>
        <v>3219</v>
      </c>
      <c r="AG136" s="99">
        <f t="shared" ca="1" si="128"/>
        <v>3218</v>
      </c>
      <c r="AH136" s="77">
        <f t="shared" si="129"/>
        <v>5.7862848491941697E-2</v>
      </c>
      <c r="AI136" s="154">
        <f t="shared" si="99"/>
        <v>30</v>
      </c>
      <c r="AL136" s="99"/>
      <c r="AM136" s="78"/>
      <c r="AN136" s="78">
        <f t="shared" si="156"/>
        <v>0</v>
      </c>
      <c r="AO136" s="303" t="e">
        <f t="shared" si="157"/>
        <v>#DIV/0!</v>
      </c>
      <c r="AP136" s="75">
        <f t="shared" si="192"/>
        <v>0</v>
      </c>
      <c r="AQ136" s="102">
        <f t="shared" si="193"/>
        <v>0</v>
      </c>
      <c r="AR136" s="101">
        <f t="shared" si="158"/>
        <v>0</v>
      </c>
      <c r="AS136" s="101">
        <f t="shared" si="159"/>
        <v>0</v>
      </c>
      <c r="AT136" s="101">
        <f t="shared" si="160"/>
        <v>0</v>
      </c>
      <c r="AU136" s="103">
        <f t="shared" si="161"/>
        <v>0</v>
      </c>
      <c r="AV136" s="103">
        <f t="shared" si="162"/>
        <v>0</v>
      </c>
      <c r="AW136" s="103">
        <f t="shared" si="163"/>
        <v>0</v>
      </c>
      <c r="AY136" s="78">
        <f t="shared" si="164"/>
        <v>0</v>
      </c>
      <c r="AZ136" s="303" t="e">
        <f t="shared" si="165"/>
        <v>#DIV/0!</v>
      </c>
      <c r="BA136" s="75">
        <f t="shared" si="194"/>
        <v>0</v>
      </c>
      <c r="BB136" s="102">
        <f t="shared" si="195"/>
        <v>0</v>
      </c>
      <c r="BC136" s="101">
        <f t="shared" si="166"/>
        <v>0</v>
      </c>
      <c r="BD136" s="101">
        <f t="shared" si="167"/>
        <v>0</v>
      </c>
      <c r="BE136" s="101">
        <f t="shared" si="168"/>
        <v>0</v>
      </c>
      <c r="BF136" s="103">
        <f t="shared" si="169"/>
        <v>0</v>
      </c>
      <c r="BG136" s="103">
        <f t="shared" si="170"/>
        <v>0</v>
      </c>
      <c r="BH136" s="103">
        <f t="shared" si="171"/>
        <v>0</v>
      </c>
      <c r="BJ136" s="78">
        <f t="shared" si="172"/>
        <v>0</v>
      </c>
      <c r="BK136" s="303" t="e">
        <f t="shared" si="173"/>
        <v>#DIV/0!</v>
      </c>
      <c r="BL136" s="75">
        <f t="shared" si="196"/>
        <v>0</v>
      </c>
      <c r="BM136" s="102">
        <f t="shared" si="197"/>
        <v>0</v>
      </c>
      <c r="BN136" s="101">
        <f t="shared" si="174"/>
        <v>0</v>
      </c>
      <c r="BO136" s="101">
        <f t="shared" si="175"/>
        <v>0</v>
      </c>
      <c r="BP136" s="101">
        <f t="shared" si="176"/>
        <v>0</v>
      </c>
      <c r="BQ136" s="103">
        <f t="shared" si="177"/>
        <v>0</v>
      </c>
      <c r="BR136" s="103">
        <f t="shared" si="178"/>
        <v>0</v>
      </c>
      <c r="BS136" s="103">
        <f t="shared" si="179"/>
        <v>0</v>
      </c>
      <c r="BU136" s="78">
        <f t="shared" si="180"/>
        <v>0</v>
      </c>
      <c r="BV136" s="303" t="e">
        <f t="shared" si="181"/>
        <v>#DIV/0!</v>
      </c>
      <c r="BW136" s="75">
        <f t="shared" si="198"/>
        <v>0</v>
      </c>
      <c r="BX136" s="102">
        <f t="shared" si="199"/>
        <v>0</v>
      </c>
      <c r="BY136" s="101">
        <f t="shared" si="182"/>
        <v>0</v>
      </c>
      <c r="BZ136" s="101">
        <f t="shared" si="183"/>
        <v>0</v>
      </c>
      <c r="CA136" s="101">
        <f t="shared" si="184"/>
        <v>0</v>
      </c>
      <c r="CB136" s="103">
        <f t="shared" si="185"/>
        <v>0</v>
      </c>
      <c r="CC136" s="103">
        <f t="shared" si="186"/>
        <v>0</v>
      </c>
      <c r="CD136" s="103">
        <f t="shared" si="187"/>
        <v>0</v>
      </c>
    </row>
    <row r="137" spans="1:82" x14ac:dyDescent="0.25">
      <c r="A137" s="96">
        <f t="shared" si="147"/>
        <v>40513</v>
      </c>
      <c r="B137" s="97">
        <f t="shared" si="124"/>
        <v>4.07</v>
      </c>
      <c r="C137" s="77">
        <f t="shared" si="148"/>
        <v>0.185</v>
      </c>
      <c r="D137" s="97">
        <f t="shared" si="80"/>
        <v>0</v>
      </c>
      <c r="E137" s="100">
        <f t="shared" si="81"/>
        <v>1</v>
      </c>
      <c r="F137" s="99">
        <f t="shared" ca="1" si="126"/>
        <v>3247</v>
      </c>
      <c r="G137" s="77" t="e">
        <f t="shared" si="149"/>
        <v>#DIV/0!</v>
      </c>
      <c r="H137" s="77" t="e">
        <f>IF(B$16=1,_xll.xCalcSkew(A137,I137-AO137,b)/100,0)</f>
        <v>#DIV/0!</v>
      </c>
      <c r="I137" s="98">
        <f t="shared" si="188"/>
        <v>4</v>
      </c>
      <c r="K137" s="97">
        <f t="shared" si="84"/>
        <v>-4.4999999999999998E-2</v>
      </c>
      <c r="L137" s="100">
        <f t="shared" si="85"/>
        <v>1</v>
      </c>
      <c r="M137" s="99">
        <f t="shared" ca="1" si="150"/>
        <v>3249</v>
      </c>
      <c r="N137" s="175" t="e">
        <f t="shared" si="151"/>
        <v>#DIV/0!</v>
      </c>
      <c r="O137" s="77" t="e">
        <f>IF(D$16=1,_xll.xCalcSkew($A137,P137-AZ137,b)/100,0)</f>
        <v>#DIV/0!</v>
      </c>
      <c r="P137" s="98">
        <f t="shared" si="189"/>
        <v>2.5</v>
      </c>
      <c r="R137" s="97">
        <f t="shared" si="89"/>
        <v>-4.4999999999999998E-2</v>
      </c>
      <c r="S137" s="100">
        <f t="shared" si="90"/>
        <v>1</v>
      </c>
      <c r="T137" s="99">
        <f t="shared" ca="1" si="152"/>
        <v>3249</v>
      </c>
      <c r="U137" s="175" t="e">
        <f t="shared" si="153"/>
        <v>#DIV/0!</v>
      </c>
      <c r="V137" s="77" t="e">
        <f>IF(F$16=1,_xll.xCalcSkew($A137,W137-BK137,b)/100,0)</f>
        <v>#DIV/0!</v>
      </c>
      <c r="W137" s="98">
        <f t="shared" si="190"/>
        <v>2.5</v>
      </c>
      <c r="X137" s="99"/>
      <c r="Y137" s="97">
        <f t="shared" si="94"/>
        <v>-4.4999999999999998E-2</v>
      </c>
      <c r="Z137" s="100">
        <f t="shared" si="95"/>
        <v>1</v>
      </c>
      <c r="AA137" s="99">
        <f t="shared" ca="1" si="154"/>
        <v>3249</v>
      </c>
      <c r="AB137" s="77" t="e">
        <f t="shared" si="155"/>
        <v>#DIV/0!</v>
      </c>
      <c r="AC137" s="77" t="e">
        <f>IF(H$16=1,_xll.xCalcSkew($A137,AD137-BV137,b)/100,0)</f>
        <v>#DIV/0!</v>
      </c>
      <c r="AD137" s="98">
        <f t="shared" si="191"/>
        <v>2.4900000000000002</v>
      </c>
      <c r="AF137" s="99">
        <f t="shared" ca="1" si="127"/>
        <v>3249</v>
      </c>
      <c r="AG137" s="99">
        <f t="shared" ca="1" si="128"/>
        <v>3247</v>
      </c>
      <c r="AH137" s="77">
        <f t="shared" si="129"/>
        <v>5.79630082923899E-2</v>
      </c>
      <c r="AI137" s="154">
        <f t="shared" si="99"/>
        <v>31</v>
      </c>
      <c r="AL137" s="99"/>
      <c r="AM137" s="78"/>
      <c r="AN137" s="78">
        <f t="shared" si="156"/>
        <v>0</v>
      </c>
      <c r="AO137" s="303" t="e">
        <f t="shared" si="157"/>
        <v>#DIV/0!</v>
      </c>
      <c r="AP137" s="75">
        <f t="shared" si="192"/>
        <v>0</v>
      </c>
      <c r="AQ137" s="102">
        <f t="shared" si="193"/>
        <v>0</v>
      </c>
      <c r="AR137" s="101">
        <f t="shared" si="158"/>
        <v>0</v>
      </c>
      <c r="AS137" s="101">
        <f t="shared" si="159"/>
        <v>0</v>
      </c>
      <c r="AT137" s="101">
        <f t="shared" si="160"/>
        <v>0</v>
      </c>
      <c r="AU137" s="103">
        <f t="shared" si="161"/>
        <v>0</v>
      </c>
      <c r="AV137" s="103">
        <f t="shared" si="162"/>
        <v>0</v>
      </c>
      <c r="AW137" s="103">
        <f t="shared" si="163"/>
        <v>0</v>
      </c>
      <c r="AY137" s="78">
        <f t="shared" si="164"/>
        <v>0</v>
      </c>
      <c r="AZ137" s="303" t="e">
        <f t="shared" si="165"/>
        <v>#DIV/0!</v>
      </c>
      <c r="BA137" s="75">
        <f t="shared" si="194"/>
        <v>0</v>
      </c>
      <c r="BB137" s="102">
        <f t="shared" si="195"/>
        <v>0</v>
      </c>
      <c r="BC137" s="101">
        <f t="shared" si="166"/>
        <v>0</v>
      </c>
      <c r="BD137" s="101">
        <f t="shared" si="167"/>
        <v>0</v>
      </c>
      <c r="BE137" s="101">
        <f t="shared" si="168"/>
        <v>0</v>
      </c>
      <c r="BF137" s="103">
        <f t="shared" si="169"/>
        <v>0</v>
      </c>
      <c r="BG137" s="103">
        <f t="shared" si="170"/>
        <v>0</v>
      </c>
      <c r="BH137" s="103">
        <f t="shared" si="171"/>
        <v>0</v>
      </c>
      <c r="BJ137" s="78">
        <f t="shared" si="172"/>
        <v>0</v>
      </c>
      <c r="BK137" s="303" t="e">
        <f t="shared" si="173"/>
        <v>#DIV/0!</v>
      </c>
      <c r="BL137" s="75">
        <f t="shared" si="196"/>
        <v>0</v>
      </c>
      <c r="BM137" s="102">
        <f t="shared" si="197"/>
        <v>0</v>
      </c>
      <c r="BN137" s="101">
        <f t="shared" si="174"/>
        <v>0</v>
      </c>
      <c r="BO137" s="101">
        <f t="shared" si="175"/>
        <v>0</v>
      </c>
      <c r="BP137" s="101">
        <f t="shared" si="176"/>
        <v>0</v>
      </c>
      <c r="BQ137" s="103">
        <f t="shared" si="177"/>
        <v>0</v>
      </c>
      <c r="BR137" s="103">
        <f t="shared" si="178"/>
        <v>0</v>
      </c>
      <c r="BS137" s="103">
        <f t="shared" si="179"/>
        <v>0</v>
      </c>
      <c r="BU137" s="78">
        <f t="shared" si="180"/>
        <v>0</v>
      </c>
      <c r="BV137" s="303" t="e">
        <f t="shared" si="181"/>
        <v>#DIV/0!</v>
      </c>
      <c r="BW137" s="75">
        <f t="shared" si="198"/>
        <v>0</v>
      </c>
      <c r="BX137" s="102">
        <f t="shared" si="199"/>
        <v>0</v>
      </c>
      <c r="BY137" s="101">
        <f t="shared" si="182"/>
        <v>0</v>
      </c>
      <c r="BZ137" s="101">
        <f t="shared" si="183"/>
        <v>0</v>
      </c>
      <c r="CA137" s="101">
        <f t="shared" si="184"/>
        <v>0</v>
      </c>
      <c r="CB137" s="103">
        <f t="shared" si="185"/>
        <v>0</v>
      </c>
      <c r="CC137" s="103">
        <f t="shared" si="186"/>
        <v>0</v>
      </c>
      <c r="CD137" s="103">
        <f t="shared" si="187"/>
        <v>0</v>
      </c>
    </row>
    <row r="138" spans="1:82" x14ac:dyDescent="0.25">
      <c r="A138" s="96">
        <f t="shared" si="147"/>
        <v>40544</v>
      </c>
      <c r="B138" s="97">
        <f t="shared" si="124"/>
        <v>4.1275000000000004</v>
      </c>
      <c r="C138" s="77">
        <f t="shared" si="148"/>
        <v>0.185</v>
      </c>
      <c r="D138" s="97">
        <f t="shared" si="80"/>
        <v>0</v>
      </c>
      <c r="E138" s="100">
        <f t="shared" si="81"/>
        <v>1</v>
      </c>
      <c r="F138" s="99">
        <f t="shared" ca="1" si="126"/>
        <v>3280</v>
      </c>
      <c r="G138" s="77" t="e">
        <f t="shared" si="149"/>
        <v>#DIV/0!</v>
      </c>
      <c r="H138" s="77" t="e">
        <f>IF(B$16=1,_xll.xCalcSkew(A138,I138-AO138,b)/100,0)</f>
        <v>#DIV/0!</v>
      </c>
      <c r="I138" s="98">
        <f t="shared" si="188"/>
        <v>4</v>
      </c>
      <c r="K138" s="97">
        <f t="shared" si="84"/>
        <v>-4.7500000000000001E-2</v>
      </c>
      <c r="L138" s="100">
        <f t="shared" si="85"/>
        <v>1</v>
      </c>
      <c r="M138" s="99">
        <f t="shared" ca="1" si="150"/>
        <v>3281</v>
      </c>
      <c r="N138" s="175" t="e">
        <f t="shared" si="151"/>
        <v>#DIV/0!</v>
      </c>
      <c r="O138" s="77" t="e">
        <f>IF(D$16=1,_xll.xCalcSkew($A138,P138-AZ138,b)/100,0)</f>
        <v>#DIV/0!</v>
      </c>
      <c r="P138" s="98">
        <f t="shared" si="189"/>
        <v>2.5</v>
      </c>
      <c r="R138" s="97">
        <f t="shared" si="89"/>
        <v>-4.7500000000000001E-2</v>
      </c>
      <c r="S138" s="100">
        <f t="shared" si="90"/>
        <v>1</v>
      </c>
      <c r="T138" s="99">
        <f t="shared" ca="1" si="152"/>
        <v>3281</v>
      </c>
      <c r="U138" s="175" t="e">
        <f t="shared" si="153"/>
        <v>#DIV/0!</v>
      </c>
      <c r="V138" s="77" t="e">
        <f>IF(F$16=1,_xll.xCalcSkew($A138,W138-BK138,b)/100,0)</f>
        <v>#DIV/0!</v>
      </c>
      <c r="W138" s="98">
        <f t="shared" si="190"/>
        <v>2.5</v>
      </c>
      <c r="X138" s="99"/>
      <c r="Y138" s="97">
        <f t="shared" si="94"/>
        <v>-4.7500000000000001E-2</v>
      </c>
      <c r="Z138" s="100">
        <f t="shared" si="95"/>
        <v>1</v>
      </c>
      <c r="AA138" s="99">
        <f t="shared" ca="1" si="154"/>
        <v>3281</v>
      </c>
      <c r="AB138" s="77" t="e">
        <f t="shared" si="155"/>
        <v>#DIV/0!</v>
      </c>
      <c r="AC138" s="77" t="e">
        <f>IF(H$16=1,_xll.xCalcSkew($A138,AD138-BV138,b)/100,0)</f>
        <v>#DIV/0!</v>
      </c>
      <c r="AD138" s="98">
        <f t="shared" si="191"/>
        <v>2.4900000000000002</v>
      </c>
      <c r="AF138" s="99">
        <f t="shared" ca="1" si="127"/>
        <v>3281</v>
      </c>
      <c r="AG138" s="99">
        <f t="shared" ca="1" si="128"/>
        <v>3280</v>
      </c>
      <c r="AH138" s="77">
        <f t="shared" si="129"/>
        <v>5.8066506756358403E-2</v>
      </c>
      <c r="AI138" s="154">
        <f t="shared" si="99"/>
        <v>31</v>
      </c>
      <c r="AL138" s="99"/>
      <c r="AM138" s="78"/>
      <c r="AN138" s="78">
        <f t="shared" si="156"/>
        <v>0</v>
      </c>
      <c r="AO138" s="303" t="e">
        <f t="shared" si="157"/>
        <v>#DIV/0!</v>
      </c>
      <c r="AP138" s="75">
        <f t="shared" si="192"/>
        <v>0</v>
      </c>
      <c r="AQ138" s="102">
        <f t="shared" si="193"/>
        <v>0</v>
      </c>
      <c r="AR138" s="101">
        <f t="shared" si="158"/>
        <v>0</v>
      </c>
      <c r="AS138" s="101">
        <f t="shared" si="159"/>
        <v>0</v>
      </c>
      <c r="AT138" s="101">
        <f t="shared" si="160"/>
        <v>0</v>
      </c>
      <c r="AU138" s="103">
        <f t="shared" si="161"/>
        <v>0</v>
      </c>
      <c r="AV138" s="103">
        <f t="shared" si="162"/>
        <v>0</v>
      </c>
      <c r="AW138" s="103">
        <f t="shared" si="163"/>
        <v>0</v>
      </c>
      <c r="AY138" s="78">
        <f t="shared" si="164"/>
        <v>0</v>
      </c>
      <c r="AZ138" s="303" t="e">
        <f t="shared" si="165"/>
        <v>#DIV/0!</v>
      </c>
      <c r="BA138" s="75">
        <f t="shared" si="194"/>
        <v>0</v>
      </c>
      <c r="BB138" s="102">
        <f t="shared" si="195"/>
        <v>0</v>
      </c>
      <c r="BC138" s="101">
        <f t="shared" si="166"/>
        <v>0</v>
      </c>
      <c r="BD138" s="101">
        <f t="shared" si="167"/>
        <v>0</v>
      </c>
      <c r="BE138" s="101">
        <f t="shared" si="168"/>
        <v>0</v>
      </c>
      <c r="BF138" s="103">
        <f t="shared" si="169"/>
        <v>0</v>
      </c>
      <c r="BG138" s="103">
        <f t="shared" si="170"/>
        <v>0</v>
      </c>
      <c r="BH138" s="103">
        <f t="shared" si="171"/>
        <v>0</v>
      </c>
      <c r="BJ138" s="78">
        <f t="shared" si="172"/>
        <v>0</v>
      </c>
      <c r="BK138" s="303" t="e">
        <f t="shared" si="173"/>
        <v>#DIV/0!</v>
      </c>
      <c r="BL138" s="75">
        <f t="shared" si="196"/>
        <v>0</v>
      </c>
      <c r="BM138" s="102">
        <f t="shared" si="197"/>
        <v>0</v>
      </c>
      <c r="BN138" s="101">
        <f t="shared" si="174"/>
        <v>0</v>
      </c>
      <c r="BO138" s="101">
        <f t="shared" si="175"/>
        <v>0</v>
      </c>
      <c r="BP138" s="101">
        <f t="shared" si="176"/>
        <v>0</v>
      </c>
      <c r="BQ138" s="103">
        <f t="shared" si="177"/>
        <v>0</v>
      </c>
      <c r="BR138" s="103">
        <f t="shared" si="178"/>
        <v>0</v>
      </c>
      <c r="BS138" s="103">
        <f t="shared" si="179"/>
        <v>0</v>
      </c>
      <c r="BU138" s="78">
        <f t="shared" si="180"/>
        <v>0</v>
      </c>
      <c r="BV138" s="303" t="e">
        <f t="shared" si="181"/>
        <v>#DIV/0!</v>
      </c>
      <c r="BW138" s="75">
        <f t="shared" si="198"/>
        <v>0</v>
      </c>
      <c r="BX138" s="102">
        <f t="shared" si="199"/>
        <v>0</v>
      </c>
      <c r="BY138" s="101">
        <f t="shared" si="182"/>
        <v>0</v>
      </c>
      <c r="BZ138" s="101">
        <f t="shared" si="183"/>
        <v>0</v>
      </c>
      <c r="CA138" s="101">
        <f t="shared" si="184"/>
        <v>0</v>
      </c>
      <c r="CB138" s="103">
        <f t="shared" si="185"/>
        <v>0</v>
      </c>
      <c r="CC138" s="103">
        <f t="shared" si="186"/>
        <v>0</v>
      </c>
      <c r="CD138" s="103">
        <f t="shared" si="187"/>
        <v>0</v>
      </c>
    </row>
    <row r="139" spans="1:82" x14ac:dyDescent="0.25">
      <c r="A139" s="96">
        <f t="shared" si="147"/>
        <v>40575</v>
      </c>
      <c r="B139" s="97">
        <f t="shared" si="124"/>
        <v>4.0425000000000004</v>
      </c>
      <c r="C139" s="77">
        <f t="shared" si="148"/>
        <v>0.185</v>
      </c>
      <c r="D139" s="97">
        <f t="shared" si="80"/>
        <v>0</v>
      </c>
      <c r="E139" s="100">
        <f t="shared" si="81"/>
        <v>1</v>
      </c>
      <c r="F139" s="99">
        <f t="shared" ca="1" si="126"/>
        <v>3310</v>
      </c>
      <c r="G139" s="77" t="e">
        <f t="shared" si="149"/>
        <v>#DIV/0!</v>
      </c>
      <c r="H139" s="77" t="e">
        <f>IF(B$16=1,_xll.xCalcSkew(A139,I139-AO139,b)/100,0)</f>
        <v>#DIV/0!</v>
      </c>
      <c r="I139" s="98">
        <f t="shared" si="188"/>
        <v>4</v>
      </c>
      <c r="K139" s="97">
        <f t="shared" si="84"/>
        <v>-0.03</v>
      </c>
      <c r="L139" s="100">
        <f t="shared" si="85"/>
        <v>1</v>
      </c>
      <c r="M139" s="99">
        <f t="shared" ca="1" si="150"/>
        <v>3311</v>
      </c>
      <c r="N139" s="175" t="e">
        <f t="shared" si="151"/>
        <v>#DIV/0!</v>
      </c>
      <c r="O139" s="77" t="e">
        <f>IF(D$16=1,_xll.xCalcSkew($A139,P139-AZ139,b)/100,0)</f>
        <v>#DIV/0!</v>
      </c>
      <c r="P139" s="98">
        <f t="shared" si="189"/>
        <v>2.5</v>
      </c>
      <c r="R139" s="97">
        <f t="shared" si="89"/>
        <v>-0.03</v>
      </c>
      <c r="S139" s="100">
        <f t="shared" si="90"/>
        <v>1</v>
      </c>
      <c r="T139" s="99">
        <f t="shared" ca="1" si="152"/>
        <v>3311</v>
      </c>
      <c r="U139" s="175" t="e">
        <f t="shared" si="153"/>
        <v>#DIV/0!</v>
      </c>
      <c r="V139" s="77" t="e">
        <f>IF(F$16=1,_xll.xCalcSkew($A139,W139-BK139,b)/100,0)</f>
        <v>#DIV/0!</v>
      </c>
      <c r="W139" s="98">
        <f t="shared" si="190"/>
        <v>2.5</v>
      </c>
      <c r="X139" s="99"/>
      <c r="Y139" s="97">
        <f t="shared" si="94"/>
        <v>-0.03</v>
      </c>
      <c r="Z139" s="100">
        <f t="shared" si="95"/>
        <v>1</v>
      </c>
      <c r="AA139" s="99">
        <f t="shared" ca="1" si="154"/>
        <v>3311</v>
      </c>
      <c r="AB139" s="77" t="e">
        <f t="shared" si="155"/>
        <v>#DIV/0!</v>
      </c>
      <c r="AC139" s="77" t="e">
        <f>IF(H$16=1,_xll.xCalcSkew($A139,AD139-BV139,b)/100,0)</f>
        <v>#DIV/0!</v>
      </c>
      <c r="AD139" s="98">
        <f t="shared" si="191"/>
        <v>2.4900000000000002</v>
      </c>
      <c r="AF139" s="99">
        <f t="shared" ca="1" si="127"/>
        <v>3311</v>
      </c>
      <c r="AG139" s="99">
        <f t="shared" ca="1" si="128"/>
        <v>3310</v>
      </c>
      <c r="AH139" s="77">
        <f t="shared" si="129"/>
        <v>5.8170005223888897E-2</v>
      </c>
      <c r="AI139" s="154">
        <f t="shared" si="99"/>
        <v>28</v>
      </c>
      <c r="AL139" s="99"/>
      <c r="AM139" s="78"/>
      <c r="AN139" s="78">
        <f t="shared" si="156"/>
        <v>0</v>
      </c>
      <c r="AO139" s="303" t="e">
        <f t="shared" si="157"/>
        <v>#DIV/0!</v>
      </c>
      <c r="AP139" s="75">
        <f t="shared" si="192"/>
        <v>0</v>
      </c>
      <c r="AQ139" s="102">
        <f t="shared" si="193"/>
        <v>0</v>
      </c>
      <c r="AR139" s="101">
        <f t="shared" si="158"/>
        <v>0</v>
      </c>
      <c r="AS139" s="101">
        <f t="shared" si="159"/>
        <v>0</v>
      </c>
      <c r="AT139" s="101">
        <f t="shared" si="160"/>
        <v>0</v>
      </c>
      <c r="AU139" s="103">
        <f t="shared" si="161"/>
        <v>0</v>
      </c>
      <c r="AV139" s="103">
        <f t="shared" si="162"/>
        <v>0</v>
      </c>
      <c r="AW139" s="103">
        <f t="shared" si="163"/>
        <v>0</v>
      </c>
      <c r="AY139" s="78">
        <f t="shared" si="164"/>
        <v>0</v>
      </c>
      <c r="AZ139" s="303" t="e">
        <f t="shared" si="165"/>
        <v>#DIV/0!</v>
      </c>
      <c r="BA139" s="75">
        <f t="shared" si="194"/>
        <v>0</v>
      </c>
      <c r="BB139" s="102">
        <f t="shared" si="195"/>
        <v>0</v>
      </c>
      <c r="BC139" s="101">
        <f t="shared" si="166"/>
        <v>0</v>
      </c>
      <c r="BD139" s="101">
        <f t="shared" si="167"/>
        <v>0</v>
      </c>
      <c r="BE139" s="101">
        <f t="shared" si="168"/>
        <v>0</v>
      </c>
      <c r="BF139" s="103">
        <f t="shared" si="169"/>
        <v>0</v>
      </c>
      <c r="BG139" s="103">
        <f t="shared" si="170"/>
        <v>0</v>
      </c>
      <c r="BH139" s="103">
        <f t="shared" si="171"/>
        <v>0</v>
      </c>
      <c r="BJ139" s="78">
        <f t="shared" si="172"/>
        <v>0</v>
      </c>
      <c r="BK139" s="303" t="e">
        <f t="shared" si="173"/>
        <v>#DIV/0!</v>
      </c>
      <c r="BL139" s="75">
        <f t="shared" si="196"/>
        <v>0</v>
      </c>
      <c r="BM139" s="102">
        <f t="shared" si="197"/>
        <v>0</v>
      </c>
      <c r="BN139" s="101">
        <f t="shared" si="174"/>
        <v>0</v>
      </c>
      <c r="BO139" s="101">
        <f t="shared" si="175"/>
        <v>0</v>
      </c>
      <c r="BP139" s="101">
        <f t="shared" si="176"/>
        <v>0</v>
      </c>
      <c r="BQ139" s="103">
        <f t="shared" si="177"/>
        <v>0</v>
      </c>
      <c r="BR139" s="103">
        <f t="shared" si="178"/>
        <v>0</v>
      </c>
      <c r="BS139" s="103">
        <f t="shared" si="179"/>
        <v>0</v>
      </c>
      <c r="BU139" s="78">
        <f t="shared" si="180"/>
        <v>0</v>
      </c>
      <c r="BV139" s="303" t="e">
        <f t="shared" si="181"/>
        <v>#DIV/0!</v>
      </c>
      <c r="BW139" s="75">
        <f t="shared" si="198"/>
        <v>0</v>
      </c>
      <c r="BX139" s="102">
        <f t="shared" si="199"/>
        <v>0</v>
      </c>
      <c r="BY139" s="101">
        <f t="shared" si="182"/>
        <v>0</v>
      </c>
      <c r="BZ139" s="101">
        <f t="shared" si="183"/>
        <v>0</v>
      </c>
      <c r="CA139" s="101">
        <f t="shared" si="184"/>
        <v>0</v>
      </c>
      <c r="CB139" s="103">
        <f t="shared" si="185"/>
        <v>0</v>
      </c>
      <c r="CC139" s="103">
        <f t="shared" si="186"/>
        <v>0</v>
      </c>
      <c r="CD139" s="103">
        <f t="shared" si="187"/>
        <v>0</v>
      </c>
    </row>
    <row r="140" spans="1:82" x14ac:dyDescent="0.25">
      <c r="A140" s="96">
        <f t="shared" si="147"/>
        <v>40603</v>
      </c>
      <c r="B140" s="97">
        <f t="shared" si="124"/>
        <v>3.9125000000000001</v>
      </c>
      <c r="C140" s="77">
        <f t="shared" si="148"/>
        <v>0.18</v>
      </c>
      <c r="D140" s="97">
        <f t="shared" si="80"/>
        <v>0</v>
      </c>
      <c r="E140" s="100">
        <f t="shared" si="81"/>
        <v>1</v>
      </c>
      <c r="F140" s="99">
        <f t="shared" ca="1" si="126"/>
        <v>3338</v>
      </c>
      <c r="G140" s="77" t="e">
        <f t="shared" si="149"/>
        <v>#DIV/0!</v>
      </c>
      <c r="H140" s="77" t="e">
        <f>IF(B$16=1,_xll.xCalcSkew(A140,I140-AO140,b)/100,0)</f>
        <v>#DIV/0!</v>
      </c>
      <c r="I140" s="98">
        <f t="shared" si="188"/>
        <v>4</v>
      </c>
      <c r="K140" s="97">
        <f t="shared" si="84"/>
        <v>-1.7500000000000002E-2</v>
      </c>
      <c r="L140" s="100">
        <f t="shared" si="85"/>
        <v>1</v>
      </c>
      <c r="M140" s="99">
        <f t="shared" ca="1" si="150"/>
        <v>3339</v>
      </c>
      <c r="N140" s="175" t="e">
        <f t="shared" si="151"/>
        <v>#DIV/0!</v>
      </c>
      <c r="O140" s="77" t="e">
        <f>IF(D$16=1,_xll.xCalcSkew($A140,P140-AZ140,b)/100,0)</f>
        <v>#DIV/0!</v>
      </c>
      <c r="P140" s="98">
        <f t="shared" si="189"/>
        <v>2.5</v>
      </c>
      <c r="R140" s="97">
        <f t="shared" si="89"/>
        <v>-1.7500000000000002E-2</v>
      </c>
      <c r="S140" s="100">
        <f t="shared" si="90"/>
        <v>1</v>
      </c>
      <c r="T140" s="99">
        <f t="shared" ca="1" si="152"/>
        <v>3339</v>
      </c>
      <c r="U140" s="175" t="e">
        <f t="shared" si="153"/>
        <v>#DIV/0!</v>
      </c>
      <c r="V140" s="77" t="e">
        <f>IF(F$16=1,_xll.xCalcSkew($A140,W140-BK140,b)/100,0)</f>
        <v>#DIV/0!</v>
      </c>
      <c r="W140" s="98">
        <f t="shared" si="190"/>
        <v>2.5</v>
      </c>
      <c r="X140" s="99"/>
      <c r="Y140" s="97">
        <f t="shared" si="94"/>
        <v>-1.7500000000000002E-2</v>
      </c>
      <c r="Z140" s="100">
        <f t="shared" si="95"/>
        <v>1</v>
      </c>
      <c r="AA140" s="99">
        <f t="shared" ca="1" si="154"/>
        <v>3339</v>
      </c>
      <c r="AB140" s="77" t="e">
        <f t="shared" si="155"/>
        <v>#DIV/0!</v>
      </c>
      <c r="AC140" s="77" t="e">
        <f>IF(H$16=1,_xll.xCalcSkew($A140,AD140-BV140,b)/100,0)</f>
        <v>#DIV/0!</v>
      </c>
      <c r="AD140" s="98">
        <f t="shared" si="191"/>
        <v>2.4900000000000002</v>
      </c>
      <c r="AF140" s="99">
        <f t="shared" ca="1" si="127"/>
        <v>3339</v>
      </c>
      <c r="AG140" s="99">
        <f t="shared" ca="1" si="128"/>
        <v>3338</v>
      </c>
      <c r="AH140" s="77">
        <f t="shared" si="129"/>
        <v>5.8263487713752699E-2</v>
      </c>
      <c r="AI140" s="154">
        <f t="shared" si="99"/>
        <v>31</v>
      </c>
      <c r="AL140" s="99"/>
      <c r="AM140" s="78"/>
      <c r="AN140" s="78">
        <f t="shared" si="156"/>
        <v>0</v>
      </c>
      <c r="AO140" s="303" t="e">
        <f t="shared" si="157"/>
        <v>#DIV/0!</v>
      </c>
      <c r="AP140" s="75">
        <f t="shared" si="192"/>
        <v>0</v>
      </c>
      <c r="AQ140" s="102">
        <f t="shared" si="193"/>
        <v>0</v>
      </c>
      <c r="AR140" s="101">
        <f t="shared" si="158"/>
        <v>0</v>
      </c>
      <c r="AS140" s="101">
        <f t="shared" si="159"/>
        <v>0</v>
      </c>
      <c r="AT140" s="101">
        <f t="shared" si="160"/>
        <v>0</v>
      </c>
      <c r="AU140" s="103">
        <f t="shared" si="161"/>
        <v>0</v>
      </c>
      <c r="AV140" s="103">
        <f t="shared" si="162"/>
        <v>0</v>
      </c>
      <c r="AW140" s="103">
        <f t="shared" si="163"/>
        <v>0</v>
      </c>
      <c r="AY140" s="78">
        <f t="shared" si="164"/>
        <v>0</v>
      </c>
      <c r="AZ140" s="303" t="e">
        <f t="shared" si="165"/>
        <v>#DIV/0!</v>
      </c>
      <c r="BA140" s="75">
        <f t="shared" si="194"/>
        <v>0</v>
      </c>
      <c r="BB140" s="102">
        <f t="shared" si="195"/>
        <v>0</v>
      </c>
      <c r="BC140" s="101">
        <f t="shared" si="166"/>
        <v>0</v>
      </c>
      <c r="BD140" s="101">
        <f t="shared" si="167"/>
        <v>0</v>
      </c>
      <c r="BE140" s="101">
        <f t="shared" si="168"/>
        <v>0</v>
      </c>
      <c r="BF140" s="103">
        <f t="shared" si="169"/>
        <v>0</v>
      </c>
      <c r="BG140" s="103">
        <f t="shared" si="170"/>
        <v>0</v>
      </c>
      <c r="BH140" s="103">
        <f t="shared" si="171"/>
        <v>0</v>
      </c>
      <c r="BJ140" s="78">
        <f t="shared" si="172"/>
        <v>0</v>
      </c>
      <c r="BK140" s="303" t="e">
        <f t="shared" si="173"/>
        <v>#DIV/0!</v>
      </c>
      <c r="BL140" s="75">
        <f t="shared" si="196"/>
        <v>0</v>
      </c>
      <c r="BM140" s="102">
        <f t="shared" si="197"/>
        <v>0</v>
      </c>
      <c r="BN140" s="101">
        <f t="shared" si="174"/>
        <v>0</v>
      </c>
      <c r="BO140" s="101">
        <f t="shared" si="175"/>
        <v>0</v>
      </c>
      <c r="BP140" s="101">
        <f t="shared" si="176"/>
        <v>0</v>
      </c>
      <c r="BQ140" s="103">
        <f t="shared" si="177"/>
        <v>0</v>
      </c>
      <c r="BR140" s="103">
        <f t="shared" si="178"/>
        <v>0</v>
      </c>
      <c r="BS140" s="103">
        <f t="shared" si="179"/>
        <v>0</v>
      </c>
      <c r="BU140" s="78">
        <f t="shared" si="180"/>
        <v>0</v>
      </c>
      <c r="BV140" s="303" t="e">
        <f t="shared" si="181"/>
        <v>#DIV/0!</v>
      </c>
      <c r="BW140" s="75">
        <f t="shared" si="198"/>
        <v>0</v>
      </c>
      <c r="BX140" s="102">
        <f t="shared" si="199"/>
        <v>0</v>
      </c>
      <c r="BY140" s="101">
        <f t="shared" si="182"/>
        <v>0</v>
      </c>
      <c r="BZ140" s="101">
        <f t="shared" si="183"/>
        <v>0</v>
      </c>
      <c r="CA140" s="101">
        <f t="shared" si="184"/>
        <v>0</v>
      </c>
      <c r="CB140" s="103">
        <f t="shared" si="185"/>
        <v>0</v>
      </c>
      <c r="CC140" s="103">
        <f t="shared" si="186"/>
        <v>0</v>
      </c>
      <c r="CD140" s="103">
        <f t="shared" si="187"/>
        <v>0</v>
      </c>
    </row>
    <row r="141" spans="1:82" x14ac:dyDescent="0.25">
      <c r="A141" s="96">
        <f t="shared" si="147"/>
        <v>40634</v>
      </c>
      <c r="B141" s="97">
        <f t="shared" si="124"/>
        <v>3.7275</v>
      </c>
      <c r="C141" s="77">
        <f t="shared" si="148"/>
        <v>0.18</v>
      </c>
      <c r="D141" s="97">
        <f t="shared" si="80"/>
        <v>0</v>
      </c>
      <c r="E141" s="100">
        <f t="shared" si="81"/>
        <v>1</v>
      </c>
      <c r="F141" s="99">
        <f t="shared" ca="1" si="126"/>
        <v>3371</v>
      </c>
      <c r="G141" s="77" t="e">
        <f t="shared" si="149"/>
        <v>#DIV/0!</v>
      </c>
      <c r="H141" s="77" t="e">
        <f>IF(B$16=1,_xll.xCalcSkew(A141,I141-AO141,b)/100,0)</f>
        <v>#DIV/0!</v>
      </c>
      <c r="I141" s="98">
        <f t="shared" si="188"/>
        <v>4</v>
      </c>
      <c r="K141" s="97">
        <f t="shared" si="84"/>
        <v>0.02</v>
      </c>
      <c r="L141" s="100">
        <f t="shared" si="85"/>
        <v>1</v>
      </c>
      <c r="M141" s="99">
        <f t="shared" ca="1" si="150"/>
        <v>3372</v>
      </c>
      <c r="N141" s="175" t="e">
        <f t="shared" si="151"/>
        <v>#DIV/0!</v>
      </c>
      <c r="O141" s="77" t="e">
        <f>IF(D$16=1,_xll.xCalcSkew($A141,P141-AZ141,b)/100,0)</f>
        <v>#DIV/0!</v>
      </c>
      <c r="P141" s="98">
        <f t="shared" si="189"/>
        <v>2.5</v>
      </c>
      <c r="R141" s="97">
        <f t="shared" si="89"/>
        <v>0.02</v>
      </c>
      <c r="S141" s="100">
        <f t="shared" si="90"/>
        <v>1</v>
      </c>
      <c r="T141" s="99">
        <f t="shared" ca="1" si="152"/>
        <v>3372</v>
      </c>
      <c r="U141" s="175" t="e">
        <f t="shared" si="153"/>
        <v>#DIV/0!</v>
      </c>
      <c r="V141" s="77" t="e">
        <f>IF(F$16=1,_xll.xCalcSkew($A141,W141-BK141,b)/100,0)</f>
        <v>#DIV/0!</v>
      </c>
      <c r="W141" s="98">
        <f t="shared" si="190"/>
        <v>2.5</v>
      </c>
      <c r="X141" s="99"/>
      <c r="Y141" s="97">
        <f t="shared" si="94"/>
        <v>0.02</v>
      </c>
      <c r="Z141" s="100">
        <f t="shared" si="95"/>
        <v>1</v>
      </c>
      <c r="AA141" s="99">
        <f t="shared" ca="1" si="154"/>
        <v>3372</v>
      </c>
      <c r="AB141" s="77" t="e">
        <f t="shared" si="155"/>
        <v>#DIV/0!</v>
      </c>
      <c r="AC141" s="77" t="e">
        <f>IF(H$16=1,_xll.xCalcSkew($A141,AD141-BV141,b)/100,0)</f>
        <v>#DIV/0!</v>
      </c>
      <c r="AD141" s="98">
        <f t="shared" si="191"/>
        <v>2.4900000000000002</v>
      </c>
      <c r="AF141" s="99">
        <f t="shared" ca="1" si="127"/>
        <v>3372</v>
      </c>
      <c r="AG141" s="99">
        <f t="shared" ca="1" si="128"/>
        <v>3371</v>
      </c>
      <c r="AH141" s="77">
        <f t="shared" si="129"/>
        <v>5.8366986188063602E-2</v>
      </c>
      <c r="AI141" s="154">
        <f t="shared" si="99"/>
        <v>30</v>
      </c>
      <c r="AL141" s="99"/>
      <c r="AM141" s="78"/>
      <c r="AN141" s="78">
        <f t="shared" si="156"/>
        <v>0</v>
      </c>
      <c r="AO141" s="303" t="e">
        <f t="shared" si="157"/>
        <v>#DIV/0!</v>
      </c>
      <c r="AP141" s="75">
        <f t="shared" si="192"/>
        <v>0</v>
      </c>
      <c r="AQ141" s="102">
        <f t="shared" si="193"/>
        <v>0</v>
      </c>
      <c r="AR141" s="101">
        <f t="shared" si="158"/>
        <v>0</v>
      </c>
      <c r="AS141" s="101">
        <f t="shared" si="159"/>
        <v>0</v>
      </c>
      <c r="AT141" s="101">
        <f t="shared" si="160"/>
        <v>0</v>
      </c>
      <c r="AU141" s="103">
        <f t="shared" si="161"/>
        <v>0</v>
      </c>
      <c r="AV141" s="103">
        <f t="shared" si="162"/>
        <v>0</v>
      </c>
      <c r="AW141" s="103">
        <f t="shared" si="163"/>
        <v>0</v>
      </c>
      <c r="AY141" s="78">
        <f t="shared" si="164"/>
        <v>0</v>
      </c>
      <c r="AZ141" s="303" t="e">
        <f t="shared" si="165"/>
        <v>#DIV/0!</v>
      </c>
      <c r="BA141" s="75">
        <f t="shared" si="194"/>
        <v>0</v>
      </c>
      <c r="BB141" s="102">
        <f t="shared" si="195"/>
        <v>0</v>
      </c>
      <c r="BC141" s="101">
        <f t="shared" si="166"/>
        <v>0</v>
      </c>
      <c r="BD141" s="101">
        <f t="shared" si="167"/>
        <v>0</v>
      </c>
      <c r="BE141" s="101">
        <f t="shared" si="168"/>
        <v>0</v>
      </c>
      <c r="BF141" s="103">
        <f t="shared" si="169"/>
        <v>0</v>
      </c>
      <c r="BG141" s="103">
        <f t="shared" si="170"/>
        <v>0</v>
      </c>
      <c r="BH141" s="103">
        <f t="shared" si="171"/>
        <v>0</v>
      </c>
      <c r="BJ141" s="78">
        <f t="shared" si="172"/>
        <v>0</v>
      </c>
      <c r="BK141" s="303" t="e">
        <f t="shared" si="173"/>
        <v>#DIV/0!</v>
      </c>
      <c r="BL141" s="75">
        <f t="shared" si="196"/>
        <v>0</v>
      </c>
      <c r="BM141" s="102">
        <f t="shared" si="197"/>
        <v>0</v>
      </c>
      <c r="BN141" s="101">
        <f t="shared" si="174"/>
        <v>0</v>
      </c>
      <c r="BO141" s="101">
        <f t="shared" si="175"/>
        <v>0</v>
      </c>
      <c r="BP141" s="101">
        <f t="shared" si="176"/>
        <v>0</v>
      </c>
      <c r="BQ141" s="103">
        <f t="shared" si="177"/>
        <v>0</v>
      </c>
      <c r="BR141" s="103">
        <f t="shared" si="178"/>
        <v>0</v>
      </c>
      <c r="BS141" s="103">
        <f t="shared" si="179"/>
        <v>0</v>
      </c>
      <c r="BU141" s="78">
        <f t="shared" si="180"/>
        <v>0</v>
      </c>
      <c r="BV141" s="303" t="e">
        <f t="shared" si="181"/>
        <v>#DIV/0!</v>
      </c>
      <c r="BW141" s="75">
        <f t="shared" si="198"/>
        <v>0</v>
      </c>
      <c r="BX141" s="102">
        <f t="shared" si="199"/>
        <v>0</v>
      </c>
      <c r="BY141" s="101">
        <f t="shared" si="182"/>
        <v>0</v>
      </c>
      <c r="BZ141" s="101">
        <f t="shared" si="183"/>
        <v>0</v>
      </c>
      <c r="CA141" s="101">
        <f t="shared" si="184"/>
        <v>0</v>
      </c>
      <c r="CB141" s="103">
        <f t="shared" si="185"/>
        <v>0</v>
      </c>
      <c r="CC141" s="103">
        <f t="shared" si="186"/>
        <v>0</v>
      </c>
      <c r="CD141" s="103">
        <f t="shared" si="187"/>
        <v>0</v>
      </c>
    </row>
    <row r="142" spans="1:82" x14ac:dyDescent="0.25">
      <c r="A142" s="96">
        <f t="shared" si="147"/>
        <v>40664</v>
      </c>
      <c r="B142" s="97">
        <f t="shared" si="124"/>
        <v>3.7225000000000001</v>
      </c>
      <c r="C142" s="77">
        <f t="shared" si="148"/>
        <v>0.18</v>
      </c>
      <c r="D142" s="97">
        <f t="shared" si="80"/>
        <v>0</v>
      </c>
      <c r="E142" s="100">
        <f t="shared" si="81"/>
        <v>1</v>
      </c>
      <c r="F142" s="99">
        <f t="shared" ca="1" si="126"/>
        <v>3400</v>
      </c>
      <c r="G142" s="77" t="e">
        <f t="shared" si="149"/>
        <v>#DIV/0!</v>
      </c>
      <c r="H142" s="77" t="e">
        <f>IF(B$16=1,_xll.xCalcSkew(A142,I142-AO142,b)/100,0)</f>
        <v>#DIV/0!</v>
      </c>
      <c r="I142" s="98">
        <f t="shared" si="188"/>
        <v>4</v>
      </c>
      <c r="K142" s="97">
        <f t="shared" si="84"/>
        <v>0.02</v>
      </c>
      <c r="L142" s="100">
        <f t="shared" si="85"/>
        <v>1</v>
      </c>
      <c r="M142" s="99">
        <f t="shared" ca="1" si="150"/>
        <v>3401</v>
      </c>
      <c r="N142" s="175" t="e">
        <f t="shared" si="151"/>
        <v>#DIV/0!</v>
      </c>
      <c r="O142" s="77" t="e">
        <f>IF(D$16=1,_xll.xCalcSkew($A142,P142-AZ142,b)/100,0)</f>
        <v>#DIV/0!</v>
      </c>
      <c r="P142" s="98">
        <f t="shared" si="189"/>
        <v>2.5</v>
      </c>
      <c r="R142" s="97">
        <f t="shared" si="89"/>
        <v>0.02</v>
      </c>
      <c r="S142" s="100">
        <f t="shared" si="90"/>
        <v>1</v>
      </c>
      <c r="T142" s="99">
        <f t="shared" ca="1" si="152"/>
        <v>3401</v>
      </c>
      <c r="U142" s="175" t="e">
        <f t="shared" si="153"/>
        <v>#DIV/0!</v>
      </c>
      <c r="V142" s="77" t="e">
        <f>IF(F$16=1,_xll.xCalcSkew($A142,W142-BK142,b)/100,0)</f>
        <v>#DIV/0!</v>
      </c>
      <c r="W142" s="98">
        <f t="shared" si="190"/>
        <v>2.5</v>
      </c>
      <c r="X142" s="99"/>
      <c r="Y142" s="97">
        <f t="shared" si="94"/>
        <v>0.02</v>
      </c>
      <c r="Z142" s="100">
        <f t="shared" si="95"/>
        <v>1</v>
      </c>
      <c r="AA142" s="99">
        <f t="shared" ca="1" si="154"/>
        <v>3401</v>
      </c>
      <c r="AB142" s="77" t="e">
        <f t="shared" si="155"/>
        <v>#DIV/0!</v>
      </c>
      <c r="AC142" s="77" t="e">
        <f>IF(H$16=1,_xll.xCalcSkew($A142,AD142-BV142,b)/100,0)</f>
        <v>#DIV/0!</v>
      </c>
      <c r="AD142" s="98">
        <f t="shared" si="191"/>
        <v>2.4900000000000002</v>
      </c>
      <c r="AF142" s="99">
        <f t="shared" ca="1" si="127"/>
        <v>3401</v>
      </c>
      <c r="AG142" s="99">
        <f t="shared" ca="1" si="128"/>
        <v>3400</v>
      </c>
      <c r="AH142" s="77">
        <f t="shared" si="129"/>
        <v>5.84671460053037E-2</v>
      </c>
      <c r="AI142" s="154">
        <f t="shared" si="99"/>
        <v>31</v>
      </c>
      <c r="AL142" s="99"/>
      <c r="AM142" s="78"/>
      <c r="AN142" s="78">
        <f t="shared" si="156"/>
        <v>0</v>
      </c>
      <c r="AO142" s="303" t="e">
        <f t="shared" si="157"/>
        <v>#DIV/0!</v>
      </c>
      <c r="AP142" s="75">
        <f t="shared" si="192"/>
        <v>0</v>
      </c>
      <c r="AQ142" s="102">
        <f t="shared" si="193"/>
        <v>0</v>
      </c>
      <c r="AR142" s="101">
        <f t="shared" si="158"/>
        <v>0</v>
      </c>
      <c r="AS142" s="101">
        <f t="shared" si="159"/>
        <v>0</v>
      </c>
      <c r="AT142" s="101">
        <f t="shared" si="160"/>
        <v>0</v>
      </c>
      <c r="AU142" s="103">
        <f t="shared" si="161"/>
        <v>0</v>
      </c>
      <c r="AV142" s="103">
        <f t="shared" si="162"/>
        <v>0</v>
      </c>
      <c r="AW142" s="103">
        <f t="shared" si="163"/>
        <v>0</v>
      </c>
      <c r="AY142" s="78">
        <f t="shared" si="164"/>
        <v>0</v>
      </c>
      <c r="AZ142" s="303" t="e">
        <f t="shared" si="165"/>
        <v>#DIV/0!</v>
      </c>
      <c r="BA142" s="75">
        <f t="shared" si="194"/>
        <v>0</v>
      </c>
      <c r="BB142" s="102">
        <f t="shared" si="195"/>
        <v>0</v>
      </c>
      <c r="BC142" s="101">
        <f t="shared" si="166"/>
        <v>0</v>
      </c>
      <c r="BD142" s="101">
        <f t="shared" si="167"/>
        <v>0</v>
      </c>
      <c r="BE142" s="101">
        <f t="shared" si="168"/>
        <v>0</v>
      </c>
      <c r="BF142" s="103">
        <f t="shared" si="169"/>
        <v>0</v>
      </c>
      <c r="BG142" s="103">
        <f t="shared" si="170"/>
        <v>0</v>
      </c>
      <c r="BH142" s="103">
        <f t="shared" si="171"/>
        <v>0</v>
      </c>
      <c r="BJ142" s="78">
        <f t="shared" si="172"/>
        <v>0</v>
      </c>
      <c r="BK142" s="303" t="e">
        <f t="shared" si="173"/>
        <v>#DIV/0!</v>
      </c>
      <c r="BL142" s="75">
        <f t="shared" si="196"/>
        <v>0</v>
      </c>
      <c r="BM142" s="102">
        <f t="shared" si="197"/>
        <v>0</v>
      </c>
      <c r="BN142" s="101">
        <f t="shared" si="174"/>
        <v>0</v>
      </c>
      <c r="BO142" s="101">
        <f t="shared" si="175"/>
        <v>0</v>
      </c>
      <c r="BP142" s="101">
        <f t="shared" si="176"/>
        <v>0</v>
      </c>
      <c r="BQ142" s="103">
        <f t="shared" si="177"/>
        <v>0</v>
      </c>
      <c r="BR142" s="103">
        <f t="shared" si="178"/>
        <v>0</v>
      </c>
      <c r="BS142" s="103">
        <f t="shared" si="179"/>
        <v>0</v>
      </c>
      <c r="BU142" s="78">
        <f t="shared" si="180"/>
        <v>0</v>
      </c>
      <c r="BV142" s="303" t="e">
        <f t="shared" si="181"/>
        <v>#DIV/0!</v>
      </c>
      <c r="BW142" s="75">
        <f t="shared" si="198"/>
        <v>0</v>
      </c>
      <c r="BX142" s="102">
        <f t="shared" si="199"/>
        <v>0</v>
      </c>
      <c r="BY142" s="101">
        <f t="shared" si="182"/>
        <v>0</v>
      </c>
      <c r="BZ142" s="101">
        <f t="shared" si="183"/>
        <v>0</v>
      </c>
      <c r="CA142" s="101">
        <f t="shared" si="184"/>
        <v>0</v>
      </c>
      <c r="CB142" s="103">
        <f t="shared" si="185"/>
        <v>0</v>
      </c>
      <c r="CC142" s="103">
        <f t="shared" si="186"/>
        <v>0</v>
      </c>
      <c r="CD142" s="103">
        <f t="shared" si="187"/>
        <v>0</v>
      </c>
    </row>
    <row r="143" spans="1:82" x14ac:dyDescent="0.25">
      <c r="A143" s="96">
        <f t="shared" si="147"/>
        <v>40695</v>
      </c>
      <c r="B143" s="97">
        <f t="shared" si="124"/>
        <v>3.7574999999999998</v>
      </c>
      <c r="C143" s="77">
        <f t="shared" si="148"/>
        <v>0.18</v>
      </c>
      <c r="D143" s="97">
        <f t="shared" si="80"/>
        <v>0</v>
      </c>
      <c r="E143" s="100">
        <f t="shared" si="81"/>
        <v>1</v>
      </c>
      <c r="F143" s="99">
        <f t="shared" ca="1" si="126"/>
        <v>3429</v>
      </c>
      <c r="G143" s="77" t="e">
        <f t="shared" si="149"/>
        <v>#DIV/0!</v>
      </c>
      <c r="H143" s="77" t="e">
        <f>IF(B$16=1,_xll.xCalcSkew(A143,I143-AO143,b)/100,0)</f>
        <v>#DIV/0!</v>
      </c>
      <c r="I143" s="98">
        <f t="shared" si="188"/>
        <v>4</v>
      </c>
      <c r="K143" s="97">
        <f t="shared" si="84"/>
        <v>2.5000000000000001E-2</v>
      </c>
      <c r="L143" s="100">
        <f t="shared" si="85"/>
        <v>1</v>
      </c>
      <c r="M143" s="99">
        <f t="shared" ca="1" si="150"/>
        <v>3430</v>
      </c>
      <c r="N143" s="175" t="e">
        <f t="shared" si="151"/>
        <v>#DIV/0!</v>
      </c>
      <c r="O143" s="77" t="e">
        <f>IF(D$16=1,_xll.xCalcSkew($A143,P143-AZ143,b)/100,0)</f>
        <v>#DIV/0!</v>
      </c>
      <c r="P143" s="98">
        <f t="shared" si="189"/>
        <v>2.5</v>
      </c>
      <c r="R143" s="97">
        <f t="shared" si="89"/>
        <v>2.5000000000000001E-2</v>
      </c>
      <c r="S143" s="100">
        <f t="shared" si="90"/>
        <v>1</v>
      </c>
      <c r="T143" s="99">
        <f t="shared" ca="1" si="152"/>
        <v>3430</v>
      </c>
      <c r="U143" s="175" t="e">
        <f t="shared" si="153"/>
        <v>#DIV/0!</v>
      </c>
      <c r="V143" s="77" t="e">
        <f>IF(F$16=1,_xll.xCalcSkew($A143,W143-BK143,b)/100,0)</f>
        <v>#DIV/0!</v>
      </c>
      <c r="W143" s="98">
        <f t="shared" si="190"/>
        <v>2.5</v>
      </c>
      <c r="X143" s="99"/>
      <c r="Y143" s="97">
        <f t="shared" si="94"/>
        <v>2.5000000000000001E-2</v>
      </c>
      <c r="Z143" s="100">
        <f t="shared" si="95"/>
        <v>1</v>
      </c>
      <c r="AA143" s="99">
        <f t="shared" ca="1" si="154"/>
        <v>3430</v>
      </c>
      <c r="AB143" s="77" t="e">
        <f t="shared" si="155"/>
        <v>#DIV/0!</v>
      </c>
      <c r="AC143" s="77" t="e">
        <f>IF(H$16=1,_xll.xCalcSkew($A143,AD143-BV143,b)/100,0)</f>
        <v>#DIV/0!</v>
      </c>
      <c r="AD143" s="98">
        <f t="shared" si="191"/>
        <v>2.4900000000000002</v>
      </c>
      <c r="AF143" s="99">
        <f t="shared" ca="1" si="127"/>
        <v>3430</v>
      </c>
      <c r="AG143" s="99">
        <f t="shared" ca="1" si="128"/>
        <v>3429</v>
      </c>
      <c r="AH143" s="77">
        <f t="shared" si="129"/>
        <v>5.8570644486623601E-2</v>
      </c>
      <c r="AI143" s="154">
        <f t="shared" si="99"/>
        <v>30</v>
      </c>
      <c r="AL143" s="99"/>
      <c r="AM143" s="78"/>
      <c r="AN143" s="78">
        <f t="shared" si="156"/>
        <v>0</v>
      </c>
      <c r="AO143" s="303" t="e">
        <f t="shared" si="157"/>
        <v>#DIV/0!</v>
      </c>
      <c r="AP143" s="75">
        <f t="shared" si="192"/>
        <v>0</v>
      </c>
      <c r="AQ143" s="102">
        <f t="shared" si="193"/>
        <v>0</v>
      </c>
      <c r="AR143" s="101">
        <f t="shared" si="158"/>
        <v>0</v>
      </c>
      <c r="AS143" s="101">
        <f t="shared" si="159"/>
        <v>0</v>
      </c>
      <c r="AT143" s="101">
        <f t="shared" si="160"/>
        <v>0</v>
      </c>
      <c r="AU143" s="103">
        <f t="shared" si="161"/>
        <v>0</v>
      </c>
      <c r="AV143" s="103">
        <f t="shared" si="162"/>
        <v>0</v>
      </c>
      <c r="AW143" s="103">
        <f t="shared" si="163"/>
        <v>0</v>
      </c>
      <c r="AY143" s="78">
        <f t="shared" si="164"/>
        <v>0</v>
      </c>
      <c r="AZ143" s="303" t="e">
        <f t="shared" si="165"/>
        <v>#DIV/0!</v>
      </c>
      <c r="BA143" s="75">
        <f t="shared" si="194"/>
        <v>0</v>
      </c>
      <c r="BB143" s="102">
        <f t="shared" si="195"/>
        <v>0</v>
      </c>
      <c r="BC143" s="101">
        <f t="shared" si="166"/>
        <v>0</v>
      </c>
      <c r="BD143" s="101">
        <f t="shared" si="167"/>
        <v>0</v>
      </c>
      <c r="BE143" s="101">
        <f t="shared" si="168"/>
        <v>0</v>
      </c>
      <c r="BF143" s="103">
        <f t="shared" si="169"/>
        <v>0</v>
      </c>
      <c r="BG143" s="103">
        <f t="shared" si="170"/>
        <v>0</v>
      </c>
      <c r="BH143" s="103">
        <f t="shared" si="171"/>
        <v>0</v>
      </c>
      <c r="BJ143" s="78">
        <f t="shared" si="172"/>
        <v>0</v>
      </c>
      <c r="BK143" s="303" t="e">
        <f t="shared" si="173"/>
        <v>#DIV/0!</v>
      </c>
      <c r="BL143" s="75">
        <f t="shared" si="196"/>
        <v>0</v>
      </c>
      <c r="BM143" s="102">
        <f t="shared" si="197"/>
        <v>0</v>
      </c>
      <c r="BN143" s="101">
        <f t="shared" si="174"/>
        <v>0</v>
      </c>
      <c r="BO143" s="101">
        <f t="shared" si="175"/>
        <v>0</v>
      </c>
      <c r="BP143" s="101">
        <f t="shared" si="176"/>
        <v>0</v>
      </c>
      <c r="BQ143" s="103">
        <f t="shared" si="177"/>
        <v>0</v>
      </c>
      <c r="BR143" s="103">
        <f t="shared" si="178"/>
        <v>0</v>
      </c>
      <c r="BS143" s="103">
        <f t="shared" si="179"/>
        <v>0</v>
      </c>
      <c r="BU143" s="78">
        <f t="shared" si="180"/>
        <v>0</v>
      </c>
      <c r="BV143" s="303" t="e">
        <f t="shared" si="181"/>
        <v>#DIV/0!</v>
      </c>
      <c r="BW143" s="75">
        <f t="shared" si="198"/>
        <v>0</v>
      </c>
      <c r="BX143" s="102">
        <f t="shared" si="199"/>
        <v>0</v>
      </c>
      <c r="BY143" s="101">
        <f t="shared" si="182"/>
        <v>0</v>
      </c>
      <c r="BZ143" s="101">
        <f t="shared" si="183"/>
        <v>0</v>
      </c>
      <c r="CA143" s="101">
        <f t="shared" si="184"/>
        <v>0</v>
      </c>
      <c r="CB143" s="103">
        <f t="shared" si="185"/>
        <v>0</v>
      </c>
      <c r="CC143" s="103">
        <f t="shared" si="186"/>
        <v>0</v>
      </c>
      <c r="CD143" s="103">
        <f t="shared" si="187"/>
        <v>0</v>
      </c>
    </row>
    <row r="144" spans="1:82" x14ac:dyDescent="0.25">
      <c r="A144" s="96">
        <f t="shared" si="147"/>
        <v>40725</v>
      </c>
      <c r="B144" s="97">
        <f t="shared" si="124"/>
        <v>3.7974999999999999</v>
      </c>
      <c r="C144" s="77">
        <f t="shared" si="148"/>
        <v>0.18</v>
      </c>
      <c r="D144" s="97">
        <f t="shared" si="80"/>
        <v>0</v>
      </c>
      <c r="E144" s="100">
        <f t="shared" si="81"/>
        <v>1</v>
      </c>
      <c r="F144" s="99">
        <f t="shared" ca="1" si="126"/>
        <v>3462</v>
      </c>
      <c r="G144" s="77" t="e">
        <f t="shared" si="149"/>
        <v>#DIV/0!</v>
      </c>
      <c r="H144" s="77" t="e">
        <f>IF(B$16=1,_xll.xCalcSkew(A144,I144-AO144,b)/100,0)</f>
        <v>#DIV/0!</v>
      </c>
      <c r="I144" s="98">
        <f t="shared" si="188"/>
        <v>4</v>
      </c>
      <c r="K144" s="97">
        <f t="shared" si="84"/>
        <v>2.75E-2</v>
      </c>
      <c r="L144" s="100">
        <f t="shared" si="85"/>
        <v>1</v>
      </c>
      <c r="M144" s="99">
        <f t="shared" ca="1" si="150"/>
        <v>3463</v>
      </c>
      <c r="N144" s="175" t="e">
        <f t="shared" si="151"/>
        <v>#DIV/0!</v>
      </c>
      <c r="O144" s="77" t="e">
        <f>IF(D$16=1,_xll.xCalcSkew($A144,P144-AZ144,b)/100,0)</f>
        <v>#DIV/0!</v>
      </c>
      <c r="P144" s="98">
        <f t="shared" si="189"/>
        <v>2.5</v>
      </c>
      <c r="R144" s="97">
        <f t="shared" si="89"/>
        <v>2.75E-2</v>
      </c>
      <c r="S144" s="100">
        <f t="shared" si="90"/>
        <v>1</v>
      </c>
      <c r="T144" s="99">
        <f t="shared" ca="1" si="152"/>
        <v>3463</v>
      </c>
      <c r="U144" s="175" t="e">
        <f t="shared" si="153"/>
        <v>#DIV/0!</v>
      </c>
      <c r="V144" s="77" t="e">
        <f>IF(F$16=1,_xll.xCalcSkew($A144,W144-BK144,b)/100,0)</f>
        <v>#DIV/0!</v>
      </c>
      <c r="W144" s="98">
        <f t="shared" si="190"/>
        <v>2.5</v>
      </c>
      <c r="X144" s="99"/>
      <c r="Y144" s="97">
        <f t="shared" si="94"/>
        <v>2.75E-2</v>
      </c>
      <c r="Z144" s="100">
        <f t="shared" si="95"/>
        <v>1</v>
      </c>
      <c r="AA144" s="99">
        <f t="shared" ca="1" si="154"/>
        <v>3463</v>
      </c>
      <c r="AB144" s="77" t="e">
        <f t="shared" si="155"/>
        <v>#DIV/0!</v>
      </c>
      <c r="AC144" s="77" t="e">
        <f>IF(H$16=1,_xll.xCalcSkew($A144,AD144-BV144,b)/100,0)</f>
        <v>#DIV/0!</v>
      </c>
      <c r="AD144" s="98">
        <f t="shared" si="191"/>
        <v>2.4900000000000002</v>
      </c>
      <c r="AF144" s="99">
        <f t="shared" ca="1" si="127"/>
        <v>3463</v>
      </c>
      <c r="AG144" s="99">
        <f t="shared" ca="1" si="128"/>
        <v>3462</v>
      </c>
      <c r="AH144" s="77">
        <f t="shared" si="129"/>
        <v>5.86708043106468E-2</v>
      </c>
      <c r="AI144" s="154">
        <f t="shared" si="99"/>
        <v>31</v>
      </c>
      <c r="AL144" s="99"/>
      <c r="AM144" s="78"/>
      <c r="AN144" s="78">
        <f t="shared" si="156"/>
        <v>0</v>
      </c>
      <c r="AO144" s="303" t="e">
        <f t="shared" si="157"/>
        <v>#DIV/0!</v>
      </c>
      <c r="AP144" s="75">
        <f t="shared" si="192"/>
        <v>0</v>
      </c>
      <c r="AQ144" s="102">
        <f t="shared" si="193"/>
        <v>0</v>
      </c>
      <c r="AR144" s="101">
        <f t="shared" si="158"/>
        <v>0</v>
      </c>
      <c r="AS144" s="101">
        <f t="shared" si="159"/>
        <v>0</v>
      </c>
      <c r="AT144" s="101">
        <f t="shared" si="160"/>
        <v>0</v>
      </c>
      <c r="AU144" s="103">
        <f t="shared" si="161"/>
        <v>0</v>
      </c>
      <c r="AV144" s="103">
        <f t="shared" si="162"/>
        <v>0</v>
      </c>
      <c r="AW144" s="103">
        <f t="shared" si="163"/>
        <v>0</v>
      </c>
      <c r="AY144" s="78">
        <f t="shared" si="164"/>
        <v>0</v>
      </c>
      <c r="AZ144" s="303" t="e">
        <f t="shared" si="165"/>
        <v>#DIV/0!</v>
      </c>
      <c r="BA144" s="75">
        <f t="shared" si="194"/>
        <v>0</v>
      </c>
      <c r="BB144" s="102">
        <f t="shared" si="195"/>
        <v>0</v>
      </c>
      <c r="BC144" s="101">
        <f t="shared" si="166"/>
        <v>0</v>
      </c>
      <c r="BD144" s="101">
        <f t="shared" si="167"/>
        <v>0</v>
      </c>
      <c r="BE144" s="101">
        <f t="shared" si="168"/>
        <v>0</v>
      </c>
      <c r="BF144" s="103">
        <f t="shared" si="169"/>
        <v>0</v>
      </c>
      <c r="BG144" s="103">
        <f t="shared" si="170"/>
        <v>0</v>
      </c>
      <c r="BH144" s="103">
        <f t="shared" si="171"/>
        <v>0</v>
      </c>
      <c r="BJ144" s="78">
        <f t="shared" si="172"/>
        <v>0</v>
      </c>
      <c r="BK144" s="303" t="e">
        <f t="shared" si="173"/>
        <v>#DIV/0!</v>
      </c>
      <c r="BL144" s="75">
        <f t="shared" si="196"/>
        <v>0</v>
      </c>
      <c r="BM144" s="102">
        <f t="shared" si="197"/>
        <v>0</v>
      </c>
      <c r="BN144" s="101">
        <f t="shared" si="174"/>
        <v>0</v>
      </c>
      <c r="BO144" s="101">
        <f t="shared" si="175"/>
        <v>0</v>
      </c>
      <c r="BP144" s="101">
        <f t="shared" si="176"/>
        <v>0</v>
      </c>
      <c r="BQ144" s="103">
        <f t="shared" si="177"/>
        <v>0</v>
      </c>
      <c r="BR144" s="103">
        <f t="shared" si="178"/>
        <v>0</v>
      </c>
      <c r="BS144" s="103">
        <f t="shared" si="179"/>
        <v>0</v>
      </c>
      <c r="BU144" s="78">
        <f t="shared" si="180"/>
        <v>0</v>
      </c>
      <c r="BV144" s="303" t="e">
        <f t="shared" si="181"/>
        <v>#DIV/0!</v>
      </c>
      <c r="BW144" s="75">
        <f t="shared" si="198"/>
        <v>0</v>
      </c>
      <c r="BX144" s="102">
        <f t="shared" si="199"/>
        <v>0</v>
      </c>
      <c r="BY144" s="101">
        <f t="shared" si="182"/>
        <v>0</v>
      </c>
      <c r="BZ144" s="101">
        <f t="shared" si="183"/>
        <v>0</v>
      </c>
      <c r="CA144" s="101">
        <f t="shared" si="184"/>
        <v>0</v>
      </c>
      <c r="CB144" s="103">
        <f t="shared" si="185"/>
        <v>0</v>
      </c>
      <c r="CC144" s="103">
        <f t="shared" si="186"/>
        <v>0</v>
      </c>
      <c r="CD144" s="103">
        <f t="shared" si="187"/>
        <v>0</v>
      </c>
    </row>
    <row r="145" spans="1:82" x14ac:dyDescent="0.25">
      <c r="A145" s="96">
        <f t="shared" si="147"/>
        <v>40756</v>
      </c>
      <c r="B145" s="97">
        <f t="shared" si="124"/>
        <v>3.8374999999999999</v>
      </c>
      <c r="C145" s="77">
        <f t="shared" si="148"/>
        <v>0.18</v>
      </c>
      <c r="D145" s="97">
        <f t="shared" si="80"/>
        <v>0</v>
      </c>
      <c r="E145" s="100">
        <f t="shared" si="81"/>
        <v>1</v>
      </c>
      <c r="F145" s="99">
        <f t="shared" ca="1" si="126"/>
        <v>3491</v>
      </c>
      <c r="G145" s="77" t="e">
        <f t="shared" si="149"/>
        <v>#DIV/0!</v>
      </c>
      <c r="H145" s="77" t="e">
        <f>IF(B$16=1,_xll.xCalcSkew(A145,I145-AO145,b)/100,0)</f>
        <v>#DIV/0!</v>
      </c>
      <c r="I145" s="98">
        <f t="shared" si="188"/>
        <v>4</v>
      </c>
      <c r="K145" s="97">
        <f t="shared" si="84"/>
        <v>0.03</v>
      </c>
      <c r="L145" s="100">
        <f t="shared" si="85"/>
        <v>1</v>
      </c>
      <c r="M145" s="99">
        <f t="shared" ca="1" si="150"/>
        <v>3492</v>
      </c>
      <c r="N145" s="175" t="e">
        <f t="shared" si="151"/>
        <v>#DIV/0!</v>
      </c>
      <c r="O145" s="77" t="e">
        <f>IF(D$16=1,_xll.xCalcSkew($A145,P145-AZ145,b)/100,0)</f>
        <v>#DIV/0!</v>
      </c>
      <c r="P145" s="98">
        <f t="shared" si="189"/>
        <v>2.5</v>
      </c>
      <c r="R145" s="97">
        <f t="shared" si="89"/>
        <v>0.03</v>
      </c>
      <c r="S145" s="100">
        <f t="shared" si="90"/>
        <v>1</v>
      </c>
      <c r="T145" s="99">
        <f t="shared" ca="1" si="152"/>
        <v>3492</v>
      </c>
      <c r="U145" s="175" t="e">
        <f t="shared" si="153"/>
        <v>#DIV/0!</v>
      </c>
      <c r="V145" s="77" t="e">
        <f>IF(F$16=1,_xll.xCalcSkew($A145,W145-BK145,b)/100,0)</f>
        <v>#DIV/0!</v>
      </c>
      <c r="W145" s="98">
        <f t="shared" si="190"/>
        <v>2.5</v>
      </c>
      <c r="X145" s="99"/>
      <c r="Y145" s="97">
        <f t="shared" si="94"/>
        <v>0.03</v>
      </c>
      <c r="Z145" s="100">
        <f t="shared" si="95"/>
        <v>1</v>
      </c>
      <c r="AA145" s="99">
        <f t="shared" ca="1" si="154"/>
        <v>3492</v>
      </c>
      <c r="AB145" s="77" t="e">
        <f t="shared" si="155"/>
        <v>#DIV/0!</v>
      </c>
      <c r="AC145" s="77" t="e">
        <f>IF(H$16=1,_xll.xCalcSkew($A145,AD145-BV145,b)/100,0)</f>
        <v>#DIV/0!</v>
      </c>
      <c r="AD145" s="98">
        <f t="shared" si="191"/>
        <v>2.4900000000000002</v>
      </c>
      <c r="AF145" s="99">
        <f t="shared" ca="1" si="127"/>
        <v>3492</v>
      </c>
      <c r="AG145" s="99">
        <f t="shared" ca="1" si="128"/>
        <v>3491</v>
      </c>
      <c r="AH145" s="77">
        <f t="shared" si="129"/>
        <v>5.8774302798974401E-2</v>
      </c>
      <c r="AI145" s="154">
        <f t="shared" si="99"/>
        <v>31</v>
      </c>
      <c r="AL145" s="99"/>
      <c r="AM145" s="78"/>
      <c r="AN145" s="78">
        <f t="shared" si="156"/>
        <v>0</v>
      </c>
      <c r="AO145" s="303" t="e">
        <f t="shared" si="157"/>
        <v>#DIV/0!</v>
      </c>
      <c r="AP145" s="75">
        <f t="shared" si="192"/>
        <v>0</v>
      </c>
      <c r="AQ145" s="102">
        <f t="shared" si="193"/>
        <v>0</v>
      </c>
      <c r="AR145" s="101">
        <f t="shared" si="158"/>
        <v>0</v>
      </c>
      <c r="AS145" s="101">
        <f t="shared" si="159"/>
        <v>0</v>
      </c>
      <c r="AT145" s="101">
        <f t="shared" si="160"/>
        <v>0</v>
      </c>
      <c r="AU145" s="103">
        <f t="shared" si="161"/>
        <v>0</v>
      </c>
      <c r="AV145" s="103">
        <f t="shared" si="162"/>
        <v>0</v>
      </c>
      <c r="AW145" s="103">
        <f t="shared" si="163"/>
        <v>0</v>
      </c>
      <c r="AY145" s="78">
        <f t="shared" si="164"/>
        <v>0</v>
      </c>
      <c r="AZ145" s="303" t="e">
        <f t="shared" si="165"/>
        <v>#DIV/0!</v>
      </c>
      <c r="BA145" s="75">
        <f t="shared" si="194"/>
        <v>0</v>
      </c>
      <c r="BB145" s="102">
        <f t="shared" si="195"/>
        <v>0</v>
      </c>
      <c r="BC145" s="101">
        <f t="shared" si="166"/>
        <v>0</v>
      </c>
      <c r="BD145" s="101">
        <f t="shared" si="167"/>
        <v>0</v>
      </c>
      <c r="BE145" s="101">
        <f t="shared" si="168"/>
        <v>0</v>
      </c>
      <c r="BF145" s="103">
        <f t="shared" si="169"/>
        <v>0</v>
      </c>
      <c r="BG145" s="103">
        <f t="shared" si="170"/>
        <v>0</v>
      </c>
      <c r="BH145" s="103">
        <f t="shared" si="171"/>
        <v>0</v>
      </c>
      <c r="BJ145" s="78">
        <f t="shared" si="172"/>
        <v>0</v>
      </c>
      <c r="BK145" s="303" t="e">
        <f t="shared" si="173"/>
        <v>#DIV/0!</v>
      </c>
      <c r="BL145" s="75">
        <f t="shared" si="196"/>
        <v>0</v>
      </c>
      <c r="BM145" s="102">
        <f t="shared" si="197"/>
        <v>0</v>
      </c>
      <c r="BN145" s="101">
        <f t="shared" si="174"/>
        <v>0</v>
      </c>
      <c r="BO145" s="101">
        <f t="shared" si="175"/>
        <v>0</v>
      </c>
      <c r="BP145" s="101">
        <f t="shared" si="176"/>
        <v>0</v>
      </c>
      <c r="BQ145" s="103">
        <f t="shared" si="177"/>
        <v>0</v>
      </c>
      <c r="BR145" s="103">
        <f t="shared" si="178"/>
        <v>0</v>
      </c>
      <c r="BS145" s="103">
        <f t="shared" si="179"/>
        <v>0</v>
      </c>
      <c r="BU145" s="78">
        <f t="shared" si="180"/>
        <v>0</v>
      </c>
      <c r="BV145" s="303" t="e">
        <f t="shared" si="181"/>
        <v>#DIV/0!</v>
      </c>
      <c r="BW145" s="75">
        <f t="shared" si="198"/>
        <v>0</v>
      </c>
      <c r="BX145" s="102">
        <f t="shared" si="199"/>
        <v>0</v>
      </c>
      <c r="BY145" s="101">
        <f t="shared" si="182"/>
        <v>0</v>
      </c>
      <c r="BZ145" s="101">
        <f t="shared" si="183"/>
        <v>0</v>
      </c>
      <c r="CA145" s="101">
        <f t="shared" si="184"/>
        <v>0</v>
      </c>
      <c r="CB145" s="103">
        <f t="shared" si="185"/>
        <v>0</v>
      </c>
      <c r="CC145" s="103">
        <f t="shared" si="186"/>
        <v>0</v>
      </c>
      <c r="CD145" s="103">
        <f t="shared" si="187"/>
        <v>0</v>
      </c>
    </row>
    <row r="146" spans="1:82" x14ac:dyDescent="0.25">
      <c r="A146" s="96">
        <f t="shared" si="147"/>
        <v>40787</v>
      </c>
      <c r="B146" s="97">
        <f t="shared" si="124"/>
        <v>3.8325</v>
      </c>
      <c r="C146" s="77">
        <f t="shared" si="148"/>
        <v>0.18</v>
      </c>
      <c r="D146" s="97">
        <f t="shared" si="80"/>
        <v>0</v>
      </c>
      <c r="E146" s="100">
        <f t="shared" si="81"/>
        <v>1</v>
      </c>
      <c r="F146" s="99">
        <f t="shared" ca="1" si="126"/>
        <v>3522</v>
      </c>
      <c r="G146" s="77" t="e">
        <f t="shared" si="149"/>
        <v>#DIV/0!</v>
      </c>
      <c r="H146" s="77" t="e">
        <f>IF(B$16=1,_xll.xCalcSkew(A146,I146-AO146,b)/100,0)</f>
        <v>#DIV/0!</v>
      </c>
      <c r="I146" s="98">
        <f t="shared" si="188"/>
        <v>4</v>
      </c>
      <c r="K146" s="97">
        <f t="shared" si="84"/>
        <v>2.2499999999999999E-2</v>
      </c>
      <c r="L146" s="100">
        <f t="shared" si="85"/>
        <v>1</v>
      </c>
      <c r="M146" s="99">
        <f t="shared" ca="1" si="150"/>
        <v>3525</v>
      </c>
      <c r="N146" s="175" t="e">
        <f t="shared" si="151"/>
        <v>#DIV/0!</v>
      </c>
      <c r="O146" s="77" t="e">
        <f>IF(D$16=1,_xll.xCalcSkew($A146,P146-AZ146,b)/100,0)</f>
        <v>#DIV/0!</v>
      </c>
      <c r="P146" s="98">
        <f t="shared" si="189"/>
        <v>2.5</v>
      </c>
      <c r="R146" s="97">
        <f t="shared" si="89"/>
        <v>2.2499999999999999E-2</v>
      </c>
      <c r="S146" s="100">
        <f t="shared" si="90"/>
        <v>1</v>
      </c>
      <c r="T146" s="99">
        <f t="shared" ca="1" si="152"/>
        <v>3525</v>
      </c>
      <c r="U146" s="175" t="e">
        <f t="shared" si="153"/>
        <v>#DIV/0!</v>
      </c>
      <c r="V146" s="77" t="e">
        <f>IF(F$16=1,_xll.xCalcSkew($A146,W146-BK146,b)/100,0)</f>
        <v>#DIV/0!</v>
      </c>
      <c r="W146" s="98">
        <f t="shared" si="190"/>
        <v>2.5</v>
      </c>
      <c r="X146" s="99"/>
      <c r="Y146" s="97">
        <f t="shared" si="94"/>
        <v>2.2499999999999999E-2</v>
      </c>
      <c r="Z146" s="100">
        <f t="shared" si="95"/>
        <v>1</v>
      </c>
      <c r="AA146" s="99">
        <f t="shared" ca="1" si="154"/>
        <v>3525</v>
      </c>
      <c r="AB146" s="77" t="e">
        <f t="shared" si="155"/>
        <v>#DIV/0!</v>
      </c>
      <c r="AC146" s="77" t="e">
        <f>IF(H$16=1,_xll.xCalcSkew($A146,AD146-BV146,b)/100,0)</f>
        <v>#DIV/0!</v>
      </c>
      <c r="AD146" s="98">
        <f t="shared" si="191"/>
        <v>2.4900000000000002</v>
      </c>
      <c r="AF146" s="99">
        <f t="shared" ca="1" si="127"/>
        <v>3525</v>
      </c>
      <c r="AG146" s="99">
        <f t="shared" ca="1" si="128"/>
        <v>3522</v>
      </c>
      <c r="AH146" s="77">
        <f t="shared" si="129"/>
        <v>5.8877801290863702E-2</v>
      </c>
      <c r="AI146" s="154">
        <f t="shared" si="99"/>
        <v>30</v>
      </c>
      <c r="AL146" s="99"/>
      <c r="AM146" s="78"/>
      <c r="AN146" s="78">
        <f t="shared" si="156"/>
        <v>0</v>
      </c>
      <c r="AO146" s="303" t="e">
        <f t="shared" si="157"/>
        <v>#DIV/0!</v>
      </c>
      <c r="AP146" s="75">
        <f t="shared" si="192"/>
        <v>0</v>
      </c>
      <c r="AQ146" s="102">
        <f t="shared" si="193"/>
        <v>0</v>
      </c>
      <c r="AR146" s="101">
        <f t="shared" si="158"/>
        <v>0</v>
      </c>
      <c r="AS146" s="101">
        <f t="shared" si="159"/>
        <v>0</v>
      </c>
      <c r="AT146" s="101">
        <f t="shared" si="160"/>
        <v>0</v>
      </c>
      <c r="AU146" s="103">
        <f t="shared" si="161"/>
        <v>0</v>
      </c>
      <c r="AV146" s="103">
        <f t="shared" si="162"/>
        <v>0</v>
      </c>
      <c r="AW146" s="103">
        <f t="shared" si="163"/>
        <v>0</v>
      </c>
      <c r="AY146" s="78">
        <f t="shared" si="164"/>
        <v>0</v>
      </c>
      <c r="AZ146" s="303" t="e">
        <f t="shared" si="165"/>
        <v>#DIV/0!</v>
      </c>
      <c r="BA146" s="75">
        <f t="shared" si="194"/>
        <v>0</v>
      </c>
      <c r="BB146" s="102">
        <f t="shared" si="195"/>
        <v>0</v>
      </c>
      <c r="BC146" s="101">
        <f t="shared" si="166"/>
        <v>0</v>
      </c>
      <c r="BD146" s="101">
        <f t="shared" si="167"/>
        <v>0</v>
      </c>
      <c r="BE146" s="101">
        <f t="shared" si="168"/>
        <v>0</v>
      </c>
      <c r="BF146" s="103">
        <f t="shared" si="169"/>
        <v>0</v>
      </c>
      <c r="BG146" s="103">
        <f t="shared" si="170"/>
        <v>0</v>
      </c>
      <c r="BH146" s="103">
        <f t="shared" si="171"/>
        <v>0</v>
      </c>
      <c r="BJ146" s="78">
        <f t="shared" si="172"/>
        <v>0</v>
      </c>
      <c r="BK146" s="303" t="e">
        <f t="shared" si="173"/>
        <v>#DIV/0!</v>
      </c>
      <c r="BL146" s="75">
        <f t="shared" si="196"/>
        <v>0</v>
      </c>
      <c r="BM146" s="102">
        <f t="shared" si="197"/>
        <v>0</v>
      </c>
      <c r="BN146" s="101">
        <f t="shared" si="174"/>
        <v>0</v>
      </c>
      <c r="BO146" s="101">
        <f t="shared" si="175"/>
        <v>0</v>
      </c>
      <c r="BP146" s="101">
        <f t="shared" si="176"/>
        <v>0</v>
      </c>
      <c r="BQ146" s="103">
        <f t="shared" si="177"/>
        <v>0</v>
      </c>
      <c r="BR146" s="103">
        <f t="shared" si="178"/>
        <v>0</v>
      </c>
      <c r="BS146" s="103">
        <f t="shared" si="179"/>
        <v>0</v>
      </c>
      <c r="BU146" s="78">
        <f t="shared" si="180"/>
        <v>0</v>
      </c>
      <c r="BV146" s="303" t="e">
        <f t="shared" si="181"/>
        <v>#DIV/0!</v>
      </c>
      <c r="BW146" s="75">
        <f t="shared" si="198"/>
        <v>0</v>
      </c>
      <c r="BX146" s="102">
        <f t="shared" si="199"/>
        <v>0</v>
      </c>
      <c r="BY146" s="101">
        <f t="shared" si="182"/>
        <v>0</v>
      </c>
      <c r="BZ146" s="101">
        <f t="shared" si="183"/>
        <v>0</v>
      </c>
      <c r="CA146" s="101">
        <f t="shared" si="184"/>
        <v>0</v>
      </c>
      <c r="CB146" s="103">
        <f t="shared" si="185"/>
        <v>0</v>
      </c>
      <c r="CC146" s="103">
        <f t="shared" si="186"/>
        <v>0</v>
      </c>
      <c r="CD146" s="103">
        <f t="shared" si="187"/>
        <v>0</v>
      </c>
    </row>
    <row r="147" spans="1:82" x14ac:dyDescent="0.25">
      <c r="A147" s="96">
        <f t="shared" si="147"/>
        <v>40817</v>
      </c>
      <c r="B147" s="97">
        <f t="shared" si="124"/>
        <v>3.8574999999999999</v>
      </c>
      <c r="C147" s="77">
        <f t="shared" si="148"/>
        <v>0.18</v>
      </c>
      <c r="D147" s="97">
        <f t="shared" si="80"/>
        <v>0</v>
      </c>
      <c r="E147" s="100">
        <f t="shared" si="81"/>
        <v>1</v>
      </c>
      <c r="F147" s="99">
        <f t="shared" ca="1" si="126"/>
        <v>3554</v>
      </c>
      <c r="G147" s="77" t="e">
        <f t="shared" si="149"/>
        <v>#DIV/0!</v>
      </c>
      <c r="H147" s="77" t="e">
        <f>IF(B$16=1,_xll.xCalcSkew(A147,I147-AO147,b)/100,0)</f>
        <v>#DIV/0!</v>
      </c>
      <c r="I147" s="98">
        <f t="shared" si="188"/>
        <v>4</v>
      </c>
      <c r="K147" s="97">
        <f t="shared" si="84"/>
        <v>1.2500000000000001E-2</v>
      </c>
      <c r="L147" s="100">
        <f t="shared" si="85"/>
        <v>1</v>
      </c>
      <c r="M147" s="99">
        <f t="shared" ca="1" si="150"/>
        <v>3555</v>
      </c>
      <c r="N147" s="175" t="e">
        <f t="shared" si="151"/>
        <v>#DIV/0!</v>
      </c>
      <c r="O147" s="77" t="e">
        <f>IF(D$16=1,_xll.xCalcSkew($A147,P147-AZ147,b)/100,0)</f>
        <v>#DIV/0!</v>
      </c>
      <c r="P147" s="98">
        <f t="shared" si="189"/>
        <v>2.5</v>
      </c>
      <c r="R147" s="97">
        <f t="shared" si="89"/>
        <v>1.2500000000000001E-2</v>
      </c>
      <c r="S147" s="100">
        <f t="shared" si="90"/>
        <v>1</v>
      </c>
      <c r="T147" s="99">
        <f t="shared" ca="1" si="152"/>
        <v>3555</v>
      </c>
      <c r="U147" s="175" t="e">
        <f t="shared" si="153"/>
        <v>#DIV/0!</v>
      </c>
      <c r="V147" s="77" t="e">
        <f>IF(F$16=1,_xll.xCalcSkew($A147,W147-BK147,b)/100,0)</f>
        <v>#DIV/0!</v>
      </c>
      <c r="W147" s="98">
        <f t="shared" si="190"/>
        <v>2.5</v>
      </c>
      <c r="X147" s="99"/>
      <c r="Y147" s="97">
        <f t="shared" si="94"/>
        <v>1.2500000000000001E-2</v>
      </c>
      <c r="Z147" s="100">
        <f t="shared" si="95"/>
        <v>1</v>
      </c>
      <c r="AA147" s="99">
        <f t="shared" ca="1" si="154"/>
        <v>3555</v>
      </c>
      <c r="AB147" s="77" t="e">
        <f t="shared" si="155"/>
        <v>#DIV/0!</v>
      </c>
      <c r="AC147" s="77" t="e">
        <f>IF(H$16=1,_xll.xCalcSkew($A147,AD147-BV147,b)/100,0)</f>
        <v>#DIV/0!</v>
      </c>
      <c r="AD147" s="98">
        <f t="shared" si="191"/>
        <v>2.4900000000000002</v>
      </c>
      <c r="AF147" s="99">
        <f t="shared" ca="1" si="127"/>
        <v>3555</v>
      </c>
      <c r="AG147" s="99">
        <f t="shared" ca="1" si="128"/>
        <v>3554</v>
      </c>
      <c r="AH147" s="77">
        <f t="shared" si="129"/>
        <v>5.8977961125114199E-2</v>
      </c>
      <c r="AI147" s="154">
        <f t="shared" si="99"/>
        <v>31</v>
      </c>
      <c r="AL147" s="99"/>
      <c r="AM147" s="78"/>
      <c r="AN147" s="78">
        <f t="shared" si="156"/>
        <v>0</v>
      </c>
      <c r="AO147" s="303" t="e">
        <f t="shared" si="157"/>
        <v>#DIV/0!</v>
      </c>
      <c r="AP147" s="75">
        <f t="shared" si="192"/>
        <v>0</v>
      </c>
      <c r="AQ147" s="102">
        <f t="shared" si="193"/>
        <v>0</v>
      </c>
      <c r="AR147" s="101">
        <f t="shared" si="158"/>
        <v>0</v>
      </c>
      <c r="AS147" s="101">
        <f t="shared" si="159"/>
        <v>0</v>
      </c>
      <c r="AT147" s="101">
        <f t="shared" si="160"/>
        <v>0</v>
      </c>
      <c r="AU147" s="103">
        <f t="shared" si="161"/>
        <v>0</v>
      </c>
      <c r="AV147" s="103">
        <f t="shared" si="162"/>
        <v>0</v>
      </c>
      <c r="AW147" s="103">
        <f t="shared" si="163"/>
        <v>0</v>
      </c>
      <c r="AY147" s="78">
        <f t="shared" si="164"/>
        <v>0</v>
      </c>
      <c r="AZ147" s="303" t="e">
        <f t="shared" si="165"/>
        <v>#DIV/0!</v>
      </c>
      <c r="BA147" s="75">
        <f t="shared" si="194"/>
        <v>0</v>
      </c>
      <c r="BB147" s="102">
        <f t="shared" si="195"/>
        <v>0</v>
      </c>
      <c r="BC147" s="101">
        <f t="shared" si="166"/>
        <v>0</v>
      </c>
      <c r="BD147" s="101">
        <f t="shared" si="167"/>
        <v>0</v>
      </c>
      <c r="BE147" s="101">
        <f t="shared" si="168"/>
        <v>0</v>
      </c>
      <c r="BF147" s="103">
        <f t="shared" si="169"/>
        <v>0</v>
      </c>
      <c r="BG147" s="103">
        <f t="shared" si="170"/>
        <v>0</v>
      </c>
      <c r="BH147" s="103">
        <f t="shared" si="171"/>
        <v>0</v>
      </c>
      <c r="BJ147" s="78">
        <f t="shared" si="172"/>
        <v>0</v>
      </c>
      <c r="BK147" s="303" t="e">
        <f t="shared" si="173"/>
        <v>#DIV/0!</v>
      </c>
      <c r="BL147" s="75">
        <f t="shared" si="196"/>
        <v>0</v>
      </c>
      <c r="BM147" s="102">
        <f t="shared" si="197"/>
        <v>0</v>
      </c>
      <c r="BN147" s="101">
        <f t="shared" si="174"/>
        <v>0</v>
      </c>
      <c r="BO147" s="101">
        <f t="shared" si="175"/>
        <v>0</v>
      </c>
      <c r="BP147" s="101">
        <f t="shared" si="176"/>
        <v>0</v>
      </c>
      <c r="BQ147" s="103">
        <f t="shared" si="177"/>
        <v>0</v>
      </c>
      <c r="BR147" s="103">
        <f t="shared" si="178"/>
        <v>0</v>
      </c>
      <c r="BS147" s="103">
        <f t="shared" si="179"/>
        <v>0</v>
      </c>
      <c r="BU147" s="78">
        <f t="shared" si="180"/>
        <v>0</v>
      </c>
      <c r="BV147" s="303" t="e">
        <f t="shared" si="181"/>
        <v>#DIV/0!</v>
      </c>
      <c r="BW147" s="75">
        <f t="shared" si="198"/>
        <v>0</v>
      </c>
      <c r="BX147" s="102">
        <f t="shared" si="199"/>
        <v>0</v>
      </c>
      <c r="BY147" s="101">
        <f t="shared" si="182"/>
        <v>0</v>
      </c>
      <c r="BZ147" s="101">
        <f t="shared" si="183"/>
        <v>0</v>
      </c>
      <c r="CA147" s="101">
        <f t="shared" si="184"/>
        <v>0</v>
      </c>
      <c r="CB147" s="103">
        <f t="shared" si="185"/>
        <v>0</v>
      </c>
      <c r="CC147" s="103">
        <f t="shared" si="186"/>
        <v>0</v>
      </c>
      <c r="CD147" s="103">
        <f t="shared" si="187"/>
        <v>0</v>
      </c>
    </row>
    <row r="148" spans="1:82" x14ac:dyDescent="0.25">
      <c r="A148" s="96">
        <f t="shared" si="147"/>
        <v>40848</v>
      </c>
      <c r="B148" s="97">
        <f t="shared" si="124"/>
        <v>4.0095000000000001</v>
      </c>
      <c r="C148" s="77">
        <f t="shared" si="148"/>
        <v>0.18</v>
      </c>
      <c r="D148" s="97">
        <f t="shared" si="80"/>
        <v>0</v>
      </c>
      <c r="E148" s="100">
        <f t="shared" si="81"/>
        <v>1</v>
      </c>
      <c r="F148" s="99">
        <f t="shared" ca="1" si="126"/>
        <v>3583</v>
      </c>
      <c r="G148" s="77" t="e">
        <f t="shared" si="149"/>
        <v>#DIV/0!</v>
      </c>
      <c r="H148" s="77" t="e">
        <f>IF(B$16=1,_xll.xCalcSkew(A148,I148-AO148,b)/100,0)</f>
        <v>#DIV/0!</v>
      </c>
      <c r="I148" s="98">
        <f t="shared" si="188"/>
        <v>4</v>
      </c>
      <c r="K148" s="97">
        <f t="shared" si="84"/>
        <v>-2.2499999999999999E-2</v>
      </c>
      <c r="L148" s="100">
        <f t="shared" si="85"/>
        <v>1</v>
      </c>
      <c r="M148" s="99">
        <f t="shared" ca="1" si="150"/>
        <v>3584</v>
      </c>
      <c r="N148" s="175" t="e">
        <f t="shared" si="151"/>
        <v>#DIV/0!</v>
      </c>
      <c r="O148" s="77" t="e">
        <f>IF(D$16=1,_xll.xCalcSkew($A148,P148-AZ148,b)/100,0)</f>
        <v>#DIV/0!</v>
      </c>
      <c r="P148" s="98">
        <f t="shared" si="189"/>
        <v>2.5</v>
      </c>
      <c r="R148" s="97">
        <f t="shared" si="89"/>
        <v>-2.2499999999999999E-2</v>
      </c>
      <c r="S148" s="100">
        <f t="shared" si="90"/>
        <v>1</v>
      </c>
      <c r="T148" s="99">
        <f t="shared" ca="1" si="152"/>
        <v>3584</v>
      </c>
      <c r="U148" s="175" t="e">
        <f t="shared" si="153"/>
        <v>#DIV/0!</v>
      </c>
      <c r="V148" s="77" t="e">
        <f>IF(F$16=1,_xll.xCalcSkew($A148,W148-BK148,b)/100,0)</f>
        <v>#DIV/0!</v>
      </c>
      <c r="W148" s="98">
        <f t="shared" si="190"/>
        <v>2.5</v>
      </c>
      <c r="X148" s="99"/>
      <c r="Y148" s="97">
        <f t="shared" si="94"/>
        <v>-2.2499999999999999E-2</v>
      </c>
      <c r="Z148" s="100">
        <f t="shared" si="95"/>
        <v>1</v>
      </c>
      <c r="AA148" s="99">
        <f t="shared" ca="1" si="154"/>
        <v>3584</v>
      </c>
      <c r="AB148" s="77" t="e">
        <f t="shared" si="155"/>
        <v>#DIV/0!</v>
      </c>
      <c r="AC148" s="77" t="e">
        <f>IF(H$16=1,_xll.xCalcSkew($A148,AD148-BV148,b)/100,0)</f>
        <v>#DIV/0!</v>
      </c>
      <c r="AD148" s="98">
        <f t="shared" si="191"/>
        <v>2.4900000000000002</v>
      </c>
      <c r="AF148" s="99">
        <f t="shared" ca="1" si="127"/>
        <v>3584</v>
      </c>
      <c r="AG148" s="99">
        <f t="shared" ca="1" si="128"/>
        <v>3583</v>
      </c>
      <c r="AH148" s="77">
        <f t="shared" si="129"/>
        <v>5.9081459624010797E-2</v>
      </c>
      <c r="AI148" s="154">
        <f t="shared" si="99"/>
        <v>30</v>
      </c>
      <c r="AL148" s="99"/>
      <c r="AM148" s="78"/>
      <c r="AN148" s="78">
        <f t="shared" si="156"/>
        <v>0</v>
      </c>
      <c r="AO148" s="303" t="e">
        <f t="shared" si="157"/>
        <v>#DIV/0!</v>
      </c>
      <c r="AP148" s="75">
        <f t="shared" si="192"/>
        <v>0</v>
      </c>
      <c r="AQ148" s="102">
        <f t="shared" si="193"/>
        <v>0</v>
      </c>
      <c r="AR148" s="101">
        <f t="shared" si="158"/>
        <v>0</v>
      </c>
      <c r="AS148" s="101">
        <f t="shared" si="159"/>
        <v>0</v>
      </c>
      <c r="AT148" s="101">
        <f t="shared" si="160"/>
        <v>0</v>
      </c>
      <c r="AU148" s="103">
        <f t="shared" si="161"/>
        <v>0</v>
      </c>
      <c r="AV148" s="103">
        <f t="shared" si="162"/>
        <v>0</v>
      </c>
      <c r="AW148" s="103">
        <f t="shared" si="163"/>
        <v>0</v>
      </c>
      <c r="AY148" s="78">
        <f t="shared" si="164"/>
        <v>0</v>
      </c>
      <c r="AZ148" s="303" t="e">
        <f t="shared" si="165"/>
        <v>#DIV/0!</v>
      </c>
      <c r="BA148" s="75">
        <f t="shared" si="194"/>
        <v>0</v>
      </c>
      <c r="BB148" s="102">
        <f t="shared" si="195"/>
        <v>0</v>
      </c>
      <c r="BC148" s="101">
        <f t="shared" si="166"/>
        <v>0</v>
      </c>
      <c r="BD148" s="101">
        <f t="shared" si="167"/>
        <v>0</v>
      </c>
      <c r="BE148" s="101">
        <f t="shared" si="168"/>
        <v>0</v>
      </c>
      <c r="BF148" s="103">
        <f t="shared" si="169"/>
        <v>0</v>
      </c>
      <c r="BG148" s="103">
        <f t="shared" si="170"/>
        <v>0</v>
      </c>
      <c r="BH148" s="103">
        <f t="shared" si="171"/>
        <v>0</v>
      </c>
      <c r="BJ148" s="78">
        <f t="shared" si="172"/>
        <v>0</v>
      </c>
      <c r="BK148" s="303" t="e">
        <f t="shared" si="173"/>
        <v>#DIV/0!</v>
      </c>
      <c r="BL148" s="75">
        <f t="shared" si="196"/>
        <v>0</v>
      </c>
      <c r="BM148" s="102">
        <f t="shared" si="197"/>
        <v>0</v>
      </c>
      <c r="BN148" s="101">
        <f t="shared" si="174"/>
        <v>0</v>
      </c>
      <c r="BO148" s="101">
        <f t="shared" si="175"/>
        <v>0</v>
      </c>
      <c r="BP148" s="101">
        <f t="shared" si="176"/>
        <v>0</v>
      </c>
      <c r="BQ148" s="103">
        <f t="shared" si="177"/>
        <v>0</v>
      </c>
      <c r="BR148" s="103">
        <f t="shared" si="178"/>
        <v>0</v>
      </c>
      <c r="BS148" s="103">
        <f t="shared" si="179"/>
        <v>0</v>
      </c>
      <c r="BU148" s="78">
        <f t="shared" si="180"/>
        <v>0</v>
      </c>
      <c r="BV148" s="303" t="e">
        <f t="shared" si="181"/>
        <v>#DIV/0!</v>
      </c>
      <c r="BW148" s="75">
        <f t="shared" si="198"/>
        <v>0</v>
      </c>
      <c r="BX148" s="102">
        <f t="shared" si="199"/>
        <v>0</v>
      </c>
      <c r="BY148" s="101">
        <f t="shared" si="182"/>
        <v>0</v>
      </c>
      <c r="BZ148" s="101">
        <f t="shared" si="183"/>
        <v>0</v>
      </c>
      <c r="CA148" s="101">
        <f t="shared" si="184"/>
        <v>0</v>
      </c>
      <c r="CB148" s="103">
        <f t="shared" si="185"/>
        <v>0</v>
      </c>
      <c r="CC148" s="103">
        <f t="shared" si="186"/>
        <v>0</v>
      </c>
      <c r="CD148" s="103">
        <f t="shared" si="187"/>
        <v>0</v>
      </c>
    </row>
    <row r="149" spans="1:82" x14ac:dyDescent="0.25">
      <c r="A149" s="96">
        <f t="shared" si="147"/>
        <v>40878</v>
      </c>
      <c r="B149" s="97">
        <f t="shared" si="124"/>
        <v>4.1524999999999999</v>
      </c>
      <c r="C149" s="77">
        <f t="shared" si="148"/>
        <v>0.18</v>
      </c>
      <c r="D149" s="97">
        <f t="shared" si="80"/>
        <v>0</v>
      </c>
      <c r="E149" s="100">
        <f t="shared" si="81"/>
        <v>1</v>
      </c>
      <c r="F149" s="99">
        <f t="shared" ca="1" si="126"/>
        <v>3613</v>
      </c>
      <c r="G149" s="77" t="e">
        <f t="shared" si="149"/>
        <v>#DIV/0!</v>
      </c>
      <c r="H149" s="77" t="e">
        <f>IF(B$16=1,_xll.xCalcSkew(A149,I149-AO149,b)/100,0)</f>
        <v>#DIV/0!</v>
      </c>
      <c r="I149" s="98">
        <f t="shared" si="188"/>
        <v>4</v>
      </c>
      <c r="K149" s="97">
        <f t="shared" si="84"/>
        <v>-4.4999999999999998E-2</v>
      </c>
      <c r="L149" s="100">
        <f t="shared" si="85"/>
        <v>1</v>
      </c>
      <c r="M149" s="99">
        <f t="shared" ca="1" si="150"/>
        <v>3616</v>
      </c>
      <c r="N149" s="175" t="e">
        <f t="shared" si="151"/>
        <v>#DIV/0!</v>
      </c>
      <c r="O149" s="77" t="e">
        <f>IF(D$16=1,_xll.xCalcSkew($A149,P149-AZ149,b)/100,0)</f>
        <v>#DIV/0!</v>
      </c>
      <c r="P149" s="98">
        <f t="shared" si="189"/>
        <v>2.5</v>
      </c>
      <c r="R149" s="97">
        <f t="shared" si="89"/>
        <v>-4.4999999999999998E-2</v>
      </c>
      <c r="S149" s="100">
        <f t="shared" si="90"/>
        <v>1</v>
      </c>
      <c r="T149" s="99">
        <f t="shared" ca="1" si="152"/>
        <v>3616</v>
      </c>
      <c r="U149" s="175" t="e">
        <f t="shared" si="153"/>
        <v>#DIV/0!</v>
      </c>
      <c r="V149" s="77" t="e">
        <f>IF(F$16=1,_xll.xCalcSkew($A149,W149-BK149,b)/100,0)</f>
        <v>#DIV/0!</v>
      </c>
      <c r="W149" s="98">
        <f t="shared" si="190"/>
        <v>2.5</v>
      </c>
      <c r="X149" s="99"/>
      <c r="Y149" s="97">
        <f t="shared" si="94"/>
        <v>-4.4999999999999998E-2</v>
      </c>
      <c r="Z149" s="100">
        <f t="shared" si="95"/>
        <v>1</v>
      </c>
      <c r="AA149" s="99">
        <f t="shared" ca="1" si="154"/>
        <v>3616</v>
      </c>
      <c r="AB149" s="77" t="e">
        <f t="shared" si="155"/>
        <v>#DIV/0!</v>
      </c>
      <c r="AC149" s="77" t="e">
        <f>IF(H$16=1,_xll.xCalcSkew($A149,AD149-BV149,b)/100,0)</f>
        <v>#DIV/0!</v>
      </c>
      <c r="AD149" s="98">
        <f t="shared" si="191"/>
        <v>2.4900000000000002</v>
      </c>
      <c r="AF149" s="99">
        <f t="shared" ca="1" si="127"/>
        <v>3616</v>
      </c>
      <c r="AG149" s="99">
        <f t="shared" ca="1" si="128"/>
        <v>3613</v>
      </c>
      <c r="AH149" s="77">
        <f t="shared" si="129"/>
        <v>5.9181619465042502E-2</v>
      </c>
      <c r="AI149" s="154" t="e">
        <f>#REF!-A149</f>
        <v>#REF!</v>
      </c>
      <c r="AL149" s="99"/>
      <c r="AM149" s="78"/>
      <c r="AN149" s="78">
        <f t="shared" si="156"/>
        <v>0</v>
      </c>
      <c r="AO149" s="303" t="e">
        <f t="shared" si="157"/>
        <v>#DIV/0!</v>
      </c>
      <c r="AP149" s="75">
        <f t="shared" si="192"/>
        <v>0</v>
      </c>
      <c r="AQ149" s="102">
        <f t="shared" si="193"/>
        <v>0</v>
      </c>
      <c r="AR149" s="101">
        <f t="shared" si="158"/>
        <v>0</v>
      </c>
      <c r="AS149" s="101">
        <f t="shared" si="159"/>
        <v>0</v>
      </c>
      <c r="AT149" s="101">
        <f t="shared" si="160"/>
        <v>0</v>
      </c>
      <c r="AU149" s="103">
        <f t="shared" si="161"/>
        <v>0</v>
      </c>
      <c r="AV149" s="103">
        <f t="shared" si="162"/>
        <v>0</v>
      </c>
      <c r="AW149" s="103">
        <f t="shared" si="163"/>
        <v>0</v>
      </c>
      <c r="AY149" s="78">
        <f t="shared" si="164"/>
        <v>0</v>
      </c>
      <c r="AZ149" s="303" t="e">
        <f t="shared" si="165"/>
        <v>#DIV/0!</v>
      </c>
      <c r="BA149" s="75">
        <f t="shared" si="194"/>
        <v>0</v>
      </c>
      <c r="BB149" s="102">
        <f t="shared" si="195"/>
        <v>0</v>
      </c>
      <c r="BC149" s="101">
        <f t="shared" si="166"/>
        <v>0</v>
      </c>
      <c r="BD149" s="101">
        <f t="shared" si="167"/>
        <v>0</v>
      </c>
      <c r="BE149" s="101">
        <f t="shared" si="168"/>
        <v>0</v>
      </c>
      <c r="BF149" s="103">
        <f t="shared" si="169"/>
        <v>0</v>
      </c>
      <c r="BG149" s="103">
        <f t="shared" si="170"/>
        <v>0</v>
      </c>
      <c r="BH149" s="103">
        <f t="shared" si="171"/>
        <v>0</v>
      </c>
      <c r="BJ149" s="78">
        <f t="shared" si="172"/>
        <v>0</v>
      </c>
      <c r="BK149" s="303" t="e">
        <f t="shared" si="173"/>
        <v>#DIV/0!</v>
      </c>
      <c r="BL149" s="75">
        <f t="shared" si="196"/>
        <v>0</v>
      </c>
      <c r="BM149" s="102">
        <f t="shared" si="197"/>
        <v>0</v>
      </c>
      <c r="BN149" s="101">
        <f t="shared" si="174"/>
        <v>0</v>
      </c>
      <c r="BO149" s="101">
        <f t="shared" si="175"/>
        <v>0</v>
      </c>
      <c r="BP149" s="101">
        <f t="shared" si="176"/>
        <v>0</v>
      </c>
      <c r="BQ149" s="103">
        <f t="shared" si="177"/>
        <v>0</v>
      </c>
      <c r="BR149" s="103">
        <f t="shared" si="178"/>
        <v>0</v>
      </c>
      <c r="BS149" s="103">
        <f t="shared" si="179"/>
        <v>0</v>
      </c>
      <c r="BU149" s="78">
        <f t="shared" si="180"/>
        <v>0</v>
      </c>
      <c r="BV149" s="303" t="e">
        <f t="shared" si="181"/>
        <v>#DIV/0!</v>
      </c>
      <c r="BW149" s="75">
        <f t="shared" si="198"/>
        <v>0</v>
      </c>
      <c r="BX149" s="102">
        <f t="shared" si="199"/>
        <v>0</v>
      </c>
      <c r="BY149" s="101">
        <f t="shared" si="182"/>
        <v>0</v>
      </c>
      <c r="BZ149" s="101">
        <f t="shared" si="183"/>
        <v>0</v>
      </c>
      <c r="CA149" s="101">
        <f t="shared" si="184"/>
        <v>0</v>
      </c>
      <c r="CB149" s="103">
        <f t="shared" si="185"/>
        <v>0</v>
      </c>
      <c r="CC149" s="103">
        <f t="shared" si="186"/>
        <v>0</v>
      </c>
      <c r="CD149" s="103">
        <f t="shared" si="187"/>
        <v>0</v>
      </c>
    </row>
    <row r="150" spans="1:82" x14ac:dyDescent="0.25">
      <c r="A150" s="96" t="e">
        <f>DATE(YEAR(#REF!),MONTH(#REF!)+1,1)</f>
        <v>#REF!</v>
      </c>
      <c r="B150" s="109"/>
      <c r="C150" s="128"/>
      <c r="E150" s="106"/>
      <c r="F150" s="106"/>
      <c r="G150" s="106"/>
      <c r="H150" s="107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79"/>
      <c r="AL150" s="79"/>
      <c r="AM150" s="80"/>
      <c r="AN150" s="79"/>
      <c r="AO150" s="301"/>
      <c r="AY150" s="79"/>
      <c r="AZ150" s="301"/>
      <c r="BJ150" s="79"/>
      <c r="BK150" s="301"/>
      <c r="BU150" s="79"/>
      <c r="BV150" s="301"/>
    </row>
    <row r="151" spans="1:82" x14ac:dyDescent="0.25">
      <c r="A151" s="104"/>
      <c r="B151" s="109"/>
      <c r="C151" s="128"/>
      <c r="E151" s="106"/>
      <c r="F151" s="106"/>
      <c r="G151" s="106"/>
      <c r="H151" s="107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79"/>
      <c r="AL151" s="79"/>
      <c r="AM151" s="80"/>
      <c r="AN151" s="79"/>
      <c r="AO151" s="301"/>
      <c r="AY151" s="79"/>
      <c r="AZ151" s="301"/>
      <c r="BJ151" s="79"/>
      <c r="BK151" s="301"/>
      <c r="BU151" s="79"/>
      <c r="BV151" s="301"/>
    </row>
    <row r="152" spans="1:82" x14ac:dyDescent="0.25">
      <c r="A152" s="104"/>
      <c r="B152" s="109"/>
      <c r="C152" s="128"/>
      <c r="E152" s="106"/>
      <c r="F152" s="106"/>
      <c r="G152" s="106"/>
      <c r="H152" s="107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79"/>
      <c r="AL152" s="79"/>
      <c r="AM152" s="80"/>
      <c r="AN152" s="79"/>
      <c r="AO152" s="301"/>
      <c r="AY152" s="79"/>
      <c r="AZ152" s="301"/>
      <c r="BJ152" s="79"/>
      <c r="BK152" s="301"/>
      <c r="BU152" s="79"/>
      <c r="BV152" s="301"/>
    </row>
    <row r="153" spans="1:82" x14ac:dyDescent="0.25">
      <c r="A153" s="104"/>
      <c r="B153" s="109"/>
      <c r="C153" s="128"/>
      <c r="E153" s="106"/>
      <c r="F153" s="106"/>
      <c r="G153" s="106"/>
      <c r="H153" s="107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79"/>
      <c r="AL153" s="79"/>
      <c r="AM153" s="80"/>
      <c r="AN153" s="79"/>
      <c r="AO153" s="301"/>
      <c r="AY153" s="79"/>
      <c r="AZ153" s="301"/>
      <c r="BJ153" s="79"/>
      <c r="BK153" s="301"/>
      <c r="BU153" s="79"/>
      <c r="BV153" s="301"/>
    </row>
    <row r="154" spans="1:82" x14ac:dyDescent="0.25">
      <c r="A154" s="104"/>
      <c r="B154" s="109"/>
      <c r="C154" s="128"/>
      <c r="E154" s="106"/>
      <c r="F154" s="106"/>
      <c r="G154" s="106"/>
      <c r="H154" s="107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79"/>
      <c r="AL154" s="79"/>
      <c r="AM154" s="80"/>
      <c r="AN154" s="79"/>
      <c r="AO154" s="301"/>
      <c r="AY154" s="79"/>
      <c r="AZ154" s="301"/>
      <c r="BJ154" s="79"/>
      <c r="BK154" s="301"/>
      <c r="BU154" s="79"/>
      <c r="BV154" s="301"/>
    </row>
    <row r="155" spans="1:82" x14ac:dyDescent="0.25">
      <c r="A155" s="104"/>
      <c r="B155" s="109"/>
      <c r="C155" s="128"/>
      <c r="E155" s="106"/>
      <c r="F155" s="106"/>
      <c r="G155" s="106"/>
      <c r="H155" s="107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79"/>
      <c r="AL155" s="79"/>
      <c r="AM155" s="80"/>
      <c r="AN155" s="79"/>
      <c r="AO155" s="301"/>
      <c r="AY155" s="79"/>
      <c r="AZ155" s="301"/>
      <c r="BJ155" s="79"/>
      <c r="BK155" s="301"/>
      <c r="BU155" s="79"/>
      <c r="BV155" s="301"/>
    </row>
    <row r="156" spans="1:82" x14ac:dyDescent="0.25">
      <c r="A156" s="104"/>
      <c r="B156" s="109"/>
      <c r="C156" s="128"/>
      <c r="E156" s="106"/>
      <c r="F156" s="106"/>
      <c r="G156" s="106"/>
      <c r="H156" s="107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79"/>
      <c r="AL156" s="79"/>
      <c r="AM156" s="80"/>
      <c r="AN156" s="79"/>
      <c r="AO156" s="301"/>
      <c r="AY156" s="79"/>
      <c r="AZ156" s="301"/>
      <c r="BJ156" s="79"/>
      <c r="BK156" s="301"/>
      <c r="BU156" s="79"/>
      <c r="BV156" s="301"/>
    </row>
    <row r="157" spans="1:82" x14ac:dyDescent="0.25">
      <c r="A157" s="104"/>
      <c r="B157" s="109"/>
      <c r="C157" s="128"/>
      <c r="E157" s="106"/>
      <c r="F157" s="106"/>
      <c r="G157" s="106"/>
      <c r="H157" s="107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79"/>
      <c r="AL157" s="79"/>
      <c r="AM157" s="80"/>
      <c r="AN157" s="79"/>
      <c r="AO157" s="301"/>
      <c r="AY157" s="79"/>
      <c r="AZ157" s="301"/>
      <c r="BJ157" s="79"/>
      <c r="BK157" s="301"/>
      <c r="BU157" s="79"/>
      <c r="BV157" s="301"/>
    </row>
    <row r="158" spans="1:82" x14ac:dyDescent="0.25">
      <c r="A158" s="104"/>
      <c r="B158" s="109"/>
      <c r="C158" s="128"/>
      <c r="E158" s="106"/>
      <c r="F158" s="106"/>
      <c r="G158" s="106"/>
      <c r="H158" s="107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79"/>
      <c r="AL158" s="79"/>
      <c r="AM158" s="80"/>
      <c r="AN158" s="79"/>
      <c r="AO158" s="301"/>
      <c r="AY158" s="79"/>
      <c r="AZ158" s="301"/>
      <c r="BJ158" s="79"/>
      <c r="BK158" s="301"/>
      <c r="BU158" s="79"/>
      <c r="BV158" s="301"/>
    </row>
    <row r="159" spans="1:82" x14ac:dyDescent="0.25">
      <c r="A159" s="104"/>
      <c r="B159" s="109"/>
      <c r="C159" s="128"/>
      <c r="E159" s="106"/>
      <c r="F159" s="106"/>
      <c r="G159" s="106"/>
      <c r="H159" s="107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79"/>
      <c r="AL159" s="79"/>
      <c r="AM159" s="80"/>
      <c r="AN159" s="79"/>
      <c r="AO159" s="301"/>
      <c r="AY159" s="79"/>
      <c r="AZ159" s="301"/>
      <c r="BJ159" s="79"/>
      <c r="BK159" s="301"/>
      <c r="BU159" s="79"/>
      <c r="BV159" s="301"/>
    </row>
    <row r="160" spans="1:82" x14ac:dyDescent="0.25">
      <c r="A160" s="104"/>
      <c r="B160" s="109"/>
      <c r="C160" s="128"/>
      <c r="E160" s="106"/>
      <c r="F160" s="106"/>
      <c r="G160" s="106"/>
      <c r="H160" s="107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79"/>
      <c r="AL160" s="79"/>
      <c r="AM160" s="80"/>
      <c r="AN160" s="79"/>
      <c r="AO160" s="301"/>
      <c r="AY160" s="79"/>
      <c r="AZ160" s="301"/>
      <c r="BJ160" s="79"/>
      <c r="BK160" s="301"/>
      <c r="BU160" s="79"/>
      <c r="BV160" s="301"/>
    </row>
    <row r="161" spans="1:74" x14ac:dyDescent="0.25">
      <c r="A161" s="110"/>
      <c r="E161" s="76"/>
      <c r="F161" s="76"/>
      <c r="G161" s="76"/>
      <c r="H161" s="107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79"/>
      <c r="AL161" s="79"/>
      <c r="AM161" s="80"/>
      <c r="AN161" s="79"/>
      <c r="AO161" s="301"/>
      <c r="AY161" s="79"/>
      <c r="AZ161" s="301"/>
      <c r="BJ161" s="79"/>
      <c r="BK161" s="301"/>
      <c r="BU161" s="79"/>
      <c r="BV161" s="301"/>
    </row>
    <row r="162" spans="1:74" x14ac:dyDescent="0.25">
      <c r="A162" s="104"/>
      <c r="B162" s="109"/>
      <c r="C162" s="128"/>
      <c r="E162" s="106"/>
      <c r="F162" s="106"/>
      <c r="G162" s="106"/>
      <c r="H162" s="107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79"/>
      <c r="AL162" s="79"/>
      <c r="AM162" s="80"/>
      <c r="AN162" s="79"/>
      <c r="AO162" s="301"/>
      <c r="AY162" s="79"/>
      <c r="AZ162" s="301"/>
      <c r="BJ162" s="79"/>
      <c r="BK162" s="301"/>
      <c r="BU162" s="79"/>
      <c r="BV162" s="301"/>
    </row>
    <row r="163" spans="1:74" x14ac:dyDescent="0.25">
      <c r="B163" s="111"/>
      <c r="C163" s="114"/>
      <c r="D163" s="112"/>
      <c r="E163" s="105"/>
      <c r="F163" s="105"/>
      <c r="G163" s="105"/>
      <c r="H163" s="106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08"/>
      <c r="AI163" s="105"/>
      <c r="AJ163" s="105"/>
      <c r="AK163" s="79"/>
      <c r="AL163" s="79"/>
      <c r="AM163" s="80"/>
      <c r="AN163" s="79"/>
      <c r="AO163" s="301"/>
      <c r="AY163" s="79"/>
      <c r="AZ163" s="301"/>
      <c r="BJ163" s="79"/>
      <c r="BK163" s="301"/>
      <c r="BU163" s="79"/>
      <c r="BV163" s="301"/>
    </row>
    <row r="164" spans="1:74" x14ac:dyDescent="0.25">
      <c r="B164" s="111"/>
      <c r="C164" s="114"/>
      <c r="D164" s="112"/>
      <c r="E164" s="105"/>
      <c r="F164" s="105"/>
      <c r="G164" s="105"/>
      <c r="H164" s="106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08"/>
      <c r="AI164" s="105"/>
      <c r="AJ164" s="105"/>
      <c r="AK164" s="79"/>
      <c r="AL164" s="79"/>
      <c r="AM164" s="80"/>
      <c r="AN164" s="79"/>
      <c r="AO164" s="301"/>
      <c r="AY164" s="79"/>
      <c r="AZ164" s="301"/>
      <c r="BJ164" s="79"/>
      <c r="BK164" s="301"/>
      <c r="BU164" s="79"/>
      <c r="BV164" s="301"/>
    </row>
    <row r="165" spans="1:74" x14ac:dyDescent="0.25">
      <c r="B165" s="111"/>
      <c r="C165" s="114"/>
      <c r="D165" s="112"/>
      <c r="E165" s="105"/>
      <c r="F165" s="105"/>
      <c r="G165" s="105"/>
      <c r="H165" s="106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08"/>
      <c r="AI165" s="105"/>
      <c r="AJ165" s="105"/>
      <c r="AK165" s="79"/>
      <c r="AL165" s="79"/>
      <c r="AM165" s="80"/>
      <c r="AN165" s="79"/>
      <c r="AO165" s="301"/>
      <c r="AY165" s="79"/>
      <c r="AZ165" s="301"/>
      <c r="BJ165" s="79"/>
      <c r="BK165" s="301"/>
      <c r="BU165" s="79"/>
      <c r="BV165" s="301"/>
    </row>
    <row r="166" spans="1:74" x14ac:dyDescent="0.25">
      <c r="B166" s="111"/>
      <c r="C166" s="114"/>
      <c r="D166" s="112"/>
      <c r="E166" s="105"/>
      <c r="F166" s="105"/>
      <c r="G166" s="105"/>
      <c r="H166" s="106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08"/>
      <c r="AI166" s="105"/>
      <c r="AJ166" s="105"/>
      <c r="AK166" s="79"/>
      <c r="AL166" s="79"/>
      <c r="AM166" s="80"/>
      <c r="AN166" s="79"/>
      <c r="AO166" s="301"/>
      <c r="AY166" s="79"/>
      <c r="AZ166" s="301"/>
      <c r="BJ166" s="79"/>
      <c r="BK166" s="301"/>
      <c r="BU166" s="79"/>
      <c r="BV166" s="301"/>
    </row>
    <row r="167" spans="1:74" x14ac:dyDescent="0.25">
      <c r="B167" s="111"/>
      <c r="C167" s="114"/>
      <c r="D167" s="112"/>
      <c r="E167" s="105"/>
      <c r="F167" s="105"/>
      <c r="G167" s="105"/>
      <c r="H167" s="106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08"/>
      <c r="AI167" s="105"/>
      <c r="AJ167" s="105"/>
      <c r="AK167" s="79"/>
      <c r="AL167" s="79"/>
      <c r="AM167" s="80"/>
      <c r="AN167" s="79"/>
      <c r="AO167" s="301"/>
      <c r="AY167" s="79"/>
      <c r="AZ167" s="301"/>
      <c r="BJ167" s="79"/>
      <c r="BK167" s="301"/>
      <c r="BU167" s="79"/>
      <c r="BV167" s="301"/>
    </row>
    <row r="168" spans="1:74" x14ac:dyDescent="0.25">
      <c r="B168" s="111"/>
      <c r="C168" s="114"/>
      <c r="D168" s="112"/>
      <c r="E168" s="105"/>
      <c r="F168" s="105"/>
      <c r="G168" s="105"/>
      <c r="H168" s="106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08"/>
      <c r="AI168" s="105"/>
      <c r="AJ168" s="105"/>
      <c r="AK168" s="79"/>
      <c r="AL168" s="79"/>
      <c r="AM168" s="80"/>
      <c r="AN168" s="79"/>
      <c r="AO168" s="301"/>
      <c r="AY168" s="79"/>
      <c r="AZ168" s="301"/>
      <c r="BJ168" s="79"/>
      <c r="BK168" s="301"/>
      <c r="BU168" s="79"/>
      <c r="BV168" s="301"/>
    </row>
    <row r="169" spans="1:74" x14ac:dyDescent="0.25">
      <c r="B169" s="111"/>
      <c r="C169" s="114"/>
      <c r="D169" s="112"/>
      <c r="E169" s="105"/>
      <c r="F169" s="105"/>
      <c r="G169" s="105"/>
      <c r="H169" s="106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08"/>
      <c r="AI169" s="105"/>
      <c r="AJ169" s="105"/>
      <c r="AK169" s="79"/>
      <c r="AL169" s="79"/>
      <c r="AM169" s="80"/>
      <c r="AN169" s="79"/>
      <c r="AO169" s="301"/>
      <c r="AY169" s="79"/>
      <c r="AZ169" s="301"/>
      <c r="BJ169" s="79"/>
      <c r="BK169" s="301"/>
      <c r="BU169" s="79"/>
      <c r="BV169" s="301"/>
    </row>
    <row r="170" spans="1:74" x14ac:dyDescent="0.25">
      <c r="B170" s="111"/>
      <c r="C170" s="114"/>
      <c r="D170" s="112"/>
      <c r="E170" s="105"/>
      <c r="F170" s="105"/>
      <c r="G170" s="105"/>
      <c r="H170" s="106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08"/>
      <c r="AI170" s="105"/>
      <c r="AJ170" s="105"/>
      <c r="AK170" s="79"/>
      <c r="AL170" s="79"/>
      <c r="AM170" s="80"/>
      <c r="AN170" s="79"/>
      <c r="AO170" s="301"/>
      <c r="AY170" s="79"/>
      <c r="AZ170" s="301"/>
      <c r="BJ170" s="79"/>
      <c r="BK170" s="301"/>
      <c r="BU170" s="79"/>
      <c r="BV170" s="301"/>
    </row>
    <row r="171" spans="1:74" x14ac:dyDescent="0.25">
      <c r="B171" s="111"/>
      <c r="C171" s="114"/>
      <c r="D171" s="112"/>
      <c r="E171" s="105"/>
      <c r="F171" s="105"/>
      <c r="G171" s="105"/>
      <c r="H171" s="106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08"/>
      <c r="AI171" s="105"/>
      <c r="AJ171" s="105"/>
      <c r="AK171" s="79"/>
      <c r="AL171" s="79"/>
      <c r="AM171" s="80"/>
      <c r="AN171" s="79"/>
      <c r="AO171" s="301"/>
      <c r="AY171" s="79"/>
      <c r="AZ171" s="301"/>
      <c r="BJ171" s="79"/>
      <c r="BK171" s="301"/>
      <c r="BU171" s="79"/>
      <c r="BV171" s="301"/>
    </row>
    <row r="172" spans="1:74" x14ac:dyDescent="0.25">
      <c r="B172" s="111"/>
      <c r="C172" s="114"/>
      <c r="D172" s="112"/>
      <c r="E172" s="105"/>
      <c r="F172" s="105"/>
      <c r="G172" s="105"/>
      <c r="H172" s="106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08"/>
      <c r="AI172" s="105"/>
      <c r="AJ172" s="105"/>
      <c r="AK172" s="79"/>
      <c r="AL172" s="79"/>
      <c r="AM172" s="80"/>
      <c r="AN172" s="79"/>
      <c r="AO172" s="301"/>
      <c r="AY172" s="79"/>
      <c r="AZ172" s="301"/>
      <c r="BJ172" s="79"/>
      <c r="BK172" s="301"/>
      <c r="BU172" s="79"/>
      <c r="BV172" s="301"/>
    </row>
    <row r="173" spans="1:74" x14ac:dyDescent="0.25">
      <c r="B173" s="111"/>
      <c r="C173" s="114"/>
      <c r="D173" s="112"/>
      <c r="E173" s="105"/>
      <c r="F173" s="105"/>
      <c r="G173" s="105"/>
      <c r="H173" s="106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08"/>
      <c r="AI173" s="105"/>
      <c r="AJ173" s="105"/>
      <c r="AK173" s="79"/>
      <c r="AL173" s="79"/>
      <c r="AM173" s="80"/>
      <c r="AN173" s="79"/>
      <c r="AO173" s="301"/>
      <c r="AY173" s="79"/>
      <c r="AZ173" s="301"/>
      <c r="BJ173" s="79"/>
      <c r="BK173" s="301"/>
      <c r="BU173" s="79"/>
      <c r="BV173" s="301"/>
    </row>
    <row r="174" spans="1:74" x14ac:dyDescent="0.25">
      <c r="B174" s="111"/>
      <c r="C174" s="114"/>
      <c r="D174" s="112"/>
      <c r="E174" s="105"/>
      <c r="F174" s="105"/>
      <c r="G174" s="105"/>
      <c r="H174" s="106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08"/>
      <c r="AI174" s="105"/>
      <c r="AJ174" s="105"/>
      <c r="AK174" s="79"/>
      <c r="AL174" s="79"/>
      <c r="AM174" s="80"/>
      <c r="AN174" s="79"/>
      <c r="AO174" s="301"/>
      <c r="AY174" s="79"/>
      <c r="AZ174" s="301"/>
      <c r="BJ174" s="79"/>
      <c r="BK174" s="301"/>
      <c r="BU174" s="79"/>
      <c r="BV174" s="301"/>
    </row>
    <row r="175" spans="1:74" ht="13.8" thickBot="1" x14ac:dyDescent="0.3">
      <c r="B175" s="111"/>
      <c r="C175" s="114"/>
      <c r="D175" s="115"/>
      <c r="E175" s="105"/>
      <c r="F175" s="105"/>
      <c r="G175" s="105"/>
      <c r="H175" s="106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08"/>
      <c r="AI175" s="108"/>
      <c r="AJ175" s="108"/>
      <c r="AK175" s="79"/>
      <c r="AL175" s="79"/>
      <c r="AM175" s="80"/>
      <c r="AN175" s="79"/>
      <c r="AO175" s="301"/>
      <c r="AY175" s="79"/>
      <c r="AZ175" s="301"/>
      <c r="BJ175" s="79"/>
      <c r="BK175" s="301"/>
      <c r="BU175" s="79"/>
      <c r="BV175" s="301"/>
    </row>
    <row r="176" spans="1:74" x14ac:dyDescent="0.25">
      <c r="B176" s="111"/>
      <c r="C176" s="114"/>
      <c r="D176" s="116"/>
      <c r="E176" s="105"/>
      <c r="F176" s="105"/>
      <c r="G176" s="105"/>
      <c r="H176" s="106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08"/>
      <c r="AI176" s="108"/>
      <c r="AJ176" s="108"/>
      <c r="AK176" s="79"/>
      <c r="AL176" s="79"/>
      <c r="AM176" s="80"/>
      <c r="AN176" s="79"/>
      <c r="AO176" s="301"/>
      <c r="AY176" s="79"/>
      <c r="AZ176" s="301"/>
      <c r="BJ176" s="79"/>
      <c r="BK176" s="301"/>
      <c r="BU176" s="79"/>
      <c r="BV176" s="301"/>
    </row>
    <row r="177" spans="2:74" ht="13.8" thickBot="1" x14ac:dyDescent="0.3">
      <c r="B177" s="111"/>
      <c r="C177" s="114"/>
      <c r="D177" s="117"/>
      <c r="E177" s="105"/>
      <c r="F177" s="105"/>
      <c r="G177" s="105"/>
      <c r="H177" s="106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08"/>
      <c r="AI177" s="108"/>
      <c r="AJ177" s="108"/>
      <c r="AK177" s="79"/>
      <c r="AL177" s="79"/>
      <c r="AM177" s="80"/>
      <c r="AN177" s="79"/>
      <c r="AO177" s="301"/>
      <c r="AY177" s="79"/>
      <c r="AZ177" s="301"/>
      <c r="BJ177" s="79"/>
      <c r="BK177" s="301"/>
      <c r="BU177" s="79"/>
      <c r="BV177" s="301"/>
    </row>
    <row r="178" spans="2:74" ht="13.8" thickBot="1" x14ac:dyDescent="0.3">
      <c r="B178" s="118"/>
      <c r="C178" s="119"/>
      <c r="D178" s="117"/>
      <c r="E178" s="105"/>
      <c r="F178" s="105"/>
      <c r="G178" s="105"/>
      <c r="H178" s="106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08"/>
      <c r="AI178" s="108"/>
      <c r="AJ178" s="108"/>
      <c r="AK178" s="79"/>
      <c r="AL178" s="79"/>
      <c r="AM178" s="80"/>
      <c r="AN178" s="79"/>
      <c r="AO178" s="301"/>
      <c r="AY178" s="79"/>
      <c r="AZ178" s="301"/>
      <c r="BJ178" s="79"/>
      <c r="BK178" s="301"/>
      <c r="BU178" s="79"/>
      <c r="BV178" s="301"/>
    </row>
    <row r="179" spans="2:74" x14ac:dyDescent="0.25">
      <c r="B179" s="118"/>
      <c r="C179" s="119"/>
      <c r="D179" s="120"/>
      <c r="E179" s="105"/>
      <c r="F179" s="105"/>
      <c r="G179" s="105"/>
      <c r="H179" s="106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08"/>
      <c r="AI179" s="79"/>
      <c r="AJ179" s="79"/>
      <c r="AK179" s="79"/>
      <c r="AL179" s="79"/>
      <c r="AM179" s="80"/>
      <c r="AN179" s="79"/>
      <c r="AO179" s="301"/>
      <c r="AY179" s="79"/>
      <c r="AZ179" s="301"/>
      <c r="BJ179" s="79"/>
      <c r="BK179" s="301"/>
      <c r="BU179" s="79"/>
      <c r="BV179" s="301"/>
    </row>
    <row r="180" spans="2:74" x14ac:dyDescent="0.25">
      <c r="B180" s="118"/>
      <c r="C180" s="119"/>
      <c r="D180" s="120"/>
      <c r="E180" s="105"/>
      <c r="F180" s="105"/>
      <c r="G180" s="105"/>
      <c r="H180" s="106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79"/>
      <c r="AI180" s="79"/>
      <c r="AJ180" s="79"/>
      <c r="AK180" s="79"/>
      <c r="AL180" s="79"/>
      <c r="AM180" s="80"/>
      <c r="AN180" s="79"/>
      <c r="AO180" s="301"/>
      <c r="AY180" s="79"/>
      <c r="AZ180" s="301"/>
      <c r="BJ180" s="79"/>
      <c r="BK180" s="301"/>
      <c r="BU180" s="79"/>
      <c r="BV180" s="301"/>
    </row>
    <row r="181" spans="2:74" x14ac:dyDescent="0.25">
      <c r="B181" s="118"/>
      <c r="C181" s="119"/>
      <c r="D181" s="120"/>
      <c r="E181" s="105"/>
      <c r="F181" s="105"/>
      <c r="G181" s="105"/>
      <c r="H181" s="106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79"/>
      <c r="AI181" s="79"/>
      <c r="AJ181" s="79"/>
      <c r="AK181" s="79"/>
      <c r="AL181" s="79"/>
      <c r="AM181" s="80"/>
      <c r="AN181" s="79"/>
      <c r="AO181" s="301"/>
      <c r="AY181" s="79"/>
      <c r="AZ181" s="301"/>
      <c r="BJ181" s="79"/>
      <c r="BK181" s="301"/>
      <c r="BU181" s="79"/>
      <c r="BV181" s="301"/>
    </row>
    <row r="182" spans="2:74" x14ac:dyDescent="0.25">
      <c r="B182" s="118"/>
      <c r="C182" s="119"/>
      <c r="D182" s="120"/>
      <c r="E182" s="105"/>
      <c r="F182" s="105"/>
      <c r="G182" s="105"/>
      <c r="H182" s="106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79"/>
      <c r="AI182" s="79"/>
      <c r="AJ182" s="79"/>
      <c r="AK182" s="79"/>
      <c r="AL182" s="79"/>
      <c r="AM182" s="80"/>
      <c r="AN182" s="79"/>
      <c r="AO182" s="301"/>
      <c r="AY182" s="79"/>
      <c r="AZ182" s="301"/>
      <c r="BJ182" s="79"/>
      <c r="BK182" s="301"/>
      <c r="BU182" s="79"/>
      <c r="BV182" s="301"/>
    </row>
    <row r="183" spans="2:74" x14ac:dyDescent="0.25">
      <c r="B183" s="118"/>
      <c r="C183" s="119"/>
      <c r="D183" s="120"/>
      <c r="E183" s="105"/>
      <c r="F183" s="105"/>
      <c r="G183" s="105"/>
      <c r="H183" s="106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79"/>
      <c r="AI183" s="79"/>
      <c r="AJ183" s="79"/>
      <c r="AK183" s="79"/>
      <c r="AL183" s="79"/>
      <c r="AM183" s="80"/>
      <c r="AN183" s="79"/>
      <c r="AO183" s="301"/>
      <c r="AY183" s="79"/>
      <c r="AZ183" s="301"/>
      <c r="BJ183" s="79"/>
      <c r="BK183" s="301"/>
      <c r="BU183" s="79"/>
      <c r="BV183" s="301"/>
    </row>
    <row r="184" spans="2:74" x14ac:dyDescent="0.25">
      <c r="B184" s="118"/>
      <c r="C184" s="119"/>
      <c r="D184" s="120"/>
      <c r="E184" s="105"/>
      <c r="F184" s="105"/>
      <c r="G184" s="105"/>
      <c r="H184" s="106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79"/>
      <c r="AK184" s="79"/>
      <c r="AL184" s="79"/>
      <c r="AM184" s="80"/>
      <c r="AN184" s="79"/>
      <c r="AO184" s="301"/>
      <c r="AY184" s="79"/>
      <c r="AZ184" s="301"/>
      <c r="BJ184" s="79"/>
      <c r="BK184" s="301"/>
      <c r="BU184" s="79"/>
      <c r="BV184" s="301"/>
    </row>
    <row r="185" spans="2:74" x14ac:dyDescent="0.25">
      <c r="B185" s="118"/>
      <c r="C185" s="119"/>
      <c r="D185" s="120"/>
      <c r="E185" s="105"/>
      <c r="F185" s="105"/>
      <c r="G185" s="105"/>
      <c r="H185" s="106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79"/>
      <c r="AI185" s="79"/>
      <c r="AJ185" s="79"/>
      <c r="AK185" s="79"/>
      <c r="AL185" s="79"/>
      <c r="AM185" s="80"/>
      <c r="AN185" s="79"/>
      <c r="AO185" s="301"/>
      <c r="AY185" s="79"/>
      <c r="AZ185" s="301"/>
      <c r="BJ185" s="79"/>
      <c r="BK185" s="301"/>
      <c r="BU185" s="79"/>
      <c r="BV185" s="301"/>
    </row>
    <row r="186" spans="2:74" x14ac:dyDescent="0.25">
      <c r="B186" s="118"/>
      <c r="C186" s="119"/>
      <c r="D186" s="120"/>
      <c r="E186" s="105"/>
      <c r="F186" s="105"/>
      <c r="G186" s="105"/>
      <c r="H186" s="106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79"/>
      <c r="AI186" s="79"/>
      <c r="AJ186" s="79"/>
      <c r="AK186" s="79"/>
      <c r="AL186" s="79"/>
      <c r="AM186" s="80"/>
      <c r="AN186" s="79"/>
      <c r="AO186" s="301"/>
      <c r="AY186" s="79"/>
      <c r="AZ186" s="301"/>
      <c r="BJ186" s="79"/>
      <c r="BK186" s="301"/>
      <c r="BU186" s="79"/>
      <c r="BV186" s="301"/>
    </row>
    <row r="187" spans="2:74" x14ac:dyDescent="0.25">
      <c r="B187" s="118"/>
      <c r="C187" s="119"/>
      <c r="D187" s="120"/>
      <c r="E187" s="105"/>
      <c r="F187" s="105"/>
      <c r="G187" s="105"/>
      <c r="H187" s="106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79"/>
      <c r="AI187" s="79"/>
      <c r="AJ187" s="79"/>
      <c r="AK187" s="79"/>
      <c r="AL187" s="79"/>
      <c r="AM187" s="80"/>
      <c r="AN187" s="79"/>
      <c r="AO187" s="301"/>
      <c r="AY187" s="79"/>
      <c r="AZ187" s="301"/>
      <c r="BJ187" s="79"/>
      <c r="BK187" s="301"/>
      <c r="BU187" s="79"/>
      <c r="BV187" s="301"/>
    </row>
    <row r="188" spans="2:74" x14ac:dyDescent="0.25">
      <c r="B188" s="118"/>
      <c r="C188" s="119"/>
      <c r="D188" s="120"/>
      <c r="E188" s="105"/>
      <c r="F188" s="105"/>
      <c r="G188" s="105"/>
      <c r="H188" s="106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79"/>
      <c r="AI188" s="79"/>
      <c r="AJ188" s="79"/>
      <c r="AK188" s="79"/>
      <c r="AL188" s="79"/>
      <c r="AM188" s="80"/>
      <c r="AN188" s="79"/>
      <c r="AO188" s="301"/>
      <c r="AY188" s="79"/>
      <c r="AZ188" s="301"/>
      <c r="BJ188" s="79"/>
      <c r="BK188" s="301"/>
      <c r="BU188" s="79"/>
      <c r="BV188" s="301"/>
    </row>
    <row r="189" spans="2:74" x14ac:dyDescent="0.25">
      <c r="B189" s="118"/>
      <c r="C189" s="119"/>
      <c r="D189" s="120"/>
      <c r="E189" s="105"/>
      <c r="F189" s="105"/>
      <c r="G189" s="105"/>
      <c r="H189" s="106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79"/>
      <c r="AI189" s="79"/>
      <c r="AJ189" s="79"/>
      <c r="AK189" s="79"/>
      <c r="AL189" s="79"/>
      <c r="AM189" s="80"/>
      <c r="AN189" s="79"/>
      <c r="AO189" s="301"/>
      <c r="AY189" s="79"/>
      <c r="AZ189" s="301"/>
      <c r="BJ189" s="79"/>
      <c r="BK189" s="301"/>
      <c r="BU189" s="79"/>
      <c r="BV189" s="301"/>
    </row>
    <row r="190" spans="2:74" x14ac:dyDescent="0.25">
      <c r="B190" s="118"/>
      <c r="C190" s="119"/>
      <c r="D190" s="120"/>
      <c r="E190" s="105"/>
      <c r="F190" s="105"/>
      <c r="G190" s="105"/>
      <c r="H190" s="106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79"/>
      <c r="AI190" s="79"/>
      <c r="AJ190" s="79"/>
      <c r="AK190" s="79"/>
      <c r="AL190" s="79"/>
      <c r="AM190" s="80"/>
      <c r="AN190" s="79"/>
      <c r="AO190" s="301"/>
      <c r="AY190" s="79"/>
      <c r="AZ190" s="301"/>
      <c r="BJ190" s="79"/>
      <c r="BK190" s="301"/>
      <c r="BU190" s="79"/>
      <c r="BV190" s="301"/>
    </row>
    <row r="191" spans="2:74" x14ac:dyDescent="0.25">
      <c r="B191" s="118"/>
      <c r="C191" s="119"/>
      <c r="D191" s="120"/>
      <c r="E191" s="105"/>
      <c r="F191" s="105"/>
      <c r="G191" s="105"/>
      <c r="H191" s="106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79"/>
      <c r="AI191" s="79"/>
      <c r="AJ191" s="79"/>
      <c r="AK191" s="79"/>
      <c r="AL191" s="79"/>
      <c r="AM191" s="80"/>
      <c r="AN191" s="79"/>
      <c r="AO191" s="301"/>
      <c r="AY191" s="79"/>
      <c r="AZ191" s="301"/>
      <c r="BJ191" s="79"/>
      <c r="BK191" s="301"/>
      <c r="BU191" s="79"/>
      <c r="BV191" s="301"/>
    </row>
    <row r="192" spans="2:74" x14ac:dyDescent="0.25">
      <c r="B192" s="118"/>
      <c r="C192" s="119"/>
      <c r="D192" s="120"/>
      <c r="E192" s="105"/>
      <c r="F192" s="105"/>
      <c r="G192" s="105"/>
      <c r="H192" s="106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79"/>
      <c r="AI192" s="79"/>
      <c r="AJ192" s="79"/>
      <c r="AK192" s="79"/>
      <c r="AL192" s="79"/>
      <c r="AM192" s="80"/>
      <c r="AN192" s="79"/>
      <c r="AO192" s="301"/>
      <c r="AY192" s="79"/>
      <c r="AZ192" s="301"/>
      <c r="BJ192" s="79"/>
      <c r="BK192" s="301"/>
      <c r="BU192" s="79"/>
      <c r="BV192" s="301"/>
    </row>
    <row r="193" spans="2:74" x14ac:dyDescent="0.25">
      <c r="B193" s="118"/>
      <c r="C193" s="119"/>
      <c r="D193" s="120"/>
      <c r="E193" s="105"/>
      <c r="F193" s="105"/>
      <c r="G193" s="105"/>
      <c r="H193" s="106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79"/>
      <c r="AI193" s="79"/>
      <c r="AJ193" s="79"/>
      <c r="AK193" s="79"/>
      <c r="AL193" s="79"/>
      <c r="AM193" s="80"/>
      <c r="AN193" s="79"/>
      <c r="AO193" s="301"/>
      <c r="AY193" s="79"/>
      <c r="AZ193" s="301"/>
      <c r="BJ193" s="79"/>
      <c r="BK193" s="301"/>
      <c r="BU193" s="79"/>
      <c r="BV193" s="301"/>
    </row>
    <row r="194" spans="2:74" x14ac:dyDescent="0.25">
      <c r="B194" s="118"/>
      <c r="C194" s="119"/>
      <c r="D194" s="120"/>
      <c r="E194" s="105"/>
      <c r="F194" s="105"/>
      <c r="G194" s="105"/>
      <c r="H194" s="106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79"/>
      <c r="AI194" s="79"/>
      <c r="AJ194" s="79"/>
      <c r="AK194" s="79"/>
      <c r="AL194" s="79"/>
      <c r="AM194" s="80"/>
      <c r="AN194" s="79"/>
      <c r="AO194" s="301"/>
      <c r="AY194" s="79"/>
      <c r="AZ194" s="301"/>
      <c r="BJ194" s="79"/>
      <c r="BK194" s="301"/>
      <c r="BU194" s="79"/>
      <c r="BV194" s="301"/>
    </row>
    <row r="195" spans="2:74" x14ac:dyDescent="0.25">
      <c r="B195" s="118"/>
      <c r="C195" s="119"/>
      <c r="D195" s="120"/>
      <c r="E195" s="105"/>
      <c r="F195" s="105"/>
      <c r="G195" s="105"/>
      <c r="H195" s="106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79"/>
      <c r="AI195" s="79"/>
      <c r="AJ195" s="79"/>
      <c r="AK195" s="79"/>
      <c r="AL195" s="79"/>
      <c r="AM195" s="80"/>
      <c r="AN195" s="79"/>
      <c r="AO195" s="301"/>
      <c r="AY195" s="79"/>
      <c r="AZ195" s="301"/>
      <c r="BJ195" s="79"/>
      <c r="BK195" s="301"/>
      <c r="BU195" s="79"/>
      <c r="BV195" s="301"/>
    </row>
    <row r="196" spans="2:74" x14ac:dyDescent="0.25">
      <c r="B196" s="118"/>
      <c r="C196" s="119"/>
      <c r="D196" s="120"/>
      <c r="E196" s="105"/>
      <c r="F196" s="105"/>
      <c r="G196" s="105"/>
      <c r="H196" s="106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79"/>
      <c r="AI196" s="79"/>
      <c r="AJ196" s="79"/>
      <c r="AK196" s="79"/>
      <c r="AL196" s="79"/>
      <c r="AM196" s="80"/>
      <c r="AN196" s="79"/>
      <c r="AO196" s="301"/>
      <c r="AY196" s="79"/>
      <c r="AZ196" s="301"/>
      <c r="BJ196" s="79"/>
      <c r="BK196" s="301"/>
      <c r="BU196" s="79"/>
      <c r="BV196" s="301"/>
    </row>
    <row r="197" spans="2:74" x14ac:dyDescent="0.25">
      <c r="B197" s="118"/>
      <c r="C197" s="119"/>
      <c r="D197" s="120"/>
      <c r="E197" s="105"/>
      <c r="F197" s="105"/>
      <c r="G197" s="105"/>
      <c r="H197" s="106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79"/>
      <c r="AI197" s="79"/>
      <c r="AJ197" s="79"/>
      <c r="AK197" s="79"/>
      <c r="AL197" s="79"/>
      <c r="AM197" s="80"/>
      <c r="AN197" s="79"/>
      <c r="AO197" s="301"/>
      <c r="AY197" s="79"/>
      <c r="AZ197" s="301"/>
      <c r="BJ197" s="79"/>
      <c r="BK197" s="301"/>
      <c r="BU197" s="79"/>
      <c r="BV197" s="301"/>
    </row>
    <row r="198" spans="2:74" x14ac:dyDescent="0.25">
      <c r="B198" s="118"/>
      <c r="C198" s="119"/>
      <c r="D198" s="120"/>
      <c r="E198" s="105"/>
      <c r="F198" s="105"/>
      <c r="G198" s="105"/>
      <c r="H198" s="106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79"/>
      <c r="AI198" s="79"/>
      <c r="AJ198" s="79"/>
      <c r="AK198" s="79"/>
      <c r="AL198" s="79"/>
      <c r="AM198" s="80"/>
      <c r="AN198" s="79"/>
      <c r="AO198" s="301"/>
      <c r="AY198" s="79"/>
      <c r="AZ198" s="301"/>
      <c r="BJ198" s="79"/>
      <c r="BK198" s="301"/>
      <c r="BU198" s="79"/>
      <c r="BV198" s="301"/>
    </row>
    <row r="199" spans="2:74" x14ac:dyDescent="0.25">
      <c r="B199" s="118"/>
      <c r="C199" s="119"/>
      <c r="D199" s="120"/>
      <c r="E199" s="105"/>
      <c r="F199" s="105"/>
      <c r="G199" s="105"/>
      <c r="H199" s="106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79"/>
      <c r="AI199" s="79"/>
      <c r="AJ199" s="79"/>
      <c r="AK199" s="79"/>
      <c r="AL199" s="79"/>
      <c r="AM199" s="80"/>
      <c r="AN199" s="79"/>
      <c r="AO199" s="301"/>
      <c r="AY199" s="79"/>
      <c r="AZ199" s="301"/>
      <c r="BJ199" s="79"/>
      <c r="BK199" s="301"/>
      <c r="BU199" s="79"/>
      <c r="BV199" s="301"/>
    </row>
    <row r="200" spans="2:74" x14ac:dyDescent="0.25">
      <c r="B200" s="118"/>
      <c r="C200" s="119"/>
      <c r="D200" s="120"/>
      <c r="E200" s="105"/>
      <c r="F200" s="105"/>
      <c r="G200" s="105"/>
      <c r="H200" s="106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79"/>
      <c r="AI200" s="79"/>
      <c r="AJ200" s="79"/>
      <c r="AK200" s="79"/>
      <c r="AL200" s="79"/>
      <c r="AM200" s="80"/>
      <c r="AN200" s="79"/>
      <c r="AO200" s="301"/>
      <c r="AY200" s="79"/>
      <c r="AZ200" s="301"/>
      <c r="BJ200" s="79"/>
      <c r="BK200" s="301"/>
      <c r="BU200" s="79"/>
      <c r="BV200" s="301"/>
    </row>
    <row r="201" spans="2:74" x14ac:dyDescent="0.25">
      <c r="B201" s="118"/>
      <c r="C201" s="119"/>
      <c r="D201" s="120"/>
      <c r="E201" s="105"/>
      <c r="F201" s="105"/>
      <c r="G201" s="105"/>
      <c r="H201" s="106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79"/>
      <c r="AI201" s="79"/>
      <c r="AJ201" s="79"/>
      <c r="AK201" s="79"/>
      <c r="AL201" s="79"/>
      <c r="AM201" s="80"/>
      <c r="AN201" s="79"/>
      <c r="AO201" s="301"/>
      <c r="AY201" s="79"/>
      <c r="AZ201" s="301"/>
      <c r="BJ201" s="79"/>
      <c r="BK201" s="301"/>
      <c r="BU201" s="79"/>
      <c r="BV201" s="301"/>
    </row>
    <row r="202" spans="2:74" x14ac:dyDescent="0.25">
      <c r="B202" s="118"/>
      <c r="C202" s="119"/>
      <c r="D202" s="120"/>
      <c r="E202" s="105"/>
      <c r="F202" s="105"/>
      <c r="G202" s="105"/>
      <c r="H202" s="106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79"/>
      <c r="AI202" s="79"/>
      <c r="AJ202" s="79"/>
      <c r="AK202" s="79"/>
      <c r="AL202" s="79"/>
      <c r="AM202" s="80"/>
      <c r="AN202" s="79"/>
      <c r="AO202" s="301"/>
      <c r="AY202" s="79"/>
      <c r="AZ202" s="301"/>
      <c r="BJ202" s="79"/>
      <c r="BK202" s="301"/>
      <c r="BU202" s="79"/>
      <c r="BV202" s="301"/>
    </row>
    <row r="203" spans="2:74" x14ac:dyDescent="0.25">
      <c r="B203" s="118"/>
      <c r="C203" s="119"/>
      <c r="D203" s="120"/>
      <c r="E203" s="105"/>
      <c r="F203" s="105"/>
      <c r="G203" s="105"/>
      <c r="H203" s="106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79"/>
      <c r="AI203" s="79"/>
      <c r="AJ203" s="79"/>
      <c r="AK203" s="79"/>
      <c r="AL203" s="79"/>
      <c r="AM203" s="80"/>
      <c r="AN203" s="79"/>
      <c r="AO203" s="301"/>
      <c r="AY203" s="79"/>
      <c r="AZ203" s="301"/>
      <c r="BJ203" s="79"/>
      <c r="BK203" s="301"/>
      <c r="BU203" s="79"/>
      <c r="BV203" s="301"/>
    </row>
    <row r="204" spans="2:74" x14ac:dyDescent="0.25">
      <c r="B204" s="118"/>
      <c r="C204" s="119"/>
      <c r="D204" s="120"/>
      <c r="E204" s="105"/>
      <c r="F204" s="105"/>
      <c r="G204" s="105"/>
      <c r="H204" s="106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79"/>
      <c r="AI204" s="79"/>
      <c r="AJ204" s="79"/>
      <c r="AK204" s="79"/>
      <c r="AL204" s="79"/>
      <c r="AM204" s="80"/>
      <c r="AN204" s="79"/>
      <c r="AO204" s="301"/>
      <c r="AY204" s="79"/>
      <c r="AZ204" s="301"/>
      <c r="BJ204" s="79"/>
      <c r="BK204" s="301"/>
      <c r="BU204" s="79"/>
      <c r="BV204" s="301"/>
    </row>
    <row r="205" spans="2:74" x14ac:dyDescent="0.25">
      <c r="B205" s="118"/>
      <c r="C205" s="119"/>
      <c r="D205" s="120"/>
      <c r="E205" s="105"/>
      <c r="F205" s="105"/>
      <c r="G205" s="105"/>
      <c r="H205" s="106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79"/>
      <c r="AI205" s="79"/>
      <c r="AJ205" s="79"/>
      <c r="AK205" s="79"/>
      <c r="AL205" s="79"/>
      <c r="AM205" s="80"/>
      <c r="AN205" s="79"/>
      <c r="AO205" s="301"/>
      <c r="AY205" s="79"/>
      <c r="AZ205" s="301"/>
      <c r="BJ205" s="79"/>
      <c r="BK205" s="301"/>
      <c r="BU205" s="79"/>
      <c r="BV205" s="301"/>
    </row>
    <row r="206" spans="2:74" x14ac:dyDescent="0.25">
      <c r="B206" s="118"/>
      <c r="C206" s="119"/>
      <c r="D206" s="120"/>
      <c r="E206" s="105"/>
      <c r="F206" s="105"/>
      <c r="G206" s="105"/>
      <c r="H206" s="106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79"/>
      <c r="AI206" s="79"/>
      <c r="AJ206" s="79"/>
      <c r="AK206" s="79"/>
      <c r="AL206" s="79"/>
      <c r="AM206" s="80"/>
      <c r="AN206" s="79"/>
      <c r="AO206" s="301"/>
      <c r="AY206" s="79"/>
      <c r="AZ206" s="301"/>
      <c r="BJ206" s="79"/>
      <c r="BK206" s="301"/>
      <c r="BU206" s="79"/>
      <c r="BV206" s="301"/>
    </row>
    <row r="207" spans="2:74" x14ac:dyDescent="0.25">
      <c r="B207" s="118"/>
      <c r="C207" s="119"/>
      <c r="D207" s="120"/>
      <c r="E207" s="105"/>
      <c r="F207" s="105"/>
      <c r="G207" s="105"/>
      <c r="H207" s="106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79"/>
      <c r="AI207" s="79"/>
      <c r="AJ207" s="79"/>
      <c r="AK207" s="79"/>
      <c r="AL207" s="79"/>
      <c r="AM207" s="80"/>
      <c r="AN207" s="79"/>
      <c r="AO207" s="301"/>
      <c r="AY207" s="79"/>
      <c r="AZ207" s="301"/>
      <c r="BJ207" s="79"/>
      <c r="BK207" s="301"/>
      <c r="BU207" s="79"/>
      <c r="BV207" s="301"/>
    </row>
    <row r="208" spans="2:74" x14ac:dyDescent="0.25">
      <c r="B208" s="118"/>
      <c r="C208" s="119"/>
      <c r="D208" s="120"/>
      <c r="E208" s="105"/>
      <c r="F208" s="105"/>
      <c r="G208" s="105"/>
      <c r="H208" s="106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79"/>
      <c r="AI208" s="79"/>
      <c r="AJ208" s="79"/>
      <c r="AK208" s="79"/>
      <c r="AL208" s="79"/>
      <c r="AM208" s="80"/>
      <c r="AN208" s="79"/>
      <c r="AO208" s="301"/>
      <c r="AY208" s="79"/>
      <c r="AZ208" s="301"/>
      <c r="BJ208" s="79"/>
      <c r="BK208" s="301"/>
      <c r="BU208" s="79"/>
      <c r="BV208" s="301"/>
    </row>
    <row r="209" spans="2:74" x14ac:dyDescent="0.25">
      <c r="B209" s="121"/>
      <c r="C209" s="129"/>
      <c r="D209" s="120"/>
      <c r="E209" s="105"/>
      <c r="F209" s="105"/>
      <c r="G209" s="105"/>
      <c r="H209" s="106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79"/>
      <c r="AI209" s="79"/>
      <c r="AJ209" s="79"/>
      <c r="AK209" s="79"/>
      <c r="AL209" s="79"/>
      <c r="AM209" s="80"/>
      <c r="AN209" s="79"/>
      <c r="AO209" s="301"/>
      <c r="AY209" s="79"/>
      <c r="AZ209" s="301"/>
      <c r="BJ209" s="79"/>
      <c r="BK209" s="301"/>
      <c r="BU209" s="79"/>
      <c r="BV209" s="301"/>
    </row>
    <row r="210" spans="2:74" x14ac:dyDescent="0.25">
      <c r="B210" s="121"/>
      <c r="C210" s="129"/>
      <c r="D210" s="120"/>
      <c r="E210" s="105"/>
      <c r="F210" s="105"/>
      <c r="G210" s="105"/>
      <c r="H210" s="106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79"/>
      <c r="AI210" s="79"/>
      <c r="AJ210" s="79"/>
      <c r="AK210" s="79"/>
      <c r="AL210" s="79"/>
      <c r="AM210" s="80"/>
      <c r="AN210" s="79"/>
      <c r="AO210" s="301"/>
      <c r="AY210" s="79"/>
      <c r="AZ210" s="301"/>
      <c r="BJ210" s="79"/>
      <c r="BK210" s="301"/>
      <c r="BU210" s="79"/>
      <c r="BV210" s="301"/>
    </row>
    <row r="211" spans="2:74" x14ac:dyDescent="0.25">
      <c r="B211" s="121"/>
      <c r="C211" s="129"/>
      <c r="D211" s="120"/>
      <c r="E211" s="105"/>
      <c r="F211" s="105"/>
      <c r="G211" s="105"/>
      <c r="H211" s="106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79"/>
      <c r="AI211" s="79"/>
      <c r="AJ211" s="79"/>
      <c r="AK211" s="79"/>
      <c r="AL211" s="79"/>
      <c r="AM211" s="80"/>
      <c r="AN211" s="79"/>
      <c r="AO211" s="301"/>
      <c r="AY211" s="79"/>
      <c r="AZ211" s="301"/>
      <c r="BJ211" s="79"/>
      <c r="BK211" s="301"/>
      <c r="BU211" s="79"/>
      <c r="BV211" s="301"/>
    </row>
    <row r="212" spans="2:74" x14ac:dyDescent="0.25">
      <c r="B212" s="121"/>
      <c r="C212" s="129"/>
      <c r="D212" s="120"/>
      <c r="E212" s="105"/>
      <c r="F212" s="105"/>
      <c r="G212" s="105"/>
      <c r="H212" s="106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79"/>
      <c r="AI212" s="79"/>
      <c r="AJ212" s="79"/>
      <c r="AK212" s="79"/>
      <c r="AL212" s="79"/>
      <c r="AM212" s="80"/>
      <c r="AN212" s="79"/>
      <c r="AO212" s="301"/>
      <c r="AY212" s="79"/>
      <c r="AZ212" s="301"/>
      <c r="BJ212" s="79"/>
      <c r="BK212" s="301"/>
      <c r="BU212" s="79"/>
      <c r="BV212" s="301"/>
    </row>
    <row r="213" spans="2:74" x14ac:dyDescent="0.25">
      <c r="B213" s="121"/>
      <c r="C213" s="129"/>
      <c r="D213" s="120"/>
      <c r="E213" s="105"/>
      <c r="F213" s="105"/>
      <c r="G213" s="105"/>
      <c r="H213" s="106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79"/>
      <c r="AI213" s="79"/>
      <c r="AJ213" s="79"/>
      <c r="AK213" s="79"/>
      <c r="AL213" s="79"/>
      <c r="AM213" s="80"/>
      <c r="AN213" s="79"/>
      <c r="AO213" s="301"/>
      <c r="AY213" s="79"/>
      <c r="AZ213" s="301"/>
      <c r="BJ213" s="79"/>
      <c r="BK213" s="301"/>
      <c r="BU213" s="79"/>
      <c r="BV213" s="301"/>
    </row>
    <row r="214" spans="2:74" x14ac:dyDescent="0.25">
      <c r="B214" s="121"/>
      <c r="C214" s="129"/>
      <c r="D214" s="120"/>
      <c r="E214" s="105"/>
      <c r="F214" s="105"/>
      <c r="G214" s="105"/>
      <c r="H214" s="106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79"/>
      <c r="AI214" s="79"/>
      <c r="AJ214" s="79"/>
      <c r="AK214" s="79"/>
      <c r="AL214" s="79"/>
      <c r="AM214" s="80"/>
      <c r="AN214" s="79"/>
      <c r="AO214" s="301"/>
      <c r="AY214" s="79"/>
      <c r="AZ214" s="301"/>
      <c r="BJ214" s="79"/>
      <c r="BK214" s="301"/>
      <c r="BU214" s="79"/>
      <c r="BV214" s="301"/>
    </row>
    <row r="215" spans="2:74" x14ac:dyDescent="0.25">
      <c r="B215" s="121"/>
      <c r="C215" s="129"/>
      <c r="D215" s="120"/>
      <c r="E215" s="105"/>
      <c r="F215" s="105"/>
      <c r="G215" s="105"/>
      <c r="H215" s="106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79"/>
      <c r="AI215" s="79"/>
      <c r="AJ215" s="79"/>
      <c r="AK215" s="79"/>
      <c r="AL215" s="79"/>
      <c r="AM215" s="80"/>
      <c r="AN215" s="79"/>
      <c r="AO215" s="301"/>
      <c r="AY215" s="79"/>
      <c r="AZ215" s="301"/>
      <c r="BJ215" s="79"/>
      <c r="BK215" s="301"/>
      <c r="BU215" s="79"/>
      <c r="BV215" s="301"/>
    </row>
    <row r="216" spans="2:74" x14ac:dyDescent="0.25">
      <c r="B216" s="121"/>
      <c r="C216" s="129"/>
      <c r="D216" s="120"/>
      <c r="E216" s="105"/>
      <c r="F216" s="105"/>
      <c r="G216" s="105"/>
      <c r="H216" s="106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79"/>
      <c r="AI216" s="79"/>
      <c r="AJ216" s="79"/>
      <c r="AK216" s="79"/>
      <c r="AL216" s="79"/>
      <c r="AM216" s="80"/>
      <c r="AN216" s="79"/>
      <c r="AO216" s="301"/>
      <c r="AY216" s="79"/>
      <c r="AZ216" s="301"/>
      <c r="BJ216" s="79"/>
      <c r="BK216" s="301"/>
      <c r="BU216" s="79"/>
      <c r="BV216" s="301"/>
    </row>
    <row r="217" spans="2:74" x14ac:dyDescent="0.25">
      <c r="B217" s="121"/>
      <c r="C217" s="129"/>
      <c r="D217" s="120"/>
      <c r="E217" s="105"/>
      <c r="F217" s="105"/>
      <c r="G217" s="105"/>
      <c r="H217" s="106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79"/>
      <c r="AI217" s="79"/>
      <c r="AJ217" s="79"/>
      <c r="AK217" s="79"/>
      <c r="AL217" s="79"/>
      <c r="AM217" s="80"/>
      <c r="AN217" s="79"/>
      <c r="AO217" s="301"/>
      <c r="AY217" s="79"/>
      <c r="AZ217" s="301"/>
      <c r="BJ217" s="79"/>
      <c r="BK217" s="301"/>
      <c r="BU217" s="79"/>
      <c r="BV217" s="301"/>
    </row>
    <row r="218" spans="2:74" x14ac:dyDescent="0.25">
      <c r="B218" s="121"/>
      <c r="C218" s="129"/>
      <c r="D218" s="120"/>
      <c r="E218" s="105"/>
      <c r="F218" s="105"/>
      <c r="G218" s="105"/>
      <c r="H218" s="106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79"/>
      <c r="AI218" s="79"/>
      <c r="AJ218" s="79"/>
      <c r="AK218" s="79"/>
      <c r="AL218" s="79"/>
      <c r="AM218" s="80"/>
      <c r="AN218" s="79"/>
      <c r="AO218" s="301"/>
      <c r="AY218" s="79"/>
      <c r="AZ218" s="301"/>
      <c r="BJ218" s="79"/>
      <c r="BK218" s="301"/>
      <c r="BU218" s="79"/>
      <c r="BV218" s="301"/>
    </row>
    <row r="219" spans="2:74" x14ac:dyDescent="0.25">
      <c r="B219" s="121"/>
      <c r="C219" s="129"/>
      <c r="D219" s="120"/>
      <c r="E219" s="105"/>
      <c r="F219" s="105"/>
      <c r="G219" s="105"/>
      <c r="H219" s="106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79"/>
      <c r="AI219" s="79"/>
      <c r="AJ219" s="79"/>
      <c r="AK219" s="79"/>
      <c r="AL219" s="79"/>
      <c r="AM219" s="80"/>
      <c r="AN219" s="79"/>
      <c r="AO219" s="301"/>
      <c r="AY219" s="79"/>
      <c r="AZ219" s="301"/>
      <c r="BJ219" s="79"/>
      <c r="BK219" s="301"/>
      <c r="BU219" s="79"/>
      <c r="BV219" s="301"/>
    </row>
    <row r="220" spans="2:74" x14ac:dyDescent="0.25">
      <c r="B220" s="121"/>
      <c r="C220" s="129"/>
      <c r="D220" s="120"/>
      <c r="E220" s="105"/>
      <c r="F220" s="105"/>
      <c r="G220" s="105"/>
      <c r="H220" s="106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79"/>
      <c r="AI220" s="79"/>
      <c r="AJ220" s="79"/>
      <c r="AK220" s="79"/>
      <c r="AL220" s="79"/>
      <c r="AM220" s="80"/>
      <c r="AN220" s="79"/>
      <c r="AO220" s="301"/>
      <c r="AY220" s="79"/>
      <c r="AZ220" s="301"/>
      <c r="BJ220" s="79"/>
      <c r="BK220" s="301"/>
      <c r="BU220" s="79"/>
      <c r="BV220" s="301"/>
    </row>
    <row r="221" spans="2:74" x14ac:dyDescent="0.25">
      <c r="B221" s="121"/>
      <c r="C221" s="129"/>
      <c r="D221" s="120"/>
      <c r="E221" s="105"/>
      <c r="F221" s="105"/>
      <c r="G221" s="105"/>
      <c r="H221" s="106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79"/>
      <c r="AI221" s="79"/>
      <c r="AJ221" s="79"/>
      <c r="AK221" s="79"/>
      <c r="AL221" s="79"/>
      <c r="AM221" s="80"/>
      <c r="AN221" s="79"/>
      <c r="AO221" s="301"/>
      <c r="AY221" s="79"/>
      <c r="AZ221" s="301"/>
      <c r="BJ221" s="79"/>
      <c r="BK221" s="301"/>
      <c r="BU221" s="79"/>
      <c r="BV221" s="301"/>
    </row>
  </sheetData>
  <phoneticPr fontId="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124"/>
  <sheetViews>
    <sheetView workbookViewId="0">
      <selection activeCell="N2" sqref="N2"/>
    </sheetView>
  </sheetViews>
  <sheetFormatPr defaultColWidth="9.109375" defaultRowHeight="13.2" x14ac:dyDescent="0.25"/>
  <cols>
    <col min="1" max="1" width="8.44140625" style="79" bestFit="1" customWidth="1"/>
    <col min="2" max="3" width="5.33203125" style="79" bestFit="1" customWidth="1"/>
    <col min="4" max="4" width="5" style="79" bestFit="1" customWidth="1"/>
    <col min="5" max="5" width="5.33203125" style="79" bestFit="1" customWidth="1"/>
    <col min="6" max="6" width="5" style="79" bestFit="1" customWidth="1"/>
    <col min="7" max="7" width="5.33203125" style="79" bestFit="1" customWidth="1"/>
    <col min="8" max="8" width="6" style="79" bestFit="1" customWidth="1"/>
    <col min="9" max="9" width="5.44140625" style="79" bestFit="1" customWidth="1"/>
    <col min="10" max="10" width="6" style="79" bestFit="1" customWidth="1"/>
    <col min="11" max="12" width="5.33203125" style="79" bestFit="1" customWidth="1"/>
    <col min="13" max="14" width="4.88671875" style="79" bestFit="1" customWidth="1"/>
    <col min="15" max="15" width="5.33203125" style="79" bestFit="1" customWidth="1"/>
    <col min="16" max="16" width="5.5546875" style="79" bestFit="1" customWidth="1"/>
    <col min="17" max="17" width="6.44140625" style="79" bestFit="1" customWidth="1"/>
    <col min="18" max="18" width="5.5546875" style="79" bestFit="1" customWidth="1"/>
    <col min="19" max="21" width="6.44140625" style="79" bestFit="1" customWidth="1"/>
    <col min="22" max="16384" width="9.109375" style="208"/>
  </cols>
  <sheetData>
    <row r="1" spans="1:34" customFormat="1" ht="13.8" thickBot="1" x14ac:dyDescent="0.3">
      <c r="A1" s="360" t="s">
        <v>285</v>
      </c>
      <c r="B1" s="361">
        <v>-5</v>
      </c>
      <c r="C1" s="362">
        <v>-4</v>
      </c>
      <c r="D1" s="363">
        <v>-3.5</v>
      </c>
      <c r="E1" s="363">
        <v>-3</v>
      </c>
      <c r="F1" s="363">
        <v>-2.5</v>
      </c>
      <c r="G1" s="363">
        <v>-2</v>
      </c>
      <c r="H1" s="363">
        <v>-1.5</v>
      </c>
      <c r="I1" s="363">
        <v>-1</v>
      </c>
      <c r="J1" s="363">
        <v>-0.5</v>
      </c>
      <c r="K1" s="363">
        <v>0</v>
      </c>
      <c r="L1" s="363">
        <v>0.5</v>
      </c>
      <c r="M1" s="363">
        <v>1</v>
      </c>
      <c r="N1" s="363">
        <v>1.5</v>
      </c>
      <c r="O1" s="363">
        <v>2</v>
      </c>
      <c r="P1" s="363">
        <v>2.5</v>
      </c>
      <c r="Q1" s="363">
        <v>3</v>
      </c>
      <c r="R1" s="363">
        <v>4</v>
      </c>
      <c r="S1" s="363">
        <v>5</v>
      </c>
      <c r="T1" s="364">
        <v>10</v>
      </c>
      <c r="U1" s="365">
        <v>40</v>
      </c>
    </row>
    <row r="2" spans="1:34" customFormat="1" x14ac:dyDescent="0.25">
      <c r="A2" s="366">
        <v>37226</v>
      </c>
      <c r="B2" s="367">
        <v>4.5</v>
      </c>
      <c r="C2" s="368">
        <v>3.5</v>
      </c>
      <c r="D2" s="369">
        <v>2.25</v>
      </c>
      <c r="E2" s="370">
        <v>1.25</v>
      </c>
      <c r="F2" s="371">
        <v>0.5</v>
      </c>
      <c r="G2" s="371">
        <v>0.25</v>
      </c>
      <c r="H2" s="370">
        <v>0</v>
      </c>
      <c r="I2" s="371">
        <v>-0.25</v>
      </c>
      <c r="J2" s="370">
        <v>-0.25</v>
      </c>
      <c r="K2" s="370">
        <v>0</v>
      </c>
      <c r="L2" s="370">
        <v>2.25</v>
      </c>
      <c r="M2" s="371">
        <v>4.5</v>
      </c>
      <c r="N2" s="371">
        <v>6.75</v>
      </c>
      <c r="O2" s="370">
        <v>9</v>
      </c>
      <c r="P2" s="371">
        <v>11.25</v>
      </c>
      <c r="Q2" s="370">
        <v>13.5</v>
      </c>
      <c r="R2" s="371">
        <v>18</v>
      </c>
      <c r="S2" s="372">
        <v>20.25</v>
      </c>
      <c r="T2" s="373">
        <v>25</v>
      </c>
      <c r="U2" s="368">
        <v>50</v>
      </c>
    </row>
    <row r="3" spans="1:34" customFormat="1" x14ac:dyDescent="0.25">
      <c r="A3" s="366">
        <v>37257</v>
      </c>
      <c r="B3" s="374">
        <v>4.5</v>
      </c>
      <c r="C3" s="375">
        <v>3.5</v>
      </c>
      <c r="D3" s="369">
        <v>2.25</v>
      </c>
      <c r="E3" s="370">
        <v>1.25</v>
      </c>
      <c r="F3" s="371">
        <v>0.25</v>
      </c>
      <c r="G3" s="371">
        <v>-0.25</v>
      </c>
      <c r="H3" s="376">
        <v>-0.75</v>
      </c>
      <c r="I3" s="371">
        <v>-1.5</v>
      </c>
      <c r="J3" s="376">
        <v>-0.75</v>
      </c>
      <c r="K3" s="376">
        <v>0</v>
      </c>
      <c r="L3" s="376">
        <v>2.25</v>
      </c>
      <c r="M3" s="371">
        <v>4.5</v>
      </c>
      <c r="N3" s="371">
        <v>6.75</v>
      </c>
      <c r="O3" s="376">
        <v>9</v>
      </c>
      <c r="P3" s="371">
        <v>11.25</v>
      </c>
      <c r="Q3" s="376">
        <v>13.5</v>
      </c>
      <c r="R3" s="371">
        <v>18</v>
      </c>
      <c r="S3" s="377">
        <v>20.25</v>
      </c>
      <c r="T3" s="378">
        <v>25</v>
      </c>
      <c r="U3" s="375">
        <v>50</v>
      </c>
    </row>
    <row r="4" spans="1:34" customFormat="1" x14ac:dyDescent="0.25">
      <c r="A4" s="366">
        <v>37288</v>
      </c>
      <c r="B4" s="374">
        <v>4.5</v>
      </c>
      <c r="C4" s="375">
        <v>3.5</v>
      </c>
      <c r="D4" s="369">
        <v>2.25</v>
      </c>
      <c r="E4" s="370">
        <v>1.25</v>
      </c>
      <c r="F4" s="371">
        <v>0.25</v>
      </c>
      <c r="G4" s="371">
        <v>-0.25</v>
      </c>
      <c r="H4" s="376">
        <v>-0.75</v>
      </c>
      <c r="I4" s="371">
        <v>-1.5</v>
      </c>
      <c r="J4" s="376">
        <v>-0.75</v>
      </c>
      <c r="K4" s="376">
        <v>0</v>
      </c>
      <c r="L4" s="376">
        <v>2.25</v>
      </c>
      <c r="M4" s="371">
        <v>4.5</v>
      </c>
      <c r="N4" s="371">
        <v>6.75</v>
      </c>
      <c r="O4" s="376">
        <v>9</v>
      </c>
      <c r="P4" s="371">
        <v>11.25</v>
      </c>
      <c r="Q4" s="376">
        <v>13.5</v>
      </c>
      <c r="R4" s="371">
        <v>18</v>
      </c>
      <c r="S4" s="377">
        <v>20.25</v>
      </c>
      <c r="T4" s="378">
        <v>25</v>
      </c>
      <c r="U4" s="375">
        <v>50</v>
      </c>
    </row>
    <row r="5" spans="1:34" customFormat="1" x14ac:dyDescent="0.25">
      <c r="A5" s="366">
        <v>37316</v>
      </c>
      <c r="B5" s="374">
        <v>4.5</v>
      </c>
      <c r="C5" s="375">
        <v>3.5</v>
      </c>
      <c r="D5" s="369">
        <v>2.25</v>
      </c>
      <c r="E5" s="370">
        <v>1.25</v>
      </c>
      <c r="F5" s="371">
        <v>0.25</v>
      </c>
      <c r="G5" s="371">
        <v>-0.25</v>
      </c>
      <c r="H5" s="376">
        <v>-0.75</v>
      </c>
      <c r="I5" s="371">
        <v>-1.5</v>
      </c>
      <c r="J5" s="376">
        <v>-0.75</v>
      </c>
      <c r="K5" s="376">
        <v>0</v>
      </c>
      <c r="L5" s="376">
        <v>2.25</v>
      </c>
      <c r="M5" s="371">
        <v>4.5</v>
      </c>
      <c r="N5" s="371">
        <v>6.75</v>
      </c>
      <c r="O5" s="376">
        <v>9</v>
      </c>
      <c r="P5" s="371">
        <v>11.25</v>
      </c>
      <c r="Q5" s="376">
        <v>13.5</v>
      </c>
      <c r="R5" s="371">
        <v>18</v>
      </c>
      <c r="S5" s="377">
        <v>20.25</v>
      </c>
      <c r="T5" s="378">
        <v>25</v>
      </c>
      <c r="U5" s="375">
        <v>50</v>
      </c>
    </row>
    <row r="6" spans="1:34" customFormat="1" x14ac:dyDescent="0.25">
      <c r="A6" s="366">
        <v>37347</v>
      </c>
      <c r="B6" s="374">
        <v>4</v>
      </c>
      <c r="C6" s="375">
        <v>3</v>
      </c>
      <c r="D6" s="369">
        <v>1.5</v>
      </c>
      <c r="E6" s="370">
        <v>0.5</v>
      </c>
      <c r="F6" s="371">
        <v>0.1</v>
      </c>
      <c r="G6" s="371">
        <v>-0.25</v>
      </c>
      <c r="H6" s="376">
        <v>-0.75</v>
      </c>
      <c r="I6" s="371">
        <v>-1.25</v>
      </c>
      <c r="J6" s="376">
        <v>-0.75</v>
      </c>
      <c r="K6" s="376">
        <v>0</v>
      </c>
      <c r="L6" s="376">
        <v>2</v>
      </c>
      <c r="M6" s="371">
        <v>2.75</v>
      </c>
      <c r="N6" s="371">
        <v>3.5</v>
      </c>
      <c r="O6" s="376">
        <v>4.5</v>
      </c>
      <c r="P6" s="371">
        <v>5.5</v>
      </c>
      <c r="Q6" s="376">
        <v>6.5</v>
      </c>
      <c r="R6" s="371">
        <v>7.5</v>
      </c>
      <c r="S6" s="377">
        <v>8.5</v>
      </c>
      <c r="T6" s="379">
        <v>11</v>
      </c>
      <c r="U6" s="380">
        <v>29</v>
      </c>
      <c r="AG6" s="208"/>
      <c r="AH6" s="208"/>
    </row>
    <row r="7" spans="1:34" customFormat="1" x14ac:dyDescent="0.25">
      <c r="A7" s="366">
        <v>37377</v>
      </c>
      <c r="B7" s="374">
        <v>3</v>
      </c>
      <c r="C7" s="375">
        <v>2</v>
      </c>
      <c r="D7" s="369">
        <v>1</v>
      </c>
      <c r="E7" s="370">
        <v>0.75</v>
      </c>
      <c r="F7" s="371">
        <v>0.25</v>
      </c>
      <c r="G7" s="371">
        <v>-0.25</v>
      </c>
      <c r="H7" s="376">
        <v>-0.75</v>
      </c>
      <c r="I7" s="371">
        <v>-1</v>
      </c>
      <c r="J7" s="376">
        <v>-0.7</v>
      </c>
      <c r="K7" s="376">
        <v>0</v>
      </c>
      <c r="L7" s="376">
        <v>1.75</v>
      </c>
      <c r="M7" s="371">
        <v>2.5</v>
      </c>
      <c r="N7" s="371">
        <v>3.25</v>
      </c>
      <c r="O7" s="376">
        <v>4.25</v>
      </c>
      <c r="P7" s="371">
        <v>5.25</v>
      </c>
      <c r="Q7" s="376">
        <v>6</v>
      </c>
      <c r="R7" s="371">
        <v>7</v>
      </c>
      <c r="S7" s="377">
        <v>8</v>
      </c>
      <c r="T7" s="378">
        <v>9</v>
      </c>
      <c r="U7" s="375">
        <v>29</v>
      </c>
    </row>
    <row r="8" spans="1:34" customFormat="1" x14ac:dyDescent="0.25">
      <c r="A8" s="366">
        <v>37408</v>
      </c>
      <c r="B8" s="374">
        <v>3</v>
      </c>
      <c r="C8" s="375">
        <v>2</v>
      </c>
      <c r="D8" s="369">
        <v>1</v>
      </c>
      <c r="E8" s="370">
        <v>0.75</v>
      </c>
      <c r="F8" s="371">
        <v>0.25</v>
      </c>
      <c r="G8" s="371">
        <v>-0.25</v>
      </c>
      <c r="H8" s="376">
        <v>-0.75</v>
      </c>
      <c r="I8" s="371">
        <v>-1</v>
      </c>
      <c r="J8" s="376">
        <v>-0.7</v>
      </c>
      <c r="K8" s="376">
        <v>0</v>
      </c>
      <c r="L8" s="376">
        <v>1.75</v>
      </c>
      <c r="M8" s="371">
        <v>2.5</v>
      </c>
      <c r="N8" s="371">
        <v>3.25</v>
      </c>
      <c r="O8" s="376">
        <v>4.25</v>
      </c>
      <c r="P8" s="371">
        <v>5.25</v>
      </c>
      <c r="Q8" s="376">
        <v>6</v>
      </c>
      <c r="R8" s="371">
        <v>7</v>
      </c>
      <c r="S8" s="377">
        <v>8</v>
      </c>
      <c r="T8" s="378">
        <v>9</v>
      </c>
      <c r="U8" s="375">
        <v>29</v>
      </c>
    </row>
    <row r="9" spans="1:34" customFormat="1" x14ac:dyDescent="0.25">
      <c r="A9" s="366">
        <v>37438</v>
      </c>
      <c r="B9" s="374">
        <v>3</v>
      </c>
      <c r="C9" s="375">
        <v>2</v>
      </c>
      <c r="D9" s="369">
        <v>1</v>
      </c>
      <c r="E9" s="370">
        <v>0.75</v>
      </c>
      <c r="F9" s="371">
        <v>0.25</v>
      </c>
      <c r="G9" s="371">
        <v>-0.25</v>
      </c>
      <c r="H9" s="376">
        <v>-0.75</v>
      </c>
      <c r="I9" s="371">
        <v>-1</v>
      </c>
      <c r="J9" s="376">
        <v>-0.7</v>
      </c>
      <c r="K9" s="376">
        <v>0</v>
      </c>
      <c r="L9" s="376">
        <v>1.75</v>
      </c>
      <c r="M9" s="371">
        <v>2.5</v>
      </c>
      <c r="N9" s="371">
        <v>3.25</v>
      </c>
      <c r="O9" s="376">
        <v>4.25</v>
      </c>
      <c r="P9" s="371">
        <v>5.25</v>
      </c>
      <c r="Q9" s="376">
        <v>6</v>
      </c>
      <c r="R9" s="371">
        <v>7</v>
      </c>
      <c r="S9" s="377">
        <v>8</v>
      </c>
      <c r="T9" s="378">
        <v>9</v>
      </c>
      <c r="U9" s="375">
        <v>29</v>
      </c>
    </row>
    <row r="10" spans="1:34" customFormat="1" ht="13.8" thickBot="1" x14ac:dyDescent="0.3">
      <c r="A10" s="366">
        <v>37469</v>
      </c>
      <c r="B10" s="374">
        <v>3</v>
      </c>
      <c r="C10" s="375">
        <v>2</v>
      </c>
      <c r="D10" s="369">
        <v>1</v>
      </c>
      <c r="E10" s="370">
        <v>0.75</v>
      </c>
      <c r="F10" s="371">
        <v>0.25</v>
      </c>
      <c r="G10" s="371">
        <v>-0.25</v>
      </c>
      <c r="H10" s="376">
        <v>-0.75</v>
      </c>
      <c r="I10" s="371">
        <v>-1</v>
      </c>
      <c r="J10" s="376">
        <v>-0.7</v>
      </c>
      <c r="K10" s="376">
        <v>0</v>
      </c>
      <c r="L10" s="376">
        <v>1.75</v>
      </c>
      <c r="M10" s="371">
        <v>2.5</v>
      </c>
      <c r="N10" s="371">
        <v>3.25</v>
      </c>
      <c r="O10" s="376">
        <v>4.25</v>
      </c>
      <c r="P10" s="371">
        <v>5.25</v>
      </c>
      <c r="Q10" s="376">
        <v>6</v>
      </c>
      <c r="R10" s="371">
        <v>7</v>
      </c>
      <c r="S10" s="377">
        <v>8</v>
      </c>
      <c r="T10" s="378">
        <v>9</v>
      </c>
      <c r="U10" s="375">
        <v>29</v>
      </c>
    </row>
    <row r="11" spans="1:34" customFormat="1" ht="13.5" customHeight="1" thickBot="1" x14ac:dyDescent="0.35">
      <c r="A11" s="381">
        <v>37500</v>
      </c>
      <c r="B11" s="382">
        <v>3</v>
      </c>
      <c r="C11" s="383">
        <v>2</v>
      </c>
      <c r="D11" s="384">
        <v>1</v>
      </c>
      <c r="E11" s="385">
        <v>0.75</v>
      </c>
      <c r="F11" s="386">
        <v>0.25</v>
      </c>
      <c r="G11" s="386">
        <v>-0.25</v>
      </c>
      <c r="H11" s="385">
        <v>-0.75</v>
      </c>
      <c r="I11" s="386">
        <v>-1</v>
      </c>
      <c r="J11" s="385">
        <v>-0.7</v>
      </c>
      <c r="K11" s="385">
        <v>0</v>
      </c>
      <c r="L11" s="385">
        <v>1.75</v>
      </c>
      <c r="M11" s="386">
        <v>2.5</v>
      </c>
      <c r="N11" s="386">
        <v>3.25</v>
      </c>
      <c r="O11" s="385">
        <v>4.25</v>
      </c>
      <c r="P11" s="386">
        <v>5.25</v>
      </c>
      <c r="Q11" s="385">
        <v>6</v>
      </c>
      <c r="R11" s="386">
        <v>7</v>
      </c>
      <c r="S11" s="383">
        <v>8</v>
      </c>
      <c r="T11" s="387">
        <v>9</v>
      </c>
      <c r="U11" s="388">
        <v>29</v>
      </c>
      <c r="AD11" s="401">
        <v>36982</v>
      </c>
      <c r="AE11" s="402"/>
    </row>
    <row r="12" spans="1:34" customFormat="1" x14ac:dyDescent="0.25">
      <c r="A12" s="381">
        <v>37530</v>
      </c>
      <c r="B12" s="382">
        <v>3</v>
      </c>
      <c r="C12" s="383">
        <v>2</v>
      </c>
      <c r="D12" s="384">
        <v>1</v>
      </c>
      <c r="E12" s="385">
        <v>0.75</v>
      </c>
      <c r="F12" s="386">
        <v>0.25</v>
      </c>
      <c r="G12" s="386">
        <v>-0.25</v>
      </c>
      <c r="H12" s="385">
        <v>-0.75</v>
      </c>
      <c r="I12" s="386">
        <v>-1</v>
      </c>
      <c r="J12" s="385">
        <v>-0.7</v>
      </c>
      <c r="K12" s="385">
        <v>0</v>
      </c>
      <c r="L12" s="385">
        <v>1.75</v>
      </c>
      <c r="M12" s="386">
        <v>2.5</v>
      </c>
      <c r="N12" s="386">
        <v>3.25</v>
      </c>
      <c r="O12" s="385">
        <v>4.25</v>
      </c>
      <c r="P12" s="386">
        <v>5.25</v>
      </c>
      <c r="Q12" s="385">
        <v>6</v>
      </c>
      <c r="R12" s="386">
        <v>7</v>
      </c>
      <c r="S12" s="383">
        <v>8</v>
      </c>
      <c r="T12" s="387">
        <v>9</v>
      </c>
      <c r="U12" s="388">
        <v>29</v>
      </c>
    </row>
    <row r="13" spans="1:34" customFormat="1" x14ac:dyDescent="0.25">
      <c r="A13" s="381">
        <v>37561</v>
      </c>
      <c r="B13" s="382">
        <v>3</v>
      </c>
      <c r="C13" s="383">
        <v>2</v>
      </c>
      <c r="D13" s="384">
        <v>1</v>
      </c>
      <c r="E13" s="385">
        <v>0.75</v>
      </c>
      <c r="F13" s="386">
        <v>0.25</v>
      </c>
      <c r="G13" s="386">
        <v>-0.25</v>
      </c>
      <c r="H13" s="385">
        <v>-0.75</v>
      </c>
      <c r="I13" s="386">
        <v>-1</v>
      </c>
      <c r="J13" s="385">
        <v>-0.7</v>
      </c>
      <c r="K13" s="385">
        <v>0</v>
      </c>
      <c r="L13" s="385">
        <v>1.25</v>
      </c>
      <c r="M13" s="386">
        <v>1.75</v>
      </c>
      <c r="N13" s="386">
        <v>2.5</v>
      </c>
      <c r="O13" s="385">
        <v>3.25</v>
      </c>
      <c r="P13" s="386">
        <v>3.75</v>
      </c>
      <c r="Q13" s="385">
        <v>4.25</v>
      </c>
      <c r="R13" s="386">
        <v>4.75</v>
      </c>
      <c r="S13" s="383">
        <v>5.75</v>
      </c>
      <c r="T13" s="387">
        <v>8.1999999999999993</v>
      </c>
      <c r="U13" s="388">
        <v>29</v>
      </c>
    </row>
    <row r="14" spans="1:34" customFormat="1" x14ac:dyDescent="0.25">
      <c r="A14" s="381">
        <v>37591</v>
      </c>
      <c r="B14" s="382">
        <v>3</v>
      </c>
      <c r="C14" s="383">
        <v>2</v>
      </c>
      <c r="D14" s="384">
        <v>1</v>
      </c>
      <c r="E14" s="385">
        <v>0.75</v>
      </c>
      <c r="F14" s="386">
        <v>0.25</v>
      </c>
      <c r="G14" s="386">
        <v>-0.25</v>
      </c>
      <c r="H14" s="385">
        <v>-0.75</v>
      </c>
      <c r="I14" s="386">
        <v>-1</v>
      </c>
      <c r="J14" s="385">
        <v>-0.7</v>
      </c>
      <c r="K14" s="385">
        <v>0</v>
      </c>
      <c r="L14" s="385">
        <v>1.25</v>
      </c>
      <c r="M14" s="386">
        <v>1.75</v>
      </c>
      <c r="N14" s="386">
        <v>2.5</v>
      </c>
      <c r="O14" s="385">
        <v>3.25</v>
      </c>
      <c r="P14" s="386">
        <v>3.75</v>
      </c>
      <c r="Q14" s="385">
        <v>4.25</v>
      </c>
      <c r="R14" s="386">
        <v>4.75</v>
      </c>
      <c r="S14" s="383">
        <v>5.75</v>
      </c>
      <c r="T14" s="387">
        <v>8.1999999999999993</v>
      </c>
      <c r="U14" s="388">
        <v>29</v>
      </c>
    </row>
    <row r="15" spans="1:34" customFormat="1" x14ac:dyDescent="0.25">
      <c r="A15" s="381">
        <v>37622</v>
      </c>
      <c r="B15" s="382">
        <v>3</v>
      </c>
      <c r="C15" s="383">
        <v>2</v>
      </c>
      <c r="D15" s="384">
        <v>1</v>
      </c>
      <c r="E15" s="385">
        <v>0.75</v>
      </c>
      <c r="F15" s="386">
        <v>0.25</v>
      </c>
      <c r="G15" s="386">
        <v>-0.25</v>
      </c>
      <c r="H15" s="385">
        <v>-0.75</v>
      </c>
      <c r="I15" s="386">
        <v>-1</v>
      </c>
      <c r="J15" s="385">
        <v>-0.7</v>
      </c>
      <c r="K15" s="385">
        <v>0</v>
      </c>
      <c r="L15" s="385">
        <v>1.25</v>
      </c>
      <c r="M15" s="386">
        <v>1.75</v>
      </c>
      <c r="N15" s="386">
        <v>2.5</v>
      </c>
      <c r="O15" s="385">
        <v>3.25</v>
      </c>
      <c r="P15" s="386">
        <v>3.75</v>
      </c>
      <c r="Q15" s="385">
        <v>4.25</v>
      </c>
      <c r="R15" s="386">
        <v>4.75</v>
      </c>
      <c r="S15" s="383">
        <v>5.75</v>
      </c>
      <c r="T15" s="387">
        <v>8.1999999999999993</v>
      </c>
      <c r="U15" s="388">
        <v>29</v>
      </c>
    </row>
    <row r="16" spans="1:34" customFormat="1" x14ac:dyDescent="0.25">
      <c r="A16" s="381">
        <v>37653</v>
      </c>
      <c r="B16" s="382">
        <v>3</v>
      </c>
      <c r="C16" s="383">
        <v>2</v>
      </c>
      <c r="D16" s="384">
        <v>1</v>
      </c>
      <c r="E16" s="385">
        <v>0.75</v>
      </c>
      <c r="F16" s="386">
        <v>0.25</v>
      </c>
      <c r="G16" s="386">
        <v>-0.25</v>
      </c>
      <c r="H16" s="385">
        <v>-0.75</v>
      </c>
      <c r="I16" s="386">
        <v>-1</v>
      </c>
      <c r="J16" s="385">
        <v>-0.7</v>
      </c>
      <c r="K16" s="385">
        <v>0</v>
      </c>
      <c r="L16" s="385">
        <v>1.25</v>
      </c>
      <c r="M16" s="386">
        <v>1.75</v>
      </c>
      <c r="N16" s="386">
        <v>2.5</v>
      </c>
      <c r="O16" s="385">
        <v>3.25</v>
      </c>
      <c r="P16" s="386">
        <v>3.75</v>
      </c>
      <c r="Q16" s="385">
        <v>4.25</v>
      </c>
      <c r="R16" s="386">
        <v>4.75</v>
      </c>
      <c r="S16" s="383">
        <v>5.75</v>
      </c>
      <c r="T16" s="387">
        <v>8.1999999999999993</v>
      </c>
      <c r="U16" s="388">
        <v>29</v>
      </c>
    </row>
    <row r="17" spans="1:21" customFormat="1" x14ac:dyDescent="0.25">
      <c r="A17" s="381">
        <v>37681</v>
      </c>
      <c r="B17" s="382">
        <v>3</v>
      </c>
      <c r="C17" s="383">
        <v>2</v>
      </c>
      <c r="D17" s="384">
        <v>1</v>
      </c>
      <c r="E17" s="385">
        <v>0.75</v>
      </c>
      <c r="F17" s="386">
        <v>0.25</v>
      </c>
      <c r="G17" s="386">
        <v>-0.25</v>
      </c>
      <c r="H17" s="385">
        <v>-0.75</v>
      </c>
      <c r="I17" s="386">
        <v>-1</v>
      </c>
      <c r="J17" s="385">
        <v>-0.7</v>
      </c>
      <c r="K17" s="385">
        <v>0</v>
      </c>
      <c r="L17" s="385">
        <v>1.25</v>
      </c>
      <c r="M17" s="386">
        <v>1.75</v>
      </c>
      <c r="N17" s="386">
        <v>2.5</v>
      </c>
      <c r="O17" s="385">
        <v>3.25</v>
      </c>
      <c r="P17" s="386">
        <v>3.75</v>
      </c>
      <c r="Q17" s="385">
        <v>4.25</v>
      </c>
      <c r="R17" s="386">
        <v>4.75</v>
      </c>
      <c r="S17" s="383">
        <v>5.75</v>
      </c>
      <c r="T17" s="387">
        <v>8.1999999999999993</v>
      </c>
      <c r="U17" s="388">
        <v>29</v>
      </c>
    </row>
    <row r="18" spans="1:21" customFormat="1" x14ac:dyDescent="0.25">
      <c r="A18" s="381">
        <v>37712</v>
      </c>
      <c r="B18" s="382">
        <v>3</v>
      </c>
      <c r="C18" s="383">
        <v>2</v>
      </c>
      <c r="D18" s="384">
        <v>0.75</v>
      </c>
      <c r="E18" s="385">
        <v>0.5</v>
      </c>
      <c r="F18" s="386">
        <v>0.25</v>
      </c>
      <c r="G18" s="386">
        <v>-0.25</v>
      </c>
      <c r="H18" s="385">
        <v>-0.65</v>
      </c>
      <c r="I18" s="386">
        <v>-0.85</v>
      </c>
      <c r="J18" s="385">
        <v>-0.65</v>
      </c>
      <c r="K18" s="385">
        <v>0</v>
      </c>
      <c r="L18" s="385">
        <v>1</v>
      </c>
      <c r="M18" s="386">
        <v>1.5</v>
      </c>
      <c r="N18" s="386">
        <v>2.25</v>
      </c>
      <c r="O18" s="385">
        <v>3</v>
      </c>
      <c r="P18" s="386">
        <v>3.5</v>
      </c>
      <c r="Q18" s="385">
        <v>4</v>
      </c>
      <c r="R18" s="386">
        <v>4.5</v>
      </c>
      <c r="S18" s="383">
        <v>5.5</v>
      </c>
      <c r="T18" s="387">
        <v>8.1999999999999993</v>
      </c>
      <c r="U18" s="388">
        <v>29</v>
      </c>
    </row>
    <row r="19" spans="1:21" customFormat="1" x14ac:dyDescent="0.25">
      <c r="A19" s="381">
        <v>37742</v>
      </c>
      <c r="B19" s="382">
        <v>3</v>
      </c>
      <c r="C19" s="383">
        <v>2</v>
      </c>
      <c r="D19" s="384">
        <v>0.75</v>
      </c>
      <c r="E19" s="385">
        <v>0.5</v>
      </c>
      <c r="F19" s="386">
        <v>0.25</v>
      </c>
      <c r="G19" s="386">
        <v>-0.25</v>
      </c>
      <c r="H19" s="385">
        <v>-0.65</v>
      </c>
      <c r="I19" s="386">
        <v>-0.85</v>
      </c>
      <c r="J19" s="385">
        <v>-0.65</v>
      </c>
      <c r="K19" s="385">
        <v>0</v>
      </c>
      <c r="L19" s="385">
        <v>1</v>
      </c>
      <c r="M19" s="386">
        <v>1.5</v>
      </c>
      <c r="N19" s="386">
        <v>2.25</v>
      </c>
      <c r="O19" s="385">
        <v>3</v>
      </c>
      <c r="P19" s="386">
        <v>3.5</v>
      </c>
      <c r="Q19" s="385">
        <v>4</v>
      </c>
      <c r="R19" s="386">
        <v>4.5</v>
      </c>
      <c r="S19" s="383">
        <v>5.5</v>
      </c>
      <c r="T19" s="387">
        <v>8.1999999999999993</v>
      </c>
      <c r="U19" s="388">
        <v>29</v>
      </c>
    </row>
    <row r="20" spans="1:21" customFormat="1" x14ac:dyDescent="0.25">
      <c r="A20" s="381">
        <v>37773</v>
      </c>
      <c r="B20" s="382">
        <v>3</v>
      </c>
      <c r="C20" s="383">
        <v>2</v>
      </c>
      <c r="D20" s="384">
        <v>0.75</v>
      </c>
      <c r="E20" s="385">
        <v>0.5</v>
      </c>
      <c r="F20" s="386">
        <v>0.25</v>
      </c>
      <c r="G20" s="386">
        <v>-0.25</v>
      </c>
      <c r="H20" s="385">
        <v>-0.65</v>
      </c>
      <c r="I20" s="386">
        <v>-0.85</v>
      </c>
      <c r="J20" s="385">
        <v>-0.65</v>
      </c>
      <c r="K20" s="385">
        <v>0</v>
      </c>
      <c r="L20" s="385">
        <v>1</v>
      </c>
      <c r="M20" s="386">
        <v>1.5</v>
      </c>
      <c r="N20" s="386">
        <v>2.25</v>
      </c>
      <c r="O20" s="385">
        <v>3</v>
      </c>
      <c r="P20" s="386">
        <v>3.5</v>
      </c>
      <c r="Q20" s="385">
        <v>4</v>
      </c>
      <c r="R20" s="386">
        <v>4.5</v>
      </c>
      <c r="S20" s="383">
        <v>5.5</v>
      </c>
      <c r="T20" s="387">
        <v>8.1999999999999993</v>
      </c>
      <c r="U20" s="388">
        <v>29</v>
      </c>
    </row>
    <row r="21" spans="1:21" customFormat="1" x14ac:dyDescent="0.25">
      <c r="A21" s="381">
        <v>37803</v>
      </c>
      <c r="B21" s="382">
        <v>3</v>
      </c>
      <c r="C21" s="383">
        <v>2</v>
      </c>
      <c r="D21" s="384">
        <v>0.75</v>
      </c>
      <c r="E21" s="385">
        <v>0.5</v>
      </c>
      <c r="F21" s="386">
        <v>0.25</v>
      </c>
      <c r="G21" s="386">
        <v>-0.25</v>
      </c>
      <c r="H21" s="385">
        <v>-0.65</v>
      </c>
      <c r="I21" s="386">
        <v>-0.85</v>
      </c>
      <c r="J21" s="385">
        <v>-0.65</v>
      </c>
      <c r="K21" s="385">
        <v>0</v>
      </c>
      <c r="L21" s="385">
        <v>1</v>
      </c>
      <c r="M21" s="386">
        <v>1.5</v>
      </c>
      <c r="N21" s="386">
        <v>2.25</v>
      </c>
      <c r="O21" s="385">
        <v>3</v>
      </c>
      <c r="P21" s="386">
        <v>3.5</v>
      </c>
      <c r="Q21" s="385">
        <v>4</v>
      </c>
      <c r="R21" s="386">
        <v>4.5</v>
      </c>
      <c r="S21" s="383">
        <v>5.5</v>
      </c>
      <c r="T21" s="387">
        <v>8.1999999999999993</v>
      </c>
      <c r="U21" s="388">
        <v>29</v>
      </c>
    </row>
    <row r="22" spans="1:21" customFormat="1" x14ac:dyDescent="0.25">
      <c r="A22" s="381">
        <v>37834</v>
      </c>
      <c r="B22" s="382">
        <v>3</v>
      </c>
      <c r="C22" s="383">
        <v>2</v>
      </c>
      <c r="D22" s="384">
        <v>0.75</v>
      </c>
      <c r="E22" s="385">
        <v>0.5</v>
      </c>
      <c r="F22" s="386">
        <v>0.25</v>
      </c>
      <c r="G22" s="386">
        <v>-0.25</v>
      </c>
      <c r="H22" s="385">
        <v>-0.65</v>
      </c>
      <c r="I22" s="386">
        <v>-0.85</v>
      </c>
      <c r="J22" s="385">
        <v>-0.65</v>
      </c>
      <c r="K22" s="385">
        <v>0</v>
      </c>
      <c r="L22" s="385">
        <v>1</v>
      </c>
      <c r="M22" s="386">
        <v>1.5</v>
      </c>
      <c r="N22" s="386">
        <v>2.25</v>
      </c>
      <c r="O22" s="385">
        <v>3</v>
      </c>
      <c r="P22" s="386">
        <v>3.5</v>
      </c>
      <c r="Q22" s="385">
        <v>4</v>
      </c>
      <c r="R22" s="386">
        <v>4.5</v>
      </c>
      <c r="S22" s="383">
        <v>5.5</v>
      </c>
      <c r="T22" s="387">
        <v>8.1999999999999993</v>
      </c>
      <c r="U22" s="388">
        <v>29</v>
      </c>
    </row>
    <row r="23" spans="1:21" customFormat="1" x14ac:dyDescent="0.25">
      <c r="A23" s="381">
        <v>37865</v>
      </c>
      <c r="B23" s="382">
        <v>3</v>
      </c>
      <c r="C23" s="383">
        <v>2</v>
      </c>
      <c r="D23" s="384">
        <v>0.75</v>
      </c>
      <c r="E23" s="385">
        <v>0.5</v>
      </c>
      <c r="F23" s="386">
        <v>0.25</v>
      </c>
      <c r="G23" s="386">
        <v>-0.25</v>
      </c>
      <c r="H23" s="385">
        <v>-0.65</v>
      </c>
      <c r="I23" s="386">
        <v>-0.85</v>
      </c>
      <c r="J23" s="385">
        <v>-0.65</v>
      </c>
      <c r="K23" s="385">
        <v>0</v>
      </c>
      <c r="L23" s="385">
        <v>1</v>
      </c>
      <c r="M23" s="386">
        <v>1.5</v>
      </c>
      <c r="N23" s="386">
        <v>2.25</v>
      </c>
      <c r="O23" s="385">
        <v>3</v>
      </c>
      <c r="P23" s="386">
        <v>3.5</v>
      </c>
      <c r="Q23" s="385">
        <v>4</v>
      </c>
      <c r="R23" s="386">
        <v>4.5</v>
      </c>
      <c r="S23" s="383">
        <v>5.5</v>
      </c>
      <c r="T23" s="387">
        <v>8.1999999999999993</v>
      </c>
      <c r="U23" s="388">
        <v>29</v>
      </c>
    </row>
    <row r="24" spans="1:21" customFormat="1" x14ac:dyDescent="0.25">
      <c r="A24" s="381">
        <v>37895</v>
      </c>
      <c r="B24" s="382">
        <v>3</v>
      </c>
      <c r="C24" s="383">
        <v>2</v>
      </c>
      <c r="D24" s="384">
        <v>0.75</v>
      </c>
      <c r="E24" s="385">
        <v>0.5</v>
      </c>
      <c r="F24" s="386">
        <v>0.25</v>
      </c>
      <c r="G24" s="386">
        <v>-0.25</v>
      </c>
      <c r="H24" s="385">
        <v>-0.65</v>
      </c>
      <c r="I24" s="386">
        <v>-0.85</v>
      </c>
      <c r="J24" s="385">
        <v>-0.65</v>
      </c>
      <c r="K24" s="385">
        <v>0</v>
      </c>
      <c r="L24" s="385">
        <v>1</v>
      </c>
      <c r="M24" s="386">
        <v>1.5</v>
      </c>
      <c r="N24" s="386">
        <v>2.25</v>
      </c>
      <c r="O24" s="385">
        <v>3</v>
      </c>
      <c r="P24" s="386">
        <v>3.5</v>
      </c>
      <c r="Q24" s="385">
        <v>4</v>
      </c>
      <c r="R24" s="386">
        <v>4.5</v>
      </c>
      <c r="S24" s="383">
        <v>5.5</v>
      </c>
      <c r="T24" s="387">
        <v>8.1999999999999993</v>
      </c>
      <c r="U24" s="388">
        <v>29</v>
      </c>
    </row>
    <row r="25" spans="1:21" customFormat="1" x14ac:dyDescent="0.25">
      <c r="A25" s="381">
        <v>37926</v>
      </c>
      <c r="B25" s="382">
        <v>3</v>
      </c>
      <c r="C25" s="383">
        <v>2</v>
      </c>
      <c r="D25" s="384">
        <v>0.75</v>
      </c>
      <c r="E25" s="385">
        <v>0.5</v>
      </c>
      <c r="F25" s="386">
        <v>0.25</v>
      </c>
      <c r="G25" s="386">
        <v>-0.25</v>
      </c>
      <c r="H25" s="385">
        <v>-0.65</v>
      </c>
      <c r="I25" s="386">
        <v>-0.85</v>
      </c>
      <c r="J25" s="385">
        <v>-0.65</v>
      </c>
      <c r="K25" s="385">
        <v>0</v>
      </c>
      <c r="L25" s="385">
        <v>1</v>
      </c>
      <c r="M25" s="386">
        <v>1.5</v>
      </c>
      <c r="N25" s="386">
        <v>2.25</v>
      </c>
      <c r="O25" s="385">
        <v>3</v>
      </c>
      <c r="P25" s="386">
        <v>3.5</v>
      </c>
      <c r="Q25" s="385">
        <v>4</v>
      </c>
      <c r="R25" s="386">
        <v>4.5</v>
      </c>
      <c r="S25" s="383">
        <v>5.5</v>
      </c>
      <c r="T25" s="387">
        <v>8.1999999999999993</v>
      </c>
      <c r="U25" s="388">
        <v>29</v>
      </c>
    </row>
    <row r="26" spans="1:21" customFormat="1" x14ac:dyDescent="0.25">
      <c r="A26" s="381">
        <v>37956</v>
      </c>
      <c r="B26" s="382">
        <v>3</v>
      </c>
      <c r="C26" s="383">
        <v>2</v>
      </c>
      <c r="D26" s="384">
        <v>0.75</v>
      </c>
      <c r="E26" s="385">
        <v>0.5</v>
      </c>
      <c r="F26" s="386">
        <v>0.25</v>
      </c>
      <c r="G26" s="386">
        <v>-0.25</v>
      </c>
      <c r="H26" s="385">
        <v>-0.65</v>
      </c>
      <c r="I26" s="386">
        <v>-0.85</v>
      </c>
      <c r="J26" s="385">
        <v>-0.65</v>
      </c>
      <c r="K26" s="385">
        <v>0</v>
      </c>
      <c r="L26" s="385">
        <v>1</v>
      </c>
      <c r="M26" s="386">
        <v>1.5</v>
      </c>
      <c r="N26" s="386">
        <v>2.25</v>
      </c>
      <c r="O26" s="385">
        <v>3</v>
      </c>
      <c r="P26" s="386">
        <v>3.5</v>
      </c>
      <c r="Q26" s="385">
        <v>4</v>
      </c>
      <c r="R26" s="386">
        <v>4.5</v>
      </c>
      <c r="S26" s="383">
        <v>5.5</v>
      </c>
      <c r="T26" s="387">
        <v>8.1999999999999993</v>
      </c>
      <c r="U26" s="388">
        <v>29</v>
      </c>
    </row>
    <row r="27" spans="1:21" customFormat="1" x14ac:dyDescent="0.25">
      <c r="A27" s="381">
        <v>37987</v>
      </c>
      <c r="B27" s="382">
        <v>3</v>
      </c>
      <c r="C27" s="383">
        <v>2</v>
      </c>
      <c r="D27" s="384">
        <v>0.75</v>
      </c>
      <c r="E27" s="385">
        <v>0.5</v>
      </c>
      <c r="F27" s="386">
        <v>0.25</v>
      </c>
      <c r="G27" s="386">
        <v>-0.25</v>
      </c>
      <c r="H27" s="385">
        <v>-0.65</v>
      </c>
      <c r="I27" s="386">
        <v>-0.85</v>
      </c>
      <c r="J27" s="385">
        <v>-0.65</v>
      </c>
      <c r="K27" s="385">
        <v>0</v>
      </c>
      <c r="L27" s="385">
        <v>1</v>
      </c>
      <c r="M27" s="386">
        <v>1.5</v>
      </c>
      <c r="N27" s="386">
        <v>2.25</v>
      </c>
      <c r="O27" s="385">
        <v>3</v>
      </c>
      <c r="P27" s="386">
        <v>3.5</v>
      </c>
      <c r="Q27" s="385">
        <v>4</v>
      </c>
      <c r="R27" s="386">
        <v>4.5</v>
      </c>
      <c r="S27" s="383">
        <v>5.5</v>
      </c>
      <c r="T27" s="387">
        <v>8.1999999999999993</v>
      </c>
      <c r="U27" s="388">
        <v>29</v>
      </c>
    </row>
    <row r="28" spans="1:21" customFormat="1" x14ac:dyDescent="0.25">
      <c r="A28" s="381">
        <v>38018</v>
      </c>
      <c r="B28" s="382">
        <v>3</v>
      </c>
      <c r="C28" s="383">
        <v>2</v>
      </c>
      <c r="D28" s="384">
        <v>0.75</v>
      </c>
      <c r="E28" s="385">
        <v>0.5</v>
      </c>
      <c r="F28" s="386">
        <v>0.25</v>
      </c>
      <c r="G28" s="386">
        <v>-0.25</v>
      </c>
      <c r="H28" s="385">
        <v>-0.65</v>
      </c>
      <c r="I28" s="386">
        <v>-0.85</v>
      </c>
      <c r="J28" s="385">
        <v>-0.65</v>
      </c>
      <c r="K28" s="385">
        <v>0</v>
      </c>
      <c r="L28" s="385">
        <v>1</v>
      </c>
      <c r="M28" s="386">
        <v>1.5</v>
      </c>
      <c r="N28" s="386">
        <v>2.25</v>
      </c>
      <c r="O28" s="385">
        <v>3</v>
      </c>
      <c r="P28" s="386">
        <v>3.5</v>
      </c>
      <c r="Q28" s="385">
        <v>4</v>
      </c>
      <c r="R28" s="386">
        <v>4.5</v>
      </c>
      <c r="S28" s="383">
        <v>5.5</v>
      </c>
      <c r="T28" s="387">
        <v>8.1999999999999993</v>
      </c>
      <c r="U28" s="388">
        <v>29</v>
      </c>
    </row>
    <row r="29" spans="1:21" customFormat="1" x14ac:dyDescent="0.25">
      <c r="A29" s="381">
        <v>38047</v>
      </c>
      <c r="B29" s="382">
        <v>3</v>
      </c>
      <c r="C29" s="383">
        <v>2</v>
      </c>
      <c r="D29" s="384">
        <v>0.75</v>
      </c>
      <c r="E29" s="385">
        <v>0.5</v>
      </c>
      <c r="F29" s="386">
        <v>0.25</v>
      </c>
      <c r="G29" s="386">
        <v>-0.25</v>
      </c>
      <c r="H29" s="385">
        <v>-0.65</v>
      </c>
      <c r="I29" s="386">
        <v>-0.85</v>
      </c>
      <c r="J29" s="385">
        <v>-0.65</v>
      </c>
      <c r="K29" s="385">
        <v>0</v>
      </c>
      <c r="L29" s="385">
        <v>1</v>
      </c>
      <c r="M29" s="386">
        <v>1.5</v>
      </c>
      <c r="N29" s="386">
        <v>2.25</v>
      </c>
      <c r="O29" s="385">
        <v>3</v>
      </c>
      <c r="P29" s="386">
        <v>3.5</v>
      </c>
      <c r="Q29" s="385">
        <v>4</v>
      </c>
      <c r="R29" s="386">
        <v>4.5</v>
      </c>
      <c r="S29" s="383">
        <v>5.5</v>
      </c>
      <c r="T29" s="387">
        <v>8.1999999999999993</v>
      </c>
      <c r="U29" s="388">
        <v>29</v>
      </c>
    </row>
    <row r="30" spans="1:21" customFormat="1" x14ac:dyDescent="0.25">
      <c r="A30" s="381">
        <v>38078</v>
      </c>
      <c r="B30" s="382">
        <v>3</v>
      </c>
      <c r="C30" s="383">
        <v>2</v>
      </c>
      <c r="D30" s="384">
        <v>0.75</v>
      </c>
      <c r="E30" s="385">
        <v>0.5</v>
      </c>
      <c r="F30" s="386">
        <v>0.25</v>
      </c>
      <c r="G30" s="386">
        <v>-0.25</v>
      </c>
      <c r="H30" s="385">
        <v>-0.65</v>
      </c>
      <c r="I30" s="386">
        <v>-0.85</v>
      </c>
      <c r="J30" s="385">
        <v>-0.65</v>
      </c>
      <c r="K30" s="385">
        <v>0</v>
      </c>
      <c r="L30" s="385">
        <v>1</v>
      </c>
      <c r="M30" s="386">
        <v>1.5</v>
      </c>
      <c r="N30" s="386">
        <v>2.25</v>
      </c>
      <c r="O30" s="385">
        <v>3</v>
      </c>
      <c r="P30" s="386">
        <v>3.5</v>
      </c>
      <c r="Q30" s="385">
        <v>4</v>
      </c>
      <c r="R30" s="386">
        <v>4.5</v>
      </c>
      <c r="S30" s="383">
        <v>5.5</v>
      </c>
      <c r="T30" s="387">
        <v>8.1999999999999993</v>
      </c>
      <c r="U30" s="388">
        <v>29</v>
      </c>
    </row>
    <row r="31" spans="1:21" customFormat="1" x14ac:dyDescent="0.25">
      <c r="A31" s="381">
        <v>38108</v>
      </c>
      <c r="B31" s="382">
        <v>3</v>
      </c>
      <c r="C31" s="383">
        <v>2</v>
      </c>
      <c r="D31" s="384">
        <v>0.75</v>
      </c>
      <c r="E31" s="385">
        <v>0.5</v>
      </c>
      <c r="F31" s="386">
        <v>0.25</v>
      </c>
      <c r="G31" s="386">
        <v>-0.25</v>
      </c>
      <c r="H31" s="385">
        <v>-0.65</v>
      </c>
      <c r="I31" s="386">
        <v>-0.85</v>
      </c>
      <c r="J31" s="385">
        <v>-0.65</v>
      </c>
      <c r="K31" s="385">
        <v>0</v>
      </c>
      <c r="L31" s="385">
        <v>1</v>
      </c>
      <c r="M31" s="386">
        <v>1.5</v>
      </c>
      <c r="N31" s="386">
        <v>2.25</v>
      </c>
      <c r="O31" s="385">
        <v>3</v>
      </c>
      <c r="P31" s="386">
        <v>3.5</v>
      </c>
      <c r="Q31" s="385">
        <v>4</v>
      </c>
      <c r="R31" s="386">
        <v>4.5</v>
      </c>
      <c r="S31" s="383">
        <v>5.5</v>
      </c>
      <c r="T31" s="387">
        <v>8.1999999999999993</v>
      </c>
      <c r="U31" s="388">
        <v>29</v>
      </c>
    </row>
    <row r="32" spans="1:21" customFormat="1" x14ac:dyDescent="0.25">
      <c r="A32" s="381">
        <v>38139</v>
      </c>
      <c r="B32" s="382">
        <v>3</v>
      </c>
      <c r="C32" s="383">
        <v>2</v>
      </c>
      <c r="D32" s="384">
        <v>0.75</v>
      </c>
      <c r="E32" s="385">
        <v>0.5</v>
      </c>
      <c r="F32" s="386">
        <v>0.25</v>
      </c>
      <c r="G32" s="386">
        <v>-0.25</v>
      </c>
      <c r="H32" s="385">
        <v>-0.65</v>
      </c>
      <c r="I32" s="386">
        <v>-0.85</v>
      </c>
      <c r="J32" s="385">
        <v>-0.65</v>
      </c>
      <c r="K32" s="385">
        <v>0</v>
      </c>
      <c r="L32" s="385">
        <v>1</v>
      </c>
      <c r="M32" s="386">
        <v>1.5</v>
      </c>
      <c r="N32" s="386">
        <v>2.25</v>
      </c>
      <c r="O32" s="385">
        <v>3</v>
      </c>
      <c r="P32" s="386">
        <v>3.5</v>
      </c>
      <c r="Q32" s="385">
        <v>4</v>
      </c>
      <c r="R32" s="386">
        <v>4.5</v>
      </c>
      <c r="S32" s="383">
        <v>5.5</v>
      </c>
      <c r="T32" s="387">
        <v>8.1999999999999993</v>
      </c>
      <c r="U32" s="388">
        <v>29</v>
      </c>
    </row>
    <row r="33" spans="1:21" customFormat="1" x14ac:dyDescent="0.25">
      <c r="A33" s="381">
        <v>38169</v>
      </c>
      <c r="B33" s="382">
        <v>3</v>
      </c>
      <c r="C33" s="383">
        <v>2</v>
      </c>
      <c r="D33" s="384">
        <v>0.75</v>
      </c>
      <c r="E33" s="385">
        <v>0.5</v>
      </c>
      <c r="F33" s="386">
        <v>0.25</v>
      </c>
      <c r="G33" s="386">
        <v>-0.25</v>
      </c>
      <c r="H33" s="385">
        <v>-0.65</v>
      </c>
      <c r="I33" s="386">
        <v>-0.85</v>
      </c>
      <c r="J33" s="385">
        <v>-0.65</v>
      </c>
      <c r="K33" s="385">
        <v>0</v>
      </c>
      <c r="L33" s="385">
        <v>1</v>
      </c>
      <c r="M33" s="386">
        <v>1.5</v>
      </c>
      <c r="N33" s="386">
        <v>2.25</v>
      </c>
      <c r="O33" s="385">
        <v>3</v>
      </c>
      <c r="P33" s="386">
        <v>3.5</v>
      </c>
      <c r="Q33" s="385">
        <v>4</v>
      </c>
      <c r="R33" s="386">
        <v>4.5</v>
      </c>
      <c r="S33" s="383">
        <v>5.5</v>
      </c>
      <c r="T33" s="387">
        <v>8.1999999999999993</v>
      </c>
      <c r="U33" s="388">
        <v>29</v>
      </c>
    </row>
    <row r="34" spans="1:21" customFormat="1" x14ac:dyDescent="0.25">
      <c r="A34" s="381">
        <v>38200</v>
      </c>
      <c r="B34" s="382">
        <v>3</v>
      </c>
      <c r="C34" s="383">
        <v>2</v>
      </c>
      <c r="D34" s="384">
        <v>0.75</v>
      </c>
      <c r="E34" s="385">
        <v>0.5</v>
      </c>
      <c r="F34" s="386">
        <v>0.25</v>
      </c>
      <c r="G34" s="386">
        <v>-0.25</v>
      </c>
      <c r="H34" s="385">
        <v>-0.65</v>
      </c>
      <c r="I34" s="386">
        <v>-0.85</v>
      </c>
      <c r="J34" s="385">
        <v>-0.65</v>
      </c>
      <c r="K34" s="385">
        <v>0</v>
      </c>
      <c r="L34" s="385">
        <v>1</v>
      </c>
      <c r="M34" s="386">
        <v>1.5</v>
      </c>
      <c r="N34" s="386">
        <v>2.25</v>
      </c>
      <c r="O34" s="385">
        <v>3</v>
      </c>
      <c r="P34" s="386">
        <v>3.5</v>
      </c>
      <c r="Q34" s="385">
        <v>4</v>
      </c>
      <c r="R34" s="386">
        <v>4.5</v>
      </c>
      <c r="S34" s="383">
        <v>5.5</v>
      </c>
      <c r="T34" s="387">
        <v>8.1999999999999993</v>
      </c>
      <c r="U34" s="388">
        <v>29</v>
      </c>
    </row>
    <row r="35" spans="1:21" customFormat="1" x14ac:dyDescent="0.25">
      <c r="A35" s="381">
        <v>38231</v>
      </c>
      <c r="B35" s="382">
        <v>3</v>
      </c>
      <c r="C35" s="383">
        <v>2</v>
      </c>
      <c r="D35" s="384">
        <v>0.75</v>
      </c>
      <c r="E35" s="385">
        <v>0.5</v>
      </c>
      <c r="F35" s="386">
        <v>0.25</v>
      </c>
      <c r="G35" s="386">
        <v>-0.25</v>
      </c>
      <c r="H35" s="385">
        <v>-0.65</v>
      </c>
      <c r="I35" s="386">
        <v>-0.85</v>
      </c>
      <c r="J35" s="385">
        <v>-0.65</v>
      </c>
      <c r="K35" s="385">
        <v>0</v>
      </c>
      <c r="L35" s="385">
        <v>1</v>
      </c>
      <c r="M35" s="386">
        <v>1.5</v>
      </c>
      <c r="N35" s="386">
        <v>2.25</v>
      </c>
      <c r="O35" s="385">
        <v>3</v>
      </c>
      <c r="P35" s="386">
        <v>3.5</v>
      </c>
      <c r="Q35" s="385">
        <v>4</v>
      </c>
      <c r="R35" s="386">
        <v>4.5</v>
      </c>
      <c r="S35" s="383">
        <v>5.5</v>
      </c>
      <c r="T35" s="387">
        <v>8.1999999999999993</v>
      </c>
      <c r="U35" s="388">
        <v>29</v>
      </c>
    </row>
    <row r="36" spans="1:21" customFormat="1" x14ac:dyDescent="0.25">
      <c r="A36" s="381">
        <v>38261</v>
      </c>
      <c r="B36" s="382">
        <v>3</v>
      </c>
      <c r="C36" s="383">
        <v>2</v>
      </c>
      <c r="D36" s="384">
        <v>0.75</v>
      </c>
      <c r="E36" s="385">
        <v>0.5</v>
      </c>
      <c r="F36" s="386">
        <v>0.25</v>
      </c>
      <c r="G36" s="386">
        <v>-0.25</v>
      </c>
      <c r="H36" s="385">
        <v>-0.65</v>
      </c>
      <c r="I36" s="386">
        <v>-0.85</v>
      </c>
      <c r="J36" s="385">
        <v>-0.65</v>
      </c>
      <c r="K36" s="385">
        <v>0</v>
      </c>
      <c r="L36" s="385">
        <v>1</v>
      </c>
      <c r="M36" s="386">
        <v>1.5</v>
      </c>
      <c r="N36" s="386">
        <v>2.25</v>
      </c>
      <c r="O36" s="385">
        <v>3</v>
      </c>
      <c r="P36" s="386">
        <v>3.5</v>
      </c>
      <c r="Q36" s="385">
        <v>4</v>
      </c>
      <c r="R36" s="386">
        <v>4.5</v>
      </c>
      <c r="S36" s="383">
        <v>5.5</v>
      </c>
      <c r="T36" s="387">
        <v>8.1999999999999993</v>
      </c>
      <c r="U36" s="388">
        <v>29</v>
      </c>
    </row>
    <row r="37" spans="1:21" customFormat="1" x14ac:dyDescent="0.25">
      <c r="A37" s="381">
        <v>38292</v>
      </c>
      <c r="B37" s="382">
        <v>3</v>
      </c>
      <c r="C37" s="383">
        <v>2</v>
      </c>
      <c r="D37" s="384">
        <v>0.75</v>
      </c>
      <c r="E37" s="385">
        <v>0.5</v>
      </c>
      <c r="F37" s="386">
        <v>0.25</v>
      </c>
      <c r="G37" s="386">
        <v>-0.25</v>
      </c>
      <c r="H37" s="385">
        <v>-0.65</v>
      </c>
      <c r="I37" s="386">
        <v>-0.85</v>
      </c>
      <c r="J37" s="385">
        <v>-0.65</v>
      </c>
      <c r="K37" s="385">
        <v>0</v>
      </c>
      <c r="L37" s="385">
        <v>1</v>
      </c>
      <c r="M37" s="386">
        <v>1.5</v>
      </c>
      <c r="N37" s="386">
        <v>2.25</v>
      </c>
      <c r="O37" s="385">
        <v>3</v>
      </c>
      <c r="P37" s="386">
        <v>3.5</v>
      </c>
      <c r="Q37" s="385">
        <v>4</v>
      </c>
      <c r="R37" s="386">
        <v>4.5</v>
      </c>
      <c r="S37" s="383">
        <v>5.5</v>
      </c>
      <c r="T37" s="387">
        <v>8.1999999999999993</v>
      </c>
      <c r="U37" s="388">
        <v>29</v>
      </c>
    </row>
    <row r="38" spans="1:21" customFormat="1" x14ac:dyDescent="0.25">
      <c r="A38" s="381">
        <v>40513</v>
      </c>
      <c r="B38" s="382">
        <v>3</v>
      </c>
      <c r="C38" s="383">
        <v>2</v>
      </c>
      <c r="D38" s="384">
        <v>0.75</v>
      </c>
      <c r="E38" s="385">
        <v>0.5</v>
      </c>
      <c r="F38" s="386">
        <v>0.25</v>
      </c>
      <c r="G38" s="386">
        <v>-0.25</v>
      </c>
      <c r="H38" s="385">
        <v>-0.65</v>
      </c>
      <c r="I38" s="386">
        <v>-0.85</v>
      </c>
      <c r="J38" s="385">
        <v>-0.65</v>
      </c>
      <c r="K38" s="385">
        <v>0</v>
      </c>
      <c r="L38" s="385">
        <v>1</v>
      </c>
      <c r="M38" s="386">
        <v>1.5</v>
      </c>
      <c r="N38" s="386">
        <v>2.25</v>
      </c>
      <c r="O38" s="385">
        <v>3</v>
      </c>
      <c r="P38" s="386">
        <v>3.5</v>
      </c>
      <c r="Q38" s="385">
        <v>4</v>
      </c>
      <c r="R38" s="386">
        <v>4.5</v>
      </c>
      <c r="S38" s="383">
        <v>5.5</v>
      </c>
      <c r="T38" s="387">
        <v>8.1999999999999993</v>
      </c>
      <c r="U38" s="388">
        <v>29</v>
      </c>
    </row>
    <row r="39" spans="1:21" customFormat="1" ht="13.8" thickBot="1" x14ac:dyDescent="0.3">
      <c r="A39" s="389">
        <v>44531</v>
      </c>
      <c r="B39" s="390">
        <v>3</v>
      </c>
      <c r="C39" s="391">
        <v>2</v>
      </c>
      <c r="D39" s="392">
        <v>0.75</v>
      </c>
      <c r="E39" s="393">
        <v>0.5</v>
      </c>
      <c r="F39" s="394">
        <v>0.25</v>
      </c>
      <c r="G39" s="395">
        <v>-0.25</v>
      </c>
      <c r="H39" s="393">
        <v>-0.65</v>
      </c>
      <c r="I39" s="394">
        <v>-0.85</v>
      </c>
      <c r="J39" s="393">
        <v>-0.65</v>
      </c>
      <c r="K39" s="393">
        <v>0</v>
      </c>
      <c r="L39" s="393">
        <v>1</v>
      </c>
      <c r="M39" s="394">
        <v>1.5</v>
      </c>
      <c r="N39" s="395">
        <v>2.25</v>
      </c>
      <c r="O39" s="393">
        <v>3</v>
      </c>
      <c r="P39" s="395">
        <v>3.4</v>
      </c>
      <c r="Q39" s="393">
        <v>4</v>
      </c>
      <c r="R39" s="395">
        <v>4.5</v>
      </c>
      <c r="S39" s="391">
        <v>5.5</v>
      </c>
      <c r="T39" s="396">
        <v>8.1999999999999993</v>
      </c>
      <c r="U39" s="397">
        <v>29</v>
      </c>
    </row>
    <row r="40" spans="1:21" customFormat="1" x14ac:dyDescent="0.25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r="41" spans="1:21" customFormat="1" x14ac:dyDescent="0.25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r="42" spans="1:21" ht="13.8" thickBot="1" x14ac:dyDescent="0.3">
      <c r="A42" s="219"/>
      <c r="B42" s="219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</row>
    <row r="43" spans="1:21" ht="13.8" thickBot="1" x14ac:dyDescent="0.3">
      <c r="A43" s="209"/>
      <c r="B43" s="210">
        <v>-5</v>
      </c>
      <c r="C43" s="211">
        <v>-4</v>
      </c>
      <c r="D43" s="212">
        <v>-3.5</v>
      </c>
      <c r="E43" s="212">
        <v>-3</v>
      </c>
      <c r="F43" s="212">
        <v>-2.5</v>
      </c>
      <c r="G43" s="212">
        <v>-2</v>
      </c>
      <c r="H43" s="212">
        <v>-1.5</v>
      </c>
      <c r="I43" s="212">
        <v>-1</v>
      </c>
      <c r="J43" s="212">
        <v>-0.5</v>
      </c>
      <c r="K43" s="212">
        <v>0</v>
      </c>
      <c r="L43" s="212">
        <v>0.5</v>
      </c>
      <c r="M43" s="212">
        <v>1</v>
      </c>
      <c r="N43" s="212">
        <v>1.5</v>
      </c>
      <c r="O43" s="212">
        <v>2</v>
      </c>
      <c r="P43" s="212">
        <v>2.5</v>
      </c>
      <c r="Q43" s="212">
        <v>3</v>
      </c>
      <c r="R43" s="212">
        <v>4</v>
      </c>
      <c r="S43" s="212">
        <v>5</v>
      </c>
      <c r="T43" s="213">
        <v>10</v>
      </c>
      <c r="U43" s="214">
        <v>40</v>
      </c>
    </row>
    <row r="44" spans="1:21" x14ac:dyDescent="0.25">
      <c r="A44" s="215">
        <v>37165</v>
      </c>
      <c r="B44" s="229">
        <v>4.75</v>
      </c>
      <c r="C44" s="230">
        <v>3.75</v>
      </c>
      <c r="D44" s="231">
        <v>2.5</v>
      </c>
      <c r="E44" s="232">
        <v>1.5</v>
      </c>
      <c r="F44" s="233">
        <v>0.5</v>
      </c>
      <c r="G44" s="233">
        <v>0</v>
      </c>
      <c r="H44" s="232">
        <v>-0.5</v>
      </c>
      <c r="I44" s="233">
        <v>-0.75</v>
      </c>
      <c r="J44" s="232">
        <v>-0.5</v>
      </c>
      <c r="K44" s="232">
        <v>0</v>
      </c>
      <c r="L44" s="232">
        <v>1</v>
      </c>
      <c r="M44" s="233">
        <v>1.75</v>
      </c>
      <c r="N44" s="233">
        <v>2.5</v>
      </c>
      <c r="O44" s="232">
        <v>3.25</v>
      </c>
      <c r="P44" s="233">
        <v>4</v>
      </c>
      <c r="Q44" s="232">
        <v>4.75</v>
      </c>
      <c r="R44" s="233">
        <v>6</v>
      </c>
      <c r="S44" s="234">
        <v>7.25</v>
      </c>
      <c r="T44" s="235">
        <v>16.260978154878529</v>
      </c>
      <c r="U44" s="230">
        <v>58.403635071802682</v>
      </c>
    </row>
    <row r="45" spans="1:21" x14ac:dyDescent="0.25">
      <c r="A45" s="216">
        <v>37196</v>
      </c>
      <c r="B45" s="236">
        <v>4.5</v>
      </c>
      <c r="C45" s="237">
        <v>3.5</v>
      </c>
      <c r="D45" s="238">
        <v>2.25</v>
      </c>
      <c r="E45" s="239">
        <v>1.25</v>
      </c>
      <c r="F45" s="240">
        <v>0.25</v>
      </c>
      <c r="G45" s="240">
        <v>-0.25</v>
      </c>
      <c r="H45" s="239">
        <v>-0.75</v>
      </c>
      <c r="I45" s="240">
        <v>-1</v>
      </c>
      <c r="J45" s="239">
        <v>-0.75</v>
      </c>
      <c r="K45" s="239">
        <v>0</v>
      </c>
      <c r="L45" s="239">
        <v>1.25</v>
      </c>
      <c r="M45" s="240">
        <v>2.5</v>
      </c>
      <c r="N45" s="240">
        <v>3</v>
      </c>
      <c r="O45" s="239">
        <v>3.75</v>
      </c>
      <c r="P45" s="240">
        <v>4.5</v>
      </c>
      <c r="Q45" s="239">
        <v>5</v>
      </c>
      <c r="R45" s="240">
        <v>6.25</v>
      </c>
      <c r="S45" s="241">
        <v>7.5</v>
      </c>
      <c r="T45" s="242">
        <v>12</v>
      </c>
      <c r="U45" s="237">
        <v>44</v>
      </c>
    </row>
    <row r="46" spans="1:21" x14ac:dyDescent="0.25">
      <c r="A46" s="216">
        <v>37226</v>
      </c>
      <c r="B46" s="236">
        <v>4.5</v>
      </c>
      <c r="C46" s="237">
        <v>3.5</v>
      </c>
      <c r="D46" s="238">
        <v>2.25</v>
      </c>
      <c r="E46" s="239">
        <v>1.25</v>
      </c>
      <c r="F46" s="240">
        <v>0.25</v>
      </c>
      <c r="G46" s="240">
        <v>-0.25</v>
      </c>
      <c r="H46" s="239">
        <v>-0.75</v>
      </c>
      <c r="I46" s="240">
        <v>-1</v>
      </c>
      <c r="J46" s="239">
        <v>-0.75</v>
      </c>
      <c r="K46" s="239">
        <v>0</v>
      </c>
      <c r="L46" s="239">
        <v>1.25</v>
      </c>
      <c r="M46" s="240">
        <v>2.5</v>
      </c>
      <c r="N46" s="240">
        <v>3</v>
      </c>
      <c r="O46" s="239">
        <v>3.75</v>
      </c>
      <c r="P46" s="240">
        <v>4.5</v>
      </c>
      <c r="Q46" s="239">
        <v>5</v>
      </c>
      <c r="R46" s="240">
        <v>6.25</v>
      </c>
      <c r="S46" s="241">
        <v>7.5</v>
      </c>
      <c r="T46" s="242">
        <v>12</v>
      </c>
      <c r="U46" s="237">
        <v>44</v>
      </c>
    </row>
    <row r="47" spans="1:21" x14ac:dyDescent="0.25">
      <c r="A47" s="216">
        <v>37257</v>
      </c>
      <c r="B47" s="236">
        <v>4.5</v>
      </c>
      <c r="C47" s="237">
        <v>3.5</v>
      </c>
      <c r="D47" s="238">
        <v>2.25</v>
      </c>
      <c r="E47" s="239">
        <v>1.25</v>
      </c>
      <c r="F47" s="240">
        <v>0.25</v>
      </c>
      <c r="G47" s="240">
        <v>-0.25</v>
      </c>
      <c r="H47" s="239">
        <v>-0.75</v>
      </c>
      <c r="I47" s="240">
        <v>-1</v>
      </c>
      <c r="J47" s="239">
        <v>-0.75</v>
      </c>
      <c r="K47" s="239">
        <v>0</v>
      </c>
      <c r="L47" s="239">
        <v>1.25</v>
      </c>
      <c r="M47" s="240">
        <v>2.5</v>
      </c>
      <c r="N47" s="240">
        <v>3</v>
      </c>
      <c r="O47" s="239">
        <v>3.75</v>
      </c>
      <c r="P47" s="240">
        <v>4.5</v>
      </c>
      <c r="Q47" s="239">
        <v>5</v>
      </c>
      <c r="R47" s="240">
        <v>6.25</v>
      </c>
      <c r="S47" s="241">
        <v>7.5</v>
      </c>
      <c r="T47" s="242">
        <v>12</v>
      </c>
      <c r="U47" s="237">
        <v>44</v>
      </c>
    </row>
    <row r="48" spans="1:21" x14ac:dyDescent="0.25">
      <c r="A48" s="216">
        <v>37288</v>
      </c>
      <c r="B48" s="236">
        <v>4.5</v>
      </c>
      <c r="C48" s="237">
        <v>3.5</v>
      </c>
      <c r="D48" s="238">
        <v>2.25</v>
      </c>
      <c r="E48" s="239">
        <v>1.25</v>
      </c>
      <c r="F48" s="240">
        <v>0.25</v>
      </c>
      <c r="G48" s="240">
        <v>-0.25</v>
      </c>
      <c r="H48" s="239">
        <v>-0.75</v>
      </c>
      <c r="I48" s="240">
        <v>-1</v>
      </c>
      <c r="J48" s="239">
        <v>-0.75</v>
      </c>
      <c r="K48" s="239">
        <v>0</v>
      </c>
      <c r="L48" s="239">
        <v>1.25</v>
      </c>
      <c r="M48" s="240">
        <v>2.5</v>
      </c>
      <c r="N48" s="240">
        <v>3</v>
      </c>
      <c r="O48" s="239">
        <v>3.75</v>
      </c>
      <c r="P48" s="240">
        <v>4.5</v>
      </c>
      <c r="Q48" s="239">
        <v>5</v>
      </c>
      <c r="R48" s="240">
        <v>6.25</v>
      </c>
      <c r="S48" s="241">
        <v>7.5</v>
      </c>
      <c r="T48" s="242">
        <v>12</v>
      </c>
      <c r="U48" s="237">
        <v>44</v>
      </c>
    </row>
    <row r="49" spans="1:21" x14ac:dyDescent="0.25">
      <c r="A49" s="216">
        <v>37316</v>
      </c>
      <c r="B49" s="236">
        <v>4.5</v>
      </c>
      <c r="C49" s="237">
        <v>3.5</v>
      </c>
      <c r="D49" s="238">
        <v>2.25</v>
      </c>
      <c r="E49" s="239">
        <v>1.25</v>
      </c>
      <c r="F49" s="240">
        <v>0.25</v>
      </c>
      <c r="G49" s="240">
        <v>-0.25</v>
      </c>
      <c r="H49" s="239">
        <v>-0.75</v>
      </c>
      <c r="I49" s="240">
        <v>-1</v>
      </c>
      <c r="J49" s="239">
        <v>-0.75</v>
      </c>
      <c r="K49" s="239">
        <v>0</v>
      </c>
      <c r="L49" s="239">
        <v>1.2</v>
      </c>
      <c r="M49" s="240">
        <v>2.4</v>
      </c>
      <c r="N49" s="240">
        <v>2.9</v>
      </c>
      <c r="O49" s="239">
        <v>3.65</v>
      </c>
      <c r="P49" s="240">
        <v>4.4000000000000004</v>
      </c>
      <c r="Q49" s="239">
        <v>4.9000000000000004</v>
      </c>
      <c r="R49" s="240">
        <v>6.1</v>
      </c>
      <c r="S49" s="241">
        <v>7.3</v>
      </c>
      <c r="T49" s="242">
        <v>12</v>
      </c>
      <c r="U49" s="237">
        <v>44</v>
      </c>
    </row>
    <row r="50" spans="1:21" x14ac:dyDescent="0.25">
      <c r="A50" s="216">
        <v>37347</v>
      </c>
      <c r="B50" s="236">
        <v>4</v>
      </c>
      <c r="C50" s="237">
        <v>3</v>
      </c>
      <c r="D50" s="238">
        <v>1.5</v>
      </c>
      <c r="E50" s="239">
        <v>0.5</v>
      </c>
      <c r="F50" s="240">
        <v>0.1</v>
      </c>
      <c r="G50" s="240">
        <v>-0.25</v>
      </c>
      <c r="H50" s="239">
        <v>-0.5</v>
      </c>
      <c r="I50" s="240">
        <v>-0.85</v>
      </c>
      <c r="J50" s="239">
        <v>-0.65</v>
      </c>
      <c r="K50" s="239">
        <v>0</v>
      </c>
      <c r="L50" s="239">
        <v>0.9</v>
      </c>
      <c r="M50" s="240">
        <v>1.5</v>
      </c>
      <c r="N50" s="240">
        <v>2.25</v>
      </c>
      <c r="O50" s="239">
        <v>2.5</v>
      </c>
      <c r="P50" s="240">
        <v>3.35</v>
      </c>
      <c r="Q50" s="239">
        <v>3.5</v>
      </c>
      <c r="R50" s="240">
        <v>4.5</v>
      </c>
      <c r="S50" s="241">
        <v>5.25</v>
      </c>
      <c r="T50" s="242">
        <v>8.1999999999999993</v>
      </c>
      <c r="U50" s="237">
        <v>29</v>
      </c>
    </row>
    <row r="51" spans="1:21" x14ac:dyDescent="0.25">
      <c r="A51" s="216">
        <v>37377</v>
      </c>
      <c r="B51" s="243">
        <v>3</v>
      </c>
      <c r="C51" s="244">
        <v>2</v>
      </c>
      <c r="D51" s="238">
        <v>1</v>
      </c>
      <c r="E51" s="239">
        <v>0.75</v>
      </c>
      <c r="F51" s="240">
        <v>0.25</v>
      </c>
      <c r="G51" s="240">
        <v>0</v>
      </c>
      <c r="H51" s="245">
        <v>-0.4</v>
      </c>
      <c r="I51" s="240">
        <v>-0.6</v>
      </c>
      <c r="J51" s="245">
        <v>-0.6</v>
      </c>
      <c r="K51" s="245">
        <v>0</v>
      </c>
      <c r="L51" s="245">
        <v>0.8</v>
      </c>
      <c r="M51" s="240">
        <v>1.25</v>
      </c>
      <c r="N51" s="240">
        <v>1.75</v>
      </c>
      <c r="O51" s="245">
        <v>2.25</v>
      </c>
      <c r="P51" s="240">
        <v>2.85</v>
      </c>
      <c r="Q51" s="245">
        <v>3.25</v>
      </c>
      <c r="R51" s="240">
        <v>4.25</v>
      </c>
      <c r="S51" s="246">
        <v>5</v>
      </c>
      <c r="T51" s="247">
        <v>8.1999999999999993</v>
      </c>
      <c r="U51" s="244">
        <v>29</v>
      </c>
    </row>
    <row r="52" spans="1:21" x14ac:dyDescent="0.25">
      <c r="A52" s="216">
        <v>37408</v>
      </c>
      <c r="B52" s="243">
        <v>3</v>
      </c>
      <c r="C52" s="244">
        <v>2</v>
      </c>
      <c r="D52" s="238">
        <v>1</v>
      </c>
      <c r="E52" s="239">
        <v>0.75</v>
      </c>
      <c r="F52" s="240">
        <v>0.25</v>
      </c>
      <c r="G52" s="240">
        <v>0</v>
      </c>
      <c r="H52" s="245">
        <v>-0.4</v>
      </c>
      <c r="I52" s="240">
        <v>-0.6</v>
      </c>
      <c r="J52" s="245">
        <v>-0.6</v>
      </c>
      <c r="K52" s="245">
        <v>0</v>
      </c>
      <c r="L52" s="245">
        <v>0.8</v>
      </c>
      <c r="M52" s="240">
        <v>1.25</v>
      </c>
      <c r="N52" s="240">
        <v>1.75</v>
      </c>
      <c r="O52" s="245">
        <v>2.25</v>
      </c>
      <c r="P52" s="240">
        <v>2.85</v>
      </c>
      <c r="Q52" s="245">
        <v>3.25</v>
      </c>
      <c r="R52" s="240">
        <v>4.25</v>
      </c>
      <c r="S52" s="246">
        <v>5</v>
      </c>
      <c r="T52" s="247">
        <v>8.1999999999999993</v>
      </c>
      <c r="U52" s="244">
        <v>29</v>
      </c>
    </row>
    <row r="53" spans="1:21" x14ac:dyDescent="0.25">
      <c r="A53" s="216">
        <v>37438</v>
      </c>
      <c r="B53" s="243">
        <v>3</v>
      </c>
      <c r="C53" s="244">
        <v>2</v>
      </c>
      <c r="D53" s="238">
        <v>1</v>
      </c>
      <c r="E53" s="239">
        <v>0.75</v>
      </c>
      <c r="F53" s="240">
        <v>0.25</v>
      </c>
      <c r="G53" s="240">
        <v>0</v>
      </c>
      <c r="H53" s="245">
        <v>-0.4</v>
      </c>
      <c r="I53" s="240">
        <v>-0.6</v>
      </c>
      <c r="J53" s="245">
        <v>-0.6</v>
      </c>
      <c r="K53" s="245">
        <v>0</v>
      </c>
      <c r="L53" s="245">
        <v>0.8</v>
      </c>
      <c r="M53" s="240">
        <v>1.25</v>
      </c>
      <c r="N53" s="240">
        <v>1.75</v>
      </c>
      <c r="O53" s="245">
        <v>2.25</v>
      </c>
      <c r="P53" s="240">
        <v>2.85</v>
      </c>
      <c r="Q53" s="245">
        <v>3.25</v>
      </c>
      <c r="R53" s="240">
        <v>4.25</v>
      </c>
      <c r="S53" s="246">
        <v>5</v>
      </c>
      <c r="T53" s="247">
        <v>8.1999999999999993</v>
      </c>
      <c r="U53" s="244">
        <v>29</v>
      </c>
    </row>
    <row r="54" spans="1:21" x14ac:dyDescent="0.25">
      <c r="A54" s="216">
        <v>37469</v>
      </c>
      <c r="B54" s="243">
        <v>3</v>
      </c>
      <c r="C54" s="244">
        <v>2</v>
      </c>
      <c r="D54" s="238">
        <v>1</v>
      </c>
      <c r="E54" s="239">
        <v>0.75</v>
      </c>
      <c r="F54" s="240">
        <v>0.25</v>
      </c>
      <c r="G54" s="240">
        <v>0</v>
      </c>
      <c r="H54" s="245">
        <v>-0.4</v>
      </c>
      <c r="I54" s="240">
        <v>-0.6</v>
      </c>
      <c r="J54" s="245">
        <v>-0.6</v>
      </c>
      <c r="K54" s="245">
        <v>0</v>
      </c>
      <c r="L54" s="245">
        <v>0.8</v>
      </c>
      <c r="M54" s="240">
        <v>1.25</v>
      </c>
      <c r="N54" s="240">
        <v>1.75</v>
      </c>
      <c r="O54" s="245">
        <v>2.25</v>
      </c>
      <c r="P54" s="240">
        <v>2.85</v>
      </c>
      <c r="Q54" s="245">
        <v>3.25</v>
      </c>
      <c r="R54" s="240">
        <v>4.25</v>
      </c>
      <c r="S54" s="246">
        <v>5</v>
      </c>
      <c r="T54" s="248">
        <v>8.1999999999999993</v>
      </c>
      <c r="U54" s="249">
        <v>29</v>
      </c>
    </row>
    <row r="55" spans="1:21" x14ac:dyDescent="0.25">
      <c r="A55" s="216">
        <v>37500</v>
      </c>
      <c r="B55" s="243">
        <v>3</v>
      </c>
      <c r="C55" s="244">
        <v>2</v>
      </c>
      <c r="D55" s="238">
        <v>1</v>
      </c>
      <c r="E55" s="239">
        <v>0.75</v>
      </c>
      <c r="F55" s="240">
        <v>0.25</v>
      </c>
      <c r="G55" s="240">
        <v>0</v>
      </c>
      <c r="H55" s="245">
        <v>-0.4</v>
      </c>
      <c r="I55" s="240">
        <v>-0.6</v>
      </c>
      <c r="J55" s="245">
        <v>-0.6</v>
      </c>
      <c r="K55" s="245">
        <v>0</v>
      </c>
      <c r="L55" s="245">
        <v>0.8</v>
      </c>
      <c r="M55" s="240">
        <v>1.25</v>
      </c>
      <c r="N55" s="240">
        <v>1.75</v>
      </c>
      <c r="O55" s="245">
        <v>2.25</v>
      </c>
      <c r="P55" s="240">
        <v>2.85</v>
      </c>
      <c r="Q55" s="245">
        <v>3.25</v>
      </c>
      <c r="R55" s="240">
        <v>4.25</v>
      </c>
      <c r="S55" s="246">
        <v>5</v>
      </c>
      <c r="T55" s="247">
        <v>8.1999999999999993</v>
      </c>
      <c r="U55" s="244">
        <v>29</v>
      </c>
    </row>
    <row r="56" spans="1:21" x14ac:dyDescent="0.25">
      <c r="A56" s="216">
        <v>37530</v>
      </c>
      <c r="B56" s="243">
        <v>3</v>
      </c>
      <c r="C56" s="244">
        <v>2</v>
      </c>
      <c r="D56" s="238">
        <v>1</v>
      </c>
      <c r="E56" s="239">
        <v>0.75</v>
      </c>
      <c r="F56" s="240">
        <v>0.25</v>
      </c>
      <c r="G56" s="240">
        <v>0</v>
      </c>
      <c r="H56" s="245">
        <v>-0.4</v>
      </c>
      <c r="I56" s="240">
        <v>-0.6</v>
      </c>
      <c r="J56" s="245">
        <v>-0.6</v>
      </c>
      <c r="K56" s="245">
        <v>0</v>
      </c>
      <c r="L56" s="245">
        <v>0.8</v>
      </c>
      <c r="M56" s="240">
        <v>1.25</v>
      </c>
      <c r="N56" s="240">
        <v>1.75</v>
      </c>
      <c r="O56" s="245">
        <v>2.25</v>
      </c>
      <c r="P56" s="240">
        <v>2.85</v>
      </c>
      <c r="Q56" s="245">
        <v>3.25</v>
      </c>
      <c r="R56" s="240">
        <v>4.25</v>
      </c>
      <c r="S56" s="246">
        <v>5</v>
      </c>
      <c r="T56" s="247">
        <v>8.1999999999999993</v>
      </c>
      <c r="U56" s="244">
        <v>29</v>
      </c>
    </row>
    <row r="57" spans="1:21" x14ac:dyDescent="0.25">
      <c r="A57" s="216">
        <v>37561</v>
      </c>
      <c r="B57" s="243">
        <v>3</v>
      </c>
      <c r="C57" s="244">
        <v>2</v>
      </c>
      <c r="D57" s="238">
        <v>1</v>
      </c>
      <c r="E57" s="239">
        <v>0.75</v>
      </c>
      <c r="F57" s="240">
        <v>0.25</v>
      </c>
      <c r="G57" s="240">
        <v>0</v>
      </c>
      <c r="H57" s="245">
        <v>-0.4</v>
      </c>
      <c r="I57" s="240">
        <v>-0.6</v>
      </c>
      <c r="J57" s="245">
        <v>-0.6</v>
      </c>
      <c r="K57" s="245">
        <v>0</v>
      </c>
      <c r="L57" s="245">
        <v>0.8</v>
      </c>
      <c r="M57" s="240">
        <v>1.25</v>
      </c>
      <c r="N57" s="240">
        <v>1.75</v>
      </c>
      <c r="O57" s="245">
        <v>2.25</v>
      </c>
      <c r="P57" s="240">
        <v>2.85</v>
      </c>
      <c r="Q57" s="245">
        <v>3.25</v>
      </c>
      <c r="R57" s="240">
        <v>4.25</v>
      </c>
      <c r="S57" s="246">
        <v>5</v>
      </c>
      <c r="T57" s="247">
        <v>8.1999999999999993</v>
      </c>
      <c r="U57" s="244">
        <v>29</v>
      </c>
    </row>
    <row r="58" spans="1:21" x14ac:dyDescent="0.25">
      <c r="A58" s="216">
        <v>37591</v>
      </c>
      <c r="B58" s="243">
        <v>3</v>
      </c>
      <c r="C58" s="244">
        <v>2</v>
      </c>
      <c r="D58" s="238">
        <v>1</v>
      </c>
      <c r="E58" s="239">
        <v>0.75</v>
      </c>
      <c r="F58" s="240">
        <v>0.25</v>
      </c>
      <c r="G58" s="240">
        <v>0</v>
      </c>
      <c r="H58" s="245">
        <v>-0.4</v>
      </c>
      <c r="I58" s="240">
        <v>-0.6</v>
      </c>
      <c r="J58" s="245">
        <v>-0.6</v>
      </c>
      <c r="K58" s="245">
        <v>0</v>
      </c>
      <c r="L58" s="245">
        <v>0.8</v>
      </c>
      <c r="M58" s="240">
        <v>1.25</v>
      </c>
      <c r="N58" s="240">
        <v>1.75</v>
      </c>
      <c r="O58" s="245">
        <v>2.25</v>
      </c>
      <c r="P58" s="240">
        <v>2.85</v>
      </c>
      <c r="Q58" s="245">
        <v>3.25</v>
      </c>
      <c r="R58" s="240">
        <v>4.25</v>
      </c>
      <c r="S58" s="246">
        <v>5</v>
      </c>
      <c r="T58" s="247">
        <v>8.1999999999999993</v>
      </c>
      <c r="U58" s="244">
        <v>29</v>
      </c>
    </row>
    <row r="59" spans="1:21" x14ac:dyDescent="0.25">
      <c r="A59" s="217">
        <v>37622</v>
      </c>
      <c r="B59" s="250">
        <v>3</v>
      </c>
      <c r="C59" s="251">
        <v>2</v>
      </c>
      <c r="D59" s="252">
        <v>1</v>
      </c>
      <c r="E59" s="253">
        <v>0.75</v>
      </c>
      <c r="F59" s="254">
        <v>0.25</v>
      </c>
      <c r="G59" s="254">
        <v>0</v>
      </c>
      <c r="H59" s="253">
        <v>-0.4</v>
      </c>
      <c r="I59" s="254">
        <v>-0.6</v>
      </c>
      <c r="J59" s="253">
        <v>-0.6</v>
      </c>
      <c r="K59" s="253">
        <v>0</v>
      </c>
      <c r="L59" s="253">
        <v>0.8</v>
      </c>
      <c r="M59" s="254">
        <v>1.25</v>
      </c>
      <c r="N59" s="254">
        <v>1.75</v>
      </c>
      <c r="O59" s="253">
        <v>2.25</v>
      </c>
      <c r="P59" s="254">
        <v>2.85</v>
      </c>
      <c r="Q59" s="253">
        <v>3.25</v>
      </c>
      <c r="R59" s="254">
        <v>4.25</v>
      </c>
      <c r="S59" s="251">
        <v>5</v>
      </c>
      <c r="T59" s="255">
        <v>8.1999999999999993</v>
      </c>
      <c r="U59" s="256">
        <v>29</v>
      </c>
    </row>
    <row r="60" spans="1:21" x14ac:dyDescent="0.25">
      <c r="A60" s="217">
        <v>37653</v>
      </c>
      <c r="B60" s="250">
        <v>3</v>
      </c>
      <c r="C60" s="251">
        <v>2</v>
      </c>
      <c r="D60" s="252">
        <v>1</v>
      </c>
      <c r="E60" s="253">
        <v>0.75</v>
      </c>
      <c r="F60" s="254">
        <v>0.25</v>
      </c>
      <c r="G60" s="254">
        <v>0</v>
      </c>
      <c r="H60" s="253">
        <v>-0.4</v>
      </c>
      <c r="I60" s="254">
        <v>-0.6</v>
      </c>
      <c r="J60" s="253">
        <v>-0.6</v>
      </c>
      <c r="K60" s="253">
        <v>0</v>
      </c>
      <c r="L60" s="253">
        <v>0.8</v>
      </c>
      <c r="M60" s="254">
        <v>1.25</v>
      </c>
      <c r="N60" s="254">
        <v>1.75</v>
      </c>
      <c r="O60" s="253">
        <v>2.25</v>
      </c>
      <c r="P60" s="254">
        <v>2.85</v>
      </c>
      <c r="Q60" s="253">
        <v>3.25</v>
      </c>
      <c r="R60" s="254">
        <v>4.25</v>
      </c>
      <c r="S60" s="251">
        <v>5</v>
      </c>
      <c r="T60" s="255">
        <v>8.1999999999999993</v>
      </c>
      <c r="U60" s="256">
        <v>29</v>
      </c>
    </row>
    <row r="61" spans="1:21" x14ac:dyDescent="0.25">
      <c r="A61" s="217">
        <v>37681</v>
      </c>
      <c r="B61" s="250">
        <v>3</v>
      </c>
      <c r="C61" s="251">
        <v>2</v>
      </c>
      <c r="D61" s="252">
        <v>1</v>
      </c>
      <c r="E61" s="253">
        <v>0.75</v>
      </c>
      <c r="F61" s="254">
        <v>0.25</v>
      </c>
      <c r="G61" s="254">
        <v>0</v>
      </c>
      <c r="H61" s="253">
        <v>-0.4</v>
      </c>
      <c r="I61" s="254">
        <v>-0.6</v>
      </c>
      <c r="J61" s="253">
        <v>-0.6</v>
      </c>
      <c r="K61" s="253">
        <v>0</v>
      </c>
      <c r="L61" s="253">
        <v>0.8</v>
      </c>
      <c r="M61" s="254">
        <v>1.25</v>
      </c>
      <c r="N61" s="254">
        <v>1.75</v>
      </c>
      <c r="O61" s="253">
        <v>2.25</v>
      </c>
      <c r="P61" s="254">
        <v>2.85</v>
      </c>
      <c r="Q61" s="253">
        <v>3.25</v>
      </c>
      <c r="R61" s="254">
        <v>4.25</v>
      </c>
      <c r="S61" s="251">
        <v>5</v>
      </c>
      <c r="T61" s="255">
        <v>8.1999999999999993</v>
      </c>
      <c r="U61" s="256">
        <v>29</v>
      </c>
    </row>
    <row r="62" spans="1:21" x14ac:dyDescent="0.25">
      <c r="A62" s="217">
        <v>37712</v>
      </c>
      <c r="B62" s="250">
        <v>3</v>
      </c>
      <c r="C62" s="251">
        <v>2</v>
      </c>
      <c r="D62" s="252">
        <v>0.75</v>
      </c>
      <c r="E62" s="253">
        <v>0.5</v>
      </c>
      <c r="F62" s="254">
        <v>0.25</v>
      </c>
      <c r="G62" s="254">
        <v>0</v>
      </c>
      <c r="H62" s="253">
        <v>-0.35</v>
      </c>
      <c r="I62" s="254">
        <v>-0.5</v>
      </c>
      <c r="J62" s="253">
        <v>-0.55000000000000004</v>
      </c>
      <c r="K62" s="253">
        <v>0</v>
      </c>
      <c r="L62" s="253">
        <v>0.8</v>
      </c>
      <c r="M62" s="254">
        <v>1.25</v>
      </c>
      <c r="N62" s="254">
        <v>1.75</v>
      </c>
      <c r="O62" s="253">
        <v>2.25</v>
      </c>
      <c r="P62" s="254">
        <v>2.85</v>
      </c>
      <c r="Q62" s="253">
        <v>3.25</v>
      </c>
      <c r="R62" s="254">
        <v>4.25</v>
      </c>
      <c r="S62" s="251">
        <v>5</v>
      </c>
      <c r="T62" s="255">
        <v>8.1999999999999993</v>
      </c>
      <c r="U62" s="256">
        <v>29</v>
      </c>
    </row>
    <row r="63" spans="1:21" x14ac:dyDescent="0.25">
      <c r="A63" s="217">
        <v>37742</v>
      </c>
      <c r="B63" s="250">
        <v>3</v>
      </c>
      <c r="C63" s="251">
        <v>2</v>
      </c>
      <c r="D63" s="252">
        <v>0.75</v>
      </c>
      <c r="E63" s="253">
        <v>0.5</v>
      </c>
      <c r="F63" s="254">
        <v>0.25</v>
      </c>
      <c r="G63" s="254">
        <v>0</v>
      </c>
      <c r="H63" s="253">
        <v>-0.35</v>
      </c>
      <c r="I63" s="254">
        <v>-0.5</v>
      </c>
      <c r="J63" s="253">
        <v>-0.55000000000000004</v>
      </c>
      <c r="K63" s="253">
        <v>0</v>
      </c>
      <c r="L63" s="253">
        <v>0.8</v>
      </c>
      <c r="M63" s="254">
        <v>1.25</v>
      </c>
      <c r="N63" s="254">
        <v>1.75</v>
      </c>
      <c r="O63" s="253">
        <v>2.25</v>
      </c>
      <c r="P63" s="254">
        <v>2.85</v>
      </c>
      <c r="Q63" s="253">
        <v>3.25</v>
      </c>
      <c r="R63" s="254">
        <v>4.25</v>
      </c>
      <c r="S63" s="251">
        <v>5</v>
      </c>
      <c r="T63" s="255">
        <v>8.1999999999999993</v>
      </c>
      <c r="U63" s="256">
        <v>29</v>
      </c>
    </row>
    <row r="64" spans="1:21" x14ac:dyDescent="0.25">
      <c r="A64" s="217">
        <v>37773</v>
      </c>
      <c r="B64" s="250">
        <v>3</v>
      </c>
      <c r="C64" s="251">
        <v>2</v>
      </c>
      <c r="D64" s="252">
        <v>0.75</v>
      </c>
      <c r="E64" s="253">
        <v>0.5</v>
      </c>
      <c r="F64" s="254">
        <v>0.25</v>
      </c>
      <c r="G64" s="254">
        <v>0</v>
      </c>
      <c r="H64" s="253">
        <v>-0.35</v>
      </c>
      <c r="I64" s="254">
        <v>-0.5</v>
      </c>
      <c r="J64" s="253">
        <v>-0.55000000000000004</v>
      </c>
      <c r="K64" s="253">
        <v>0</v>
      </c>
      <c r="L64" s="253">
        <v>0.8</v>
      </c>
      <c r="M64" s="254">
        <v>1.25</v>
      </c>
      <c r="N64" s="254">
        <v>1.75</v>
      </c>
      <c r="O64" s="253">
        <v>2.25</v>
      </c>
      <c r="P64" s="254">
        <v>2.85</v>
      </c>
      <c r="Q64" s="253">
        <v>3.25</v>
      </c>
      <c r="R64" s="254">
        <v>4.25</v>
      </c>
      <c r="S64" s="251">
        <v>5</v>
      </c>
      <c r="T64" s="255">
        <v>8.1999999999999993</v>
      </c>
      <c r="U64" s="256">
        <v>29</v>
      </c>
    </row>
    <row r="65" spans="1:21" x14ac:dyDescent="0.25">
      <c r="A65" s="217">
        <v>37803</v>
      </c>
      <c r="B65" s="250">
        <v>3</v>
      </c>
      <c r="C65" s="251">
        <v>2</v>
      </c>
      <c r="D65" s="252">
        <v>0.75</v>
      </c>
      <c r="E65" s="253">
        <v>0.5</v>
      </c>
      <c r="F65" s="254">
        <v>0.25</v>
      </c>
      <c r="G65" s="254">
        <v>0</v>
      </c>
      <c r="H65" s="253">
        <v>-0.35</v>
      </c>
      <c r="I65" s="254">
        <v>-0.5</v>
      </c>
      <c r="J65" s="253">
        <v>-0.55000000000000004</v>
      </c>
      <c r="K65" s="253">
        <v>0</v>
      </c>
      <c r="L65" s="253">
        <v>0.8</v>
      </c>
      <c r="M65" s="254">
        <v>1.25</v>
      </c>
      <c r="N65" s="254">
        <v>1.75</v>
      </c>
      <c r="O65" s="253">
        <v>2.25</v>
      </c>
      <c r="P65" s="254">
        <v>2.85</v>
      </c>
      <c r="Q65" s="253">
        <v>3.25</v>
      </c>
      <c r="R65" s="254">
        <v>4.25</v>
      </c>
      <c r="S65" s="251">
        <v>5</v>
      </c>
      <c r="T65" s="255">
        <v>8.1999999999999993</v>
      </c>
      <c r="U65" s="256">
        <v>29</v>
      </c>
    </row>
    <row r="66" spans="1:21" x14ac:dyDescent="0.25">
      <c r="A66" s="217">
        <v>37834</v>
      </c>
      <c r="B66" s="250">
        <v>3</v>
      </c>
      <c r="C66" s="251">
        <v>2</v>
      </c>
      <c r="D66" s="252">
        <v>0.75</v>
      </c>
      <c r="E66" s="253">
        <v>0.5</v>
      </c>
      <c r="F66" s="254">
        <v>0.25</v>
      </c>
      <c r="G66" s="254">
        <v>0</v>
      </c>
      <c r="H66" s="253">
        <v>-0.35</v>
      </c>
      <c r="I66" s="254">
        <v>-0.5</v>
      </c>
      <c r="J66" s="253">
        <v>-0.55000000000000004</v>
      </c>
      <c r="K66" s="253">
        <v>0</v>
      </c>
      <c r="L66" s="253">
        <v>0.8</v>
      </c>
      <c r="M66" s="254">
        <v>1.25</v>
      </c>
      <c r="N66" s="254">
        <v>1.75</v>
      </c>
      <c r="O66" s="253">
        <v>2.25</v>
      </c>
      <c r="P66" s="254">
        <v>2.85</v>
      </c>
      <c r="Q66" s="253">
        <v>3.25</v>
      </c>
      <c r="R66" s="254">
        <v>4.25</v>
      </c>
      <c r="S66" s="251">
        <v>5</v>
      </c>
      <c r="T66" s="255">
        <v>8.1999999999999993</v>
      </c>
      <c r="U66" s="256">
        <v>29</v>
      </c>
    </row>
    <row r="67" spans="1:21" x14ac:dyDescent="0.25">
      <c r="A67" s="217">
        <v>37865</v>
      </c>
      <c r="B67" s="250">
        <v>3</v>
      </c>
      <c r="C67" s="251">
        <v>2</v>
      </c>
      <c r="D67" s="252">
        <v>0.75</v>
      </c>
      <c r="E67" s="253">
        <v>0.5</v>
      </c>
      <c r="F67" s="254">
        <v>0.25</v>
      </c>
      <c r="G67" s="254">
        <v>0</v>
      </c>
      <c r="H67" s="253">
        <v>-0.35</v>
      </c>
      <c r="I67" s="254">
        <v>-0.5</v>
      </c>
      <c r="J67" s="253">
        <v>-0.55000000000000004</v>
      </c>
      <c r="K67" s="253">
        <v>0</v>
      </c>
      <c r="L67" s="253">
        <v>0.8</v>
      </c>
      <c r="M67" s="254">
        <v>1.25</v>
      </c>
      <c r="N67" s="254">
        <v>1.75</v>
      </c>
      <c r="O67" s="253">
        <v>2.25</v>
      </c>
      <c r="P67" s="254">
        <v>2.85</v>
      </c>
      <c r="Q67" s="253">
        <v>3.25</v>
      </c>
      <c r="R67" s="254">
        <v>4.25</v>
      </c>
      <c r="S67" s="251">
        <v>5</v>
      </c>
      <c r="T67" s="255">
        <v>8.1999999999999993</v>
      </c>
      <c r="U67" s="256">
        <v>29</v>
      </c>
    </row>
    <row r="68" spans="1:21" x14ac:dyDescent="0.25">
      <c r="A68" s="217">
        <v>37895</v>
      </c>
      <c r="B68" s="250">
        <v>3</v>
      </c>
      <c r="C68" s="251">
        <v>2</v>
      </c>
      <c r="D68" s="252">
        <v>0.75</v>
      </c>
      <c r="E68" s="253">
        <v>0.5</v>
      </c>
      <c r="F68" s="254">
        <v>0.25</v>
      </c>
      <c r="G68" s="254">
        <v>0</v>
      </c>
      <c r="H68" s="253">
        <v>-0.35</v>
      </c>
      <c r="I68" s="254">
        <v>-0.5</v>
      </c>
      <c r="J68" s="253">
        <v>-0.55000000000000004</v>
      </c>
      <c r="K68" s="253">
        <v>0</v>
      </c>
      <c r="L68" s="253">
        <v>0.8</v>
      </c>
      <c r="M68" s="254">
        <v>1.25</v>
      </c>
      <c r="N68" s="254">
        <v>1.75</v>
      </c>
      <c r="O68" s="253">
        <v>2.25</v>
      </c>
      <c r="P68" s="254">
        <v>2.85</v>
      </c>
      <c r="Q68" s="253">
        <v>3.25</v>
      </c>
      <c r="R68" s="254">
        <v>4.25</v>
      </c>
      <c r="S68" s="251">
        <v>5</v>
      </c>
      <c r="T68" s="255">
        <v>8.1999999999999993</v>
      </c>
      <c r="U68" s="256">
        <v>29</v>
      </c>
    </row>
    <row r="69" spans="1:21" x14ac:dyDescent="0.25">
      <c r="A69" s="217">
        <v>37926</v>
      </c>
      <c r="B69" s="250">
        <v>3</v>
      </c>
      <c r="C69" s="251">
        <v>2</v>
      </c>
      <c r="D69" s="252">
        <v>0.75</v>
      </c>
      <c r="E69" s="253">
        <v>0.5</v>
      </c>
      <c r="F69" s="254">
        <v>0.25</v>
      </c>
      <c r="G69" s="254">
        <v>0</v>
      </c>
      <c r="H69" s="253">
        <v>-0.35</v>
      </c>
      <c r="I69" s="254">
        <v>-0.5</v>
      </c>
      <c r="J69" s="253">
        <v>-0.55000000000000004</v>
      </c>
      <c r="K69" s="253">
        <v>0</v>
      </c>
      <c r="L69" s="253">
        <v>0.8</v>
      </c>
      <c r="M69" s="254">
        <v>1.25</v>
      </c>
      <c r="N69" s="254">
        <v>1.75</v>
      </c>
      <c r="O69" s="253">
        <v>2.25</v>
      </c>
      <c r="P69" s="254">
        <v>2.85</v>
      </c>
      <c r="Q69" s="253">
        <v>3.25</v>
      </c>
      <c r="R69" s="254">
        <v>4.25</v>
      </c>
      <c r="S69" s="251">
        <v>5</v>
      </c>
      <c r="T69" s="255">
        <v>8.1999999999999993</v>
      </c>
      <c r="U69" s="256">
        <v>29</v>
      </c>
    </row>
    <row r="70" spans="1:21" x14ac:dyDescent="0.25">
      <c r="A70" s="217">
        <v>37956</v>
      </c>
      <c r="B70" s="250">
        <v>3</v>
      </c>
      <c r="C70" s="251">
        <v>2</v>
      </c>
      <c r="D70" s="252">
        <v>0.75</v>
      </c>
      <c r="E70" s="253">
        <v>0.5</v>
      </c>
      <c r="F70" s="254">
        <v>0.25</v>
      </c>
      <c r="G70" s="254">
        <v>0</v>
      </c>
      <c r="H70" s="253">
        <v>-0.35</v>
      </c>
      <c r="I70" s="254">
        <v>-0.5</v>
      </c>
      <c r="J70" s="253">
        <v>-0.55000000000000004</v>
      </c>
      <c r="K70" s="253">
        <v>0</v>
      </c>
      <c r="L70" s="253">
        <v>0.8</v>
      </c>
      <c r="M70" s="254">
        <v>1.25</v>
      </c>
      <c r="N70" s="254">
        <v>1.75</v>
      </c>
      <c r="O70" s="253">
        <v>2.25</v>
      </c>
      <c r="P70" s="254">
        <v>2.85</v>
      </c>
      <c r="Q70" s="253">
        <v>3.25</v>
      </c>
      <c r="R70" s="254">
        <v>4.25</v>
      </c>
      <c r="S70" s="251">
        <v>5</v>
      </c>
      <c r="T70" s="255">
        <v>8.1999999999999993</v>
      </c>
      <c r="U70" s="256">
        <v>29</v>
      </c>
    </row>
    <row r="71" spans="1:21" x14ac:dyDescent="0.25">
      <c r="A71" s="217">
        <v>37987</v>
      </c>
      <c r="B71" s="250">
        <v>3</v>
      </c>
      <c r="C71" s="251">
        <v>2</v>
      </c>
      <c r="D71" s="252">
        <v>0.75</v>
      </c>
      <c r="E71" s="253">
        <v>0.5</v>
      </c>
      <c r="F71" s="254">
        <v>0.25</v>
      </c>
      <c r="G71" s="254">
        <v>0</v>
      </c>
      <c r="H71" s="253">
        <v>-0.35</v>
      </c>
      <c r="I71" s="254">
        <v>-0.5</v>
      </c>
      <c r="J71" s="253">
        <v>-0.55000000000000004</v>
      </c>
      <c r="K71" s="253">
        <v>0</v>
      </c>
      <c r="L71" s="253">
        <v>0.8</v>
      </c>
      <c r="M71" s="254">
        <v>1.25</v>
      </c>
      <c r="N71" s="254">
        <v>1.75</v>
      </c>
      <c r="O71" s="253">
        <v>2.25</v>
      </c>
      <c r="P71" s="254">
        <v>2.85</v>
      </c>
      <c r="Q71" s="253">
        <v>3.25</v>
      </c>
      <c r="R71" s="254">
        <v>4.25</v>
      </c>
      <c r="S71" s="251">
        <v>5</v>
      </c>
      <c r="T71" s="255">
        <v>8.1999999999999993</v>
      </c>
      <c r="U71" s="256">
        <v>29</v>
      </c>
    </row>
    <row r="72" spans="1:21" x14ac:dyDescent="0.25">
      <c r="A72" s="217">
        <v>38018</v>
      </c>
      <c r="B72" s="250">
        <v>3</v>
      </c>
      <c r="C72" s="251">
        <v>2</v>
      </c>
      <c r="D72" s="252">
        <v>0.75</v>
      </c>
      <c r="E72" s="253">
        <v>0.5</v>
      </c>
      <c r="F72" s="254">
        <v>0.25</v>
      </c>
      <c r="G72" s="254">
        <v>0</v>
      </c>
      <c r="H72" s="253">
        <v>-0.35</v>
      </c>
      <c r="I72" s="254">
        <v>-0.5</v>
      </c>
      <c r="J72" s="253">
        <v>-0.55000000000000004</v>
      </c>
      <c r="K72" s="253">
        <v>0</v>
      </c>
      <c r="L72" s="253">
        <v>0.8</v>
      </c>
      <c r="M72" s="254">
        <v>1.25</v>
      </c>
      <c r="N72" s="254">
        <v>1.75</v>
      </c>
      <c r="O72" s="253">
        <v>2.25</v>
      </c>
      <c r="P72" s="254">
        <v>2.85</v>
      </c>
      <c r="Q72" s="253">
        <v>3.25</v>
      </c>
      <c r="R72" s="254">
        <v>4.25</v>
      </c>
      <c r="S72" s="251">
        <v>5</v>
      </c>
      <c r="T72" s="255">
        <v>8.1999999999999993</v>
      </c>
      <c r="U72" s="256">
        <v>29</v>
      </c>
    </row>
    <row r="73" spans="1:21" x14ac:dyDescent="0.25">
      <c r="A73" s="217">
        <v>38047</v>
      </c>
      <c r="B73" s="250">
        <v>3</v>
      </c>
      <c r="C73" s="251">
        <v>2</v>
      </c>
      <c r="D73" s="252">
        <v>0.75</v>
      </c>
      <c r="E73" s="253">
        <v>0.5</v>
      </c>
      <c r="F73" s="254">
        <v>0.25</v>
      </c>
      <c r="G73" s="254">
        <v>0</v>
      </c>
      <c r="H73" s="253">
        <v>-0.35</v>
      </c>
      <c r="I73" s="254">
        <v>-0.5</v>
      </c>
      <c r="J73" s="253">
        <v>-0.55000000000000004</v>
      </c>
      <c r="K73" s="253">
        <v>0</v>
      </c>
      <c r="L73" s="253">
        <v>0.8</v>
      </c>
      <c r="M73" s="254">
        <v>1.25</v>
      </c>
      <c r="N73" s="254">
        <v>1.75</v>
      </c>
      <c r="O73" s="253">
        <v>2.25</v>
      </c>
      <c r="P73" s="254">
        <v>2.85</v>
      </c>
      <c r="Q73" s="253">
        <v>3.25</v>
      </c>
      <c r="R73" s="254">
        <v>4.25</v>
      </c>
      <c r="S73" s="251">
        <v>5</v>
      </c>
      <c r="T73" s="255">
        <v>8.1999999999999993</v>
      </c>
      <c r="U73" s="256">
        <v>29</v>
      </c>
    </row>
    <row r="74" spans="1:21" x14ac:dyDescent="0.25">
      <c r="A74" s="217">
        <v>38078</v>
      </c>
      <c r="B74" s="250">
        <v>3</v>
      </c>
      <c r="C74" s="251">
        <v>2</v>
      </c>
      <c r="D74" s="252">
        <v>0.75</v>
      </c>
      <c r="E74" s="253">
        <v>0.5</v>
      </c>
      <c r="F74" s="254">
        <v>0.25</v>
      </c>
      <c r="G74" s="254">
        <v>0</v>
      </c>
      <c r="H74" s="253">
        <v>-0.3</v>
      </c>
      <c r="I74" s="254">
        <v>-0.5</v>
      </c>
      <c r="J74" s="253">
        <v>-0.55000000000000004</v>
      </c>
      <c r="K74" s="253">
        <v>0</v>
      </c>
      <c r="L74" s="253">
        <v>0.8</v>
      </c>
      <c r="M74" s="254">
        <v>1.25</v>
      </c>
      <c r="N74" s="254">
        <v>1.75</v>
      </c>
      <c r="O74" s="253">
        <v>2.25</v>
      </c>
      <c r="P74" s="254">
        <v>2.85</v>
      </c>
      <c r="Q74" s="253">
        <v>3.25</v>
      </c>
      <c r="R74" s="254">
        <v>4.25</v>
      </c>
      <c r="S74" s="251">
        <v>5</v>
      </c>
      <c r="T74" s="255">
        <v>8.1999999999999993</v>
      </c>
      <c r="U74" s="256">
        <v>29</v>
      </c>
    </row>
    <row r="75" spans="1:21" x14ac:dyDescent="0.25">
      <c r="A75" s="217">
        <v>38108</v>
      </c>
      <c r="B75" s="250">
        <v>3</v>
      </c>
      <c r="C75" s="251">
        <v>2</v>
      </c>
      <c r="D75" s="252">
        <v>0.75</v>
      </c>
      <c r="E75" s="253">
        <v>0.5</v>
      </c>
      <c r="F75" s="254">
        <v>0.25</v>
      </c>
      <c r="G75" s="254">
        <v>0</v>
      </c>
      <c r="H75" s="253">
        <v>-0.3</v>
      </c>
      <c r="I75" s="254">
        <v>-0.5</v>
      </c>
      <c r="J75" s="253">
        <v>-0.55000000000000004</v>
      </c>
      <c r="K75" s="253">
        <v>0</v>
      </c>
      <c r="L75" s="253">
        <v>0.8</v>
      </c>
      <c r="M75" s="254">
        <v>1.25</v>
      </c>
      <c r="N75" s="254">
        <v>1.75</v>
      </c>
      <c r="O75" s="253">
        <v>2.25</v>
      </c>
      <c r="P75" s="254">
        <v>2.85</v>
      </c>
      <c r="Q75" s="253">
        <v>3.25</v>
      </c>
      <c r="R75" s="254">
        <v>4.25</v>
      </c>
      <c r="S75" s="251">
        <v>5</v>
      </c>
      <c r="T75" s="255">
        <v>8.1999999999999993</v>
      </c>
      <c r="U75" s="256">
        <v>29</v>
      </c>
    </row>
    <row r="76" spans="1:21" x14ac:dyDescent="0.25">
      <c r="A76" s="217">
        <v>38139</v>
      </c>
      <c r="B76" s="250">
        <v>3</v>
      </c>
      <c r="C76" s="251">
        <v>2</v>
      </c>
      <c r="D76" s="252">
        <v>0.75</v>
      </c>
      <c r="E76" s="253">
        <v>0.5</v>
      </c>
      <c r="F76" s="254">
        <v>0.25</v>
      </c>
      <c r="G76" s="254">
        <v>0</v>
      </c>
      <c r="H76" s="253">
        <v>-0.3</v>
      </c>
      <c r="I76" s="254">
        <v>-0.5</v>
      </c>
      <c r="J76" s="253">
        <v>-0.55000000000000004</v>
      </c>
      <c r="K76" s="253">
        <v>0</v>
      </c>
      <c r="L76" s="253">
        <v>0.8</v>
      </c>
      <c r="M76" s="254">
        <v>1.25</v>
      </c>
      <c r="N76" s="254">
        <v>1.75</v>
      </c>
      <c r="O76" s="253">
        <v>2.25</v>
      </c>
      <c r="P76" s="254">
        <v>2.85</v>
      </c>
      <c r="Q76" s="253">
        <v>3.25</v>
      </c>
      <c r="R76" s="254">
        <v>4.25</v>
      </c>
      <c r="S76" s="251">
        <v>5</v>
      </c>
      <c r="T76" s="255">
        <v>8.1999999999999993</v>
      </c>
      <c r="U76" s="256">
        <v>29</v>
      </c>
    </row>
    <row r="77" spans="1:21" x14ac:dyDescent="0.25">
      <c r="A77" s="217">
        <v>38169</v>
      </c>
      <c r="B77" s="250">
        <v>3</v>
      </c>
      <c r="C77" s="251">
        <v>2</v>
      </c>
      <c r="D77" s="252">
        <v>0.75</v>
      </c>
      <c r="E77" s="253">
        <v>0.5</v>
      </c>
      <c r="F77" s="254">
        <v>0.25</v>
      </c>
      <c r="G77" s="254">
        <v>0</v>
      </c>
      <c r="H77" s="253">
        <v>-0.3</v>
      </c>
      <c r="I77" s="254">
        <v>-0.5</v>
      </c>
      <c r="J77" s="253">
        <v>-0.55000000000000004</v>
      </c>
      <c r="K77" s="253">
        <v>0</v>
      </c>
      <c r="L77" s="253">
        <v>0.8</v>
      </c>
      <c r="M77" s="254">
        <v>1.25</v>
      </c>
      <c r="N77" s="254">
        <v>1.75</v>
      </c>
      <c r="O77" s="253">
        <v>2.25</v>
      </c>
      <c r="P77" s="254">
        <v>2.85</v>
      </c>
      <c r="Q77" s="253">
        <v>3.25</v>
      </c>
      <c r="R77" s="254">
        <v>4.25</v>
      </c>
      <c r="S77" s="251">
        <v>5</v>
      </c>
      <c r="T77" s="255">
        <v>8.1999999999999993</v>
      </c>
      <c r="U77" s="256">
        <v>29</v>
      </c>
    </row>
    <row r="78" spans="1:21" x14ac:dyDescent="0.25">
      <c r="A78" s="217">
        <v>38200</v>
      </c>
      <c r="B78" s="250">
        <v>3</v>
      </c>
      <c r="C78" s="251">
        <v>2</v>
      </c>
      <c r="D78" s="252">
        <v>0.75</v>
      </c>
      <c r="E78" s="253">
        <v>0.5</v>
      </c>
      <c r="F78" s="254">
        <v>0.25</v>
      </c>
      <c r="G78" s="254">
        <v>0</v>
      </c>
      <c r="H78" s="253">
        <v>-0.3</v>
      </c>
      <c r="I78" s="254">
        <v>-0.5</v>
      </c>
      <c r="J78" s="253">
        <v>-0.55000000000000004</v>
      </c>
      <c r="K78" s="253">
        <v>0</v>
      </c>
      <c r="L78" s="253">
        <v>0.8</v>
      </c>
      <c r="M78" s="254">
        <v>1.25</v>
      </c>
      <c r="N78" s="254">
        <v>1.75</v>
      </c>
      <c r="O78" s="253">
        <v>2.25</v>
      </c>
      <c r="P78" s="254">
        <v>2.85</v>
      </c>
      <c r="Q78" s="253">
        <v>3.25</v>
      </c>
      <c r="R78" s="254">
        <v>4.25</v>
      </c>
      <c r="S78" s="251">
        <v>5</v>
      </c>
      <c r="T78" s="255">
        <v>8.1999999999999993</v>
      </c>
      <c r="U78" s="256">
        <v>29</v>
      </c>
    </row>
    <row r="79" spans="1:21" x14ac:dyDescent="0.25">
      <c r="A79" s="217">
        <v>38231</v>
      </c>
      <c r="B79" s="250">
        <v>3</v>
      </c>
      <c r="C79" s="251">
        <v>2</v>
      </c>
      <c r="D79" s="252">
        <v>0.75</v>
      </c>
      <c r="E79" s="253">
        <v>0.5</v>
      </c>
      <c r="F79" s="254">
        <v>0.25</v>
      </c>
      <c r="G79" s="254">
        <v>0</v>
      </c>
      <c r="H79" s="253">
        <v>-0.3</v>
      </c>
      <c r="I79" s="254">
        <v>-0.5</v>
      </c>
      <c r="J79" s="253">
        <v>-0.55000000000000004</v>
      </c>
      <c r="K79" s="253">
        <v>0</v>
      </c>
      <c r="L79" s="253">
        <v>0.8</v>
      </c>
      <c r="M79" s="254">
        <v>1.25</v>
      </c>
      <c r="N79" s="254">
        <v>1.75</v>
      </c>
      <c r="O79" s="253">
        <v>2.25</v>
      </c>
      <c r="P79" s="254">
        <v>2.85</v>
      </c>
      <c r="Q79" s="253">
        <v>3.25</v>
      </c>
      <c r="R79" s="254">
        <v>4.25</v>
      </c>
      <c r="S79" s="251">
        <v>5</v>
      </c>
      <c r="T79" s="255">
        <v>8.1999999999999993</v>
      </c>
      <c r="U79" s="256">
        <v>29</v>
      </c>
    </row>
    <row r="80" spans="1:21" x14ac:dyDescent="0.25">
      <c r="A80" s="217">
        <v>40513</v>
      </c>
      <c r="B80" s="250">
        <v>3</v>
      </c>
      <c r="C80" s="251">
        <v>2</v>
      </c>
      <c r="D80" s="252">
        <v>0.75</v>
      </c>
      <c r="E80" s="253">
        <v>0.5</v>
      </c>
      <c r="F80" s="254">
        <v>0.25</v>
      </c>
      <c r="G80" s="254">
        <v>0</v>
      </c>
      <c r="H80" s="253">
        <v>-0.3</v>
      </c>
      <c r="I80" s="254">
        <v>-0.5</v>
      </c>
      <c r="J80" s="253">
        <v>-0.55000000000000004</v>
      </c>
      <c r="K80" s="253">
        <v>0</v>
      </c>
      <c r="L80" s="253">
        <v>0.8</v>
      </c>
      <c r="M80" s="254">
        <v>1.25</v>
      </c>
      <c r="N80" s="254">
        <v>1.75</v>
      </c>
      <c r="O80" s="253">
        <v>2.25</v>
      </c>
      <c r="P80" s="254">
        <v>2.85</v>
      </c>
      <c r="Q80" s="253">
        <v>3.25</v>
      </c>
      <c r="R80" s="254">
        <v>4.25</v>
      </c>
      <c r="S80" s="251">
        <v>5</v>
      </c>
      <c r="T80" s="255">
        <v>8.1999999999999993</v>
      </c>
      <c r="U80" s="256">
        <v>29</v>
      </c>
    </row>
    <row r="81" spans="1:21" ht="13.8" thickBot="1" x14ac:dyDescent="0.3">
      <c r="A81" s="218">
        <v>44531</v>
      </c>
      <c r="B81" s="257">
        <v>3</v>
      </c>
      <c r="C81" s="258">
        <v>2</v>
      </c>
      <c r="D81" s="259">
        <v>0.75</v>
      </c>
      <c r="E81" s="260">
        <v>0.5</v>
      </c>
      <c r="F81" s="261">
        <v>0.25</v>
      </c>
      <c r="G81" s="261">
        <v>0</v>
      </c>
      <c r="H81" s="260">
        <v>-0.3</v>
      </c>
      <c r="I81" s="261">
        <v>-0.5</v>
      </c>
      <c r="J81" s="260">
        <v>-0.55000000000000004</v>
      </c>
      <c r="K81" s="260">
        <v>0</v>
      </c>
      <c r="L81" s="260">
        <v>0.8</v>
      </c>
      <c r="M81" s="261">
        <v>1.25</v>
      </c>
      <c r="N81" s="261">
        <v>1.75</v>
      </c>
      <c r="O81" s="260">
        <v>2.25</v>
      </c>
      <c r="P81" s="261">
        <v>2.85</v>
      </c>
      <c r="Q81" s="260">
        <v>3.25</v>
      </c>
      <c r="R81" s="261">
        <v>4.25</v>
      </c>
      <c r="S81" s="258">
        <v>5</v>
      </c>
      <c r="T81" s="262">
        <v>8.1999999999999993</v>
      </c>
      <c r="U81" s="263">
        <v>29</v>
      </c>
    </row>
    <row r="82" spans="1:21" ht="13.8" thickBot="1" x14ac:dyDescent="0.3"/>
    <row r="83" spans="1:21" x14ac:dyDescent="0.25">
      <c r="A83" s="79">
        <v>1</v>
      </c>
      <c r="B83" s="79">
        <v>1</v>
      </c>
      <c r="C83" s="220" t="s">
        <v>171</v>
      </c>
      <c r="D83" s="221" t="s">
        <v>171</v>
      </c>
      <c r="E83" s="221" t="s">
        <v>171</v>
      </c>
      <c r="F83" s="221" t="s">
        <v>171</v>
      </c>
      <c r="G83" s="221" t="s">
        <v>171</v>
      </c>
      <c r="H83" s="221" t="s">
        <v>171</v>
      </c>
      <c r="I83" s="222" t="s">
        <v>171</v>
      </c>
    </row>
    <row r="84" spans="1:21" x14ac:dyDescent="0.25">
      <c r="A84" s="79" t="s">
        <v>172</v>
      </c>
      <c r="B84" s="79">
        <v>2</v>
      </c>
      <c r="C84" s="223" t="s">
        <v>171</v>
      </c>
      <c r="D84" s="103" t="s">
        <v>171</v>
      </c>
      <c r="E84" s="103" t="s">
        <v>171</v>
      </c>
      <c r="F84" s="103" t="s">
        <v>171</v>
      </c>
      <c r="G84" s="103" t="s">
        <v>171</v>
      </c>
      <c r="H84" s="103" t="s">
        <v>171</v>
      </c>
      <c r="I84" s="224" t="s">
        <v>171</v>
      </c>
    </row>
    <row r="85" spans="1:21" x14ac:dyDescent="0.25">
      <c r="A85" s="79" t="s">
        <v>173</v>
      </c>
      <c r="B85" s="79">
        <v>3</v>
      </c>
      <c r="C85" s="223" t="s">
        <v>171</v>
      </c>
      <c r="D85" s="103" t="s">
        <v>171</v>
      </c>
      <c r="E85" s="103" t="s">
        <v>171</v>
      </c>
      <c r="F85" s="103" t="s">
        <v>171</v>
      </c>
      <c r="G85" s="103" t="s">
        <v>171</v>
      </c>
      <c r="H85" s="103" t="s">
        <v>171</v>
      </c>
      <c r="I85" s="224" t="s">
        <v>171</v>
      </c>
    </row>
    <row r="86" spans="1:21" x14ac:dyDescent="0.25">
      <c r="B86" s="79">
        <v>4</v>
      </c>
      <c r="C86" s="223" t="s">
        <v>171</v>
      </c>
      <c r="D86" s="103" t="s">
        <v>171</v>
      </c>
      <c r="E86" s="103" t="s">
        <v>171</v>
      </c>
      <c r="F86" s="103" t="s">
        <v>171</v>
      </c>
      <c r="G86" s="103" t="s">
        <v>171</v>
      </c>
      <c r="H86" s="103" t="s">
        <v>171</v>
      </c>
      <c r="I86" s="224" t="s">
        <v>171</v>
      </c>
    </row>
    <row r="87" spans="1:21" x14ac:dyDescent="0.25">
      <c r="B87" s="79">
        <v>5</v>
      </c>
      <c r="C87" s="223" t="s">
        <v>171</v>
      </c>
      <c r="D87" s="103" t="s">
        <v>171</v>
      </c>
      <c r="E87" s="103" t="s">
        <v>171</v>
      </c>
      <c r="F87" s="103" t="s">
        <v>171</v>
      </c>
      <c r="G87" s="103" t="s">
        <v>171</v>
      </c>
      <c r="H87" s="103" t="s">
        <v>171</v>
      </c>
      <c r="I87" s="224" t="s">
        <v>171</v>
      </c>
    </row>
    <row r="88" spans="1:21" x14ac:dyDescent="0.25">
      <c r="B88" s="79">
        <v>6</v>
      </c>
      <c r="C88" s="223" t="s">
        <v>171</v>
      </c>
      <c r="D88" s="103" t="s">
        <v>171</v>
      </c>
      <c r="E88" s="103" t="s">
        <v>171</v>
      </c>
      <c r="F88" s="103" t="s">
        <v>171</v>
      </c>
      <c r="G88" s="103" t="s">
        <v>171</v>
      </c>
      <c r="H88" s="103" t="s">
        <v>171</v>
      </c>
      <c r="I88" s="224" t="s">
        <v>171</v>
      </c>
    </row>
    <row r="89" spans="1:21" x14ac:dyDescent="0.25">
      <c r="B89" s="79">
        <v>7</v>
      </c>
      <c r="C89" s="223" t="s">
        <v>171</v>
      </c>
      <c r="D89" s="103" t="s">
        <v>171</v>
      </c>
      <c r="E89" s="103" t="s">
        <v>171</v>
      </c>
      <c r="F89" s="103" t="s">
        <v>171</v>
      </c>
      <c r="G89" s="103" t="s">
        <v>171</v>
      </c>
      <c r="H89" s="103" t="s">
        <v>171</v>
      </c>
      <c r="I89" s="224" t="s">
        <v>171</v>
      </c>
    </row>
    <row r="90" spans="1:21" x14ac:dyDescent="0.25">
      <c r="B90" s="79">
        <v>8</v>
      </c>
      <c r="C90" s="223" t="s">
        <v>171</v>
      </c>
      <c r="D90" s="103" t="s">
        <v>171</v>
      </c>
      <c r="E90" s="103" t="s">
        <v>171</v>
      </c>
      <c r="F90" s="103" t="s">
        <v>171</v>
      </c>
      <c r="G90" s="103" t="s">
        <v>171</v>
      </c>
      <c r="H90" s="103" t="s">
        <v>171</v>
      </c>
      <c r="I90" s="224" t="s">
        <v>171</v>
      </c>
    </row>
    <row r="91" spans="1:21" x14ac:dyDescent="0.25">
      <c r="B91" s="79">
        <v>9</v>
      </c>
      <c r="C91" s="223" t="s">
        <v>171</v>
      </c>
      <c r="D91" s="103" t="s">
        <v>171</v>
      </c>
      <c r="E91" s="103" t="s">
        <v>171</v>
      </c>
      <c r="F91" s="103" t="s">
        <v>171</v>
      </c>
      <c r="G91" s="103" t="s">
        <v>171</v>
      </c>
      <c r="H91" s="103" t="s">
        <v>171</v>
      </c>
      <c r="I91" s="224" t="s">
        <v>171</v>
      </c>
    </row>
    <row r="92" spans="1:21" x14ac:dyDescent="0.25">
      <c r="B92" s="79">
        <v>10</v>
      </c>
      <c r="C92" s="223" t="s">
        <v>171</v>
      </c>
      <c r="D92" s="103" t="s">
        <v>171</v>
      </c>
      <c r="E92" s="103" t="s">
        <v>171</v>
      </c>
      <c r="F92" s="103" t="s">
        <v>171</v>
      </c>
      <c r="G92" s="103" t="s">
        <v>171</v>
      </c>
      <c r="H92" s="103" t="s">
        <v>171</v>
      </c>
      <c r="I92" s="224" t="s">
        <v>171</v>
      </c>
    </row>
    <row r="93" spans="1:21" x14ac:dyDescent="0.25">
      <c r="B93" s="79">
        <v>11</v>
      </c>
      <c r="C93" s="223" t="s">
        <v>171</v>
      </c>
      <c r="D93" s="103" t="s">
        <v>171</v>
      </c>
      <c r="E93" s="103" t="s">
        <v>171</v>
      </c>
      <c r="F93" s="103" t="s">
        <v>171</v>
      </c>
      <c r="G93" s="103" t="s">
        <v>171</v>
      </c>
      <c r="H93" s="103" t="s">
        <v>171</v>
      </c>
      <c r="I93" s="224" t="s">
        <v>171</v>
      </c>
    </row>
    <row r="94" spans="1:21" x14ac:dyDescent="0.25">
      <c r="B94" s="79">
        <v>12</v>
      </c>
      <c r="C94" s="223" t="s">
        <v>171</v>
      </c>
      <c r="D94" s="103" t="s">
        <v>171</v>
      </c>
      <c r="E94" s="103" t="s">
        <v>171</v>
      </c>
      <c r="F94" s="103" t="s">
        <v>171</v>
      </c>
      <c r="G94" s="103" t="s">
        <v>171</v>
      </c>
      <c r="H94" s="103" t="s">
        <v>171</v>
      </c>
      <c r="I94" s="224" t="s">
        <v>171</v>
      </c>
    </row>
    <row r="95" spans="1:21" x14ac:dyDescent="0.25">
      <c r="B95" s="79">
        <v>13</v>
      </c>
      <c r="C95" s="223" t="s">
        <v>171</v>
      </c>
      <c r="D95" s="103" t="s">
        <v>171</v>
      </c>
      <c r="E95" s="103" t="s">
        <v>171</v>
      </c>
      <c r="F95" s="103" t="s">
        <v>171</v>
      </c>
      <c r="G95" s="103" t="s">
        <v>171</v>
      </c>
      <c r="H95" s="103" t="s">
        <v>171</v>
      </c>
      <c r="I95" s="224" t="s">
        <v>171</v>
      </c>
    </row>
    <row r="96" spans="1:21" x14ac:dyDescent="0.25">
      <c r="B96" s="79">
        <v>14</v>
      </c>
      <c r="C96" s="223" t="s">
        <v>171</v>
      </c>
      <c r="D96" s="103" t="s">
        <v>171</v>
      </c>
      <c r="E96" s="103" t="s">
        <v>171</v>
      </c>
      <c r="F96" s="103" t="s">
        <v>171</v>
      </c>
      <c r="G96" s="103" t="s">
        <v>171</v>
      </c>
      <c r="H96" s="103" t="s">
        <v>171</v>
      </c>
      <c r="I96" s="224" t="s">
        <v>171</v>
      </c>
    </row>
    <row r="97" spans="2:9" x14ac:dyDescent="0.25">
      <c r="B97" s="79">
        <v>15</v>
      </c>
      <c r="C97" s="223" t="s">
        <v>171</v>
      </c>
      <c r="D97" s="103" t="s">
        <v>171</v>
      </c>
      <c r="E97" s="103" t="s">
        <v>171</v>
      </c>
      <c r="F97" s="103" t="s">
        <v>171</v>
      </c>
      <c r="G97" s="103" t="s">
        <v>171</v>
      </c>
      <c r="H97" s="103" t="s">
        <v>171</v>
      </c>
      <c r="I97" s="224" t="s">
        <v>171</v>
      </c>
    </row>
    <row r="98" spans="2:9" x14ac:dyDescent="0.25">
      <c r="B98" s="79">
        <v>16</v>
      </c>
      <c r="C98" s="223" t="s">
        <v>171</v>
      </c>
      <c r="D98" s="103" t="s">
        <v>171</v>
      </c>
      <c r="E98" s="103" t="s">
        <v>171</v>
      </c>
      <c r="F98" s="103" t="s">
        <v>171</v>
      </c>
      <c r="G98" s="103" t="s">
        <v>171</v>
      </c>
      <c r="H98" s="103" t="s">
        <v>171</v>
      </c>
      <c r="I98" s="224" t="s">
        <v>171</v>
      </c>
    </row>
    <row r="99" spans="2:9" x14ac:dyDescent="0.25">
      <c r="B99" s="79">
        <v>17</v>
      </c>
      <c r="C99" s="223" t="s">
        <v>171</v>
      </c>
      <c r="D99" s="103" t="s">
        <v>171</v>
      </c>
      <c r="E99" s="103" t="s">
        <v>171</v>
      </c>
      <c r="F99" s="103" t="s">
        <v>171</v>
      </c>
      <c r="G99" s="103" t="s">
        <v>171</v>
      </c>
      <c r="H99" s="103" t="s">
        <v>171</v>
      </c>
      <c r="I99" s="224" t="s">
        <v>171</v>
      </c>
    </row>
    <row r="100" spans="2:9" x14ac:dyDescent="0.25">
      <c r="B100" s="79">
        <v>18</v>
      </c>
      <c r="C100" s="223" t="s">
        <v>171</v>
      </c>
      <c r="D100" s="103" t="s">
        <v>171</v>
      </c>
      <c r="E100" s="103" t="s">
        <v>171</v>
      </c>
      <c r="F100" s="103" t="s">
        <v>171</v>
      </c>
      <c r="G100" s="103" t="s">
        <v>171</v>
      </c>
      <c r="H100" s="103" t="s">
        <v>171</v>
      </c>
      <c r="I100" s="224" t="s">
        <v>171</v>
      </c>
    </row>
    <row r="101" spans="2:9" x14ac:dyDescent="0.25">
      <c r="B101" s="79">
        <v>19</v>
      </c>
      <c r="C101" s="223" t="s">
        <v>171</v>
      </c>
      <c r="D101" s="103" t="s">
        <v>171</v>
      </c>
      <c r="E101" s="103" t="s">
        <v>171</v>
      </c>
      <c r="F101" s="103" t="s">
        <v>171</v>
      </c>
      <c r="G101" s="103" t="s">
        <v>171</v>
      </c>
      <c r="H101" s="103" t="s">
        <v>171</v>
      </c>
      <c r="I101" s="224" t="s">
        <v>171</v>
      </c>
    </row>
    <row r="102" spans="2:9" x14ac:dyDescent="0.25">
      <c r="B102" s="79">
        <v>20</v>
      </c>
      <c r="C102" s="223" t="s">
        <v>171</v>
      </c>
      <c r="D102" s="103" t="s">
        <v>171</v>
      </c>
      <c r="E102" s="103" t="s">
        <v>171</v>
      </c>
      <c r="F102" s="103" t="s">
        <v>171</v>
      </c>
      <c r="G102" s="103" t="s">
        <v>171</v>
      </c>
      <c r="H102" s="103" t="s">
        <v>171</v>
      </c>
      <c r="I102" s="224" t="s">
        <v>171</v>
      </c>
    </row>
    <row r="103" spans="2:9" x14ac:dyDescent="0.25">
      <c r="B103" s="79">
        <v>21</v>
      </c>
      <c r="C103" s="223" t="s">
        <v>171</v>
      </c>
      <c r="D103" s="103" t="s">
        <v>171</v>
      </c>
      <c r="E103" s="103" t="s">
        <v>171</v>
      </c>
      <c r="F103" s="103" t="s">
        <v>171</v>
      </c>
      <c r="G103" s="103" t="s">
        <v>171</v>
      </c>
      <c r="H103" s="103" t="s">
        <v>171</v>
      </c>
      <c r="I103" s="224" t="s">
        <v>171</v>
      </c>
    </row>
    <row r="104" spans="2:9" x14ac:dyDescent="0.25">
      <c r="B104" s="79">
        <v>22</v>
      </c>
      <c r="C104" s="223" t="s">
        <v>171</v>
      </c>
      <c r="D104" s="103" t="s">
        <v>171</v>
      </c>
      <c r="E104" s="103" t="s">
        <v>171</v>
      </c>
      <c r="F104" s="103" t="s">
        <v>171</v>
      </c>
      <c r="G104" s="103" t="s">
        <v>171</v>
      </c>
      <c r="H104" s="103" t="s">
        <v>171</v>
      </c>
      <c r="I104" s="224" t="s">
        <v>171</v>
      </c>
    </row>
    <row r="105" spans="2:9" x14ac:dyDescent="0.25">
      <c r="B105" s="79">
        <v>23</v>
      </c>
      <c r="C105" s="223" t="s">
        <v>171</v>
      </c>
      <c r="D105" s="103" t="s">
        <v>171</v>
      </c>
      <c r="E105" s="103" t="s">
        <v>171</v>
      </c>
      <c r="F105" s="103" t="s">
        <v>171</v>
      </c>
      <c r="G105" s="103" t="s">
        <v>171</v>
      </c>
      <c r="H105" s="103" t="s">
        <v>171</v>
      </c>
      <c r="I105" s="224" t="s">
        <v>171</v>
      </c>
    </row>
    <row r="106" spans="2:9" x14ac:dyDescent="0.25">
      <c r="B106" s="79">
        <v>24</v>
      </c>
      <c r="C106" s="223" t="s">
        <v>171</v>
      </c>
      <c r="D106" s="103" t="s">
        <v>171</v>
      </c>
      <c r="E106" s="103" t="s">
        <v>171</v>
      </c>
      <c r="F106" s="103" t="s">
        <v>171</v>
      </c>
      <c r="G106" s="103" t="s">
        <v>171</v>
      </c>
      <c r="H106" s="103" t="s">
        <v>171</v>
      </c>
      <c r="I106" s="224" t="s">
        <v>171</v>
      </c>
    </row>
    <row r="107" spans="2:9" x14ac:dyDescent="0.25">
      <c r="B107" s="79">
        <v>25</v>
      </c>
      <c r="C107" s="223" t="s">
        <v>171</v>
      </c>
      <c r="D107" s="103" t="s">
        <v>171</v>
      </c>
      <c r="E107" s="103" t="s">
        <v>171</v>
      </c>
      <c r="F107" s="103" t="s">
        <v>171</v>
      </c>
      <c r="G107" s="103" t="s">
        <v>171</v>
      </c>
      <c r="H107" s="103" t="s">
        <v>171</v>
      </c>
      <c r="I107" s="224" t="s">
        <v>171</v>
      </c>
    </row>
    <row r="108" spans="2:9" x14ac:dyDescent="0.25">
      <c r="B108" s="79">
        <v>26</v>
      </c>
      <c r="C108" s="223" t="s">
        <v>171</v>
      </c>
      <c r="D108" s="103" t="s">
        <v>171</v>
      </c>
      <c r="E108" s="103" t="s">
        <v>171</v>
      </c>
      <c r="F108" s="103" t="s">
        <v>171</v>
      </c>
      <c r="G108" s="103" t="s">
        <v>171</v>
      </c>
      <c r="H108" s="103" t="s">
        <v>171</v>
      </c>
      <c r="I108" s="224" t="s">
        <v>171</v>
      </c>
    </row>
    <row r="109" spans="2:9" x14ac:dyDescent="0.25">
      <c r="B109" s="79">
        <v>27</v>
      </c>
      <c r="C109" s="223" t="s">
        <v>171</v>
      </c>
      <c r="D109" s="103" t="s">
        <v>171</v>
      </c>
      <c r="E109" s="103" t="s">
        <v>171</v>
      </c>
      <c r="F109" s="103" t="s">
        <v>171</v>
      </c>
      <c r="G109" s="103" t="s">
        <v>171</v>
      </c>
      <c r="H109" s="103" t="s">
        <v>171</v>
      </c>
      <c r="I109" s="224" t="s">
        <v>171</v>
      </c>
    </row>
    <row r="110" spans="2:9" x14ac:dyDescent="0.25">
      <c r="B110" s="79">
        <v>28</v>
      </c>
      <c r="C110" s="223" t="s">
        <v>171</v>
      </c>
      <c r="D110" s="103" t="s">
        <v>171</v>
      </c>
      <c r="E110" s="103" t="s">
        <v>171</v>
      </c>
      <c r="F110" s="103" t="s">
        <v>171</v>
      </c>
      <c r="G110" s="103" t="s">
        <v>171</v>
      </c>
      <c r="H110" s="103" t="s">
        <v>171</v>
      </c>
      <c r="I110" s="224" t="s">
        <v>171</v>
      </c>
    </row>
    <row r="111" spans="2:9" x14ac:dyDescent="0.25">
      <c r="B111" s="79">
        <v>29</v>
      </c>
      <c r="C111" s="223" t="s">
        <v>171</v>
      </c>
      <c r="D111" s="103" t="s">
        <v>171</v>
      </c>
      <c r="E111" s="103" t="s">
        <v>171</v>
      </c>
      <c r="F111" s="103" t="s">
        <v>171</v>
      </c>
      <c r="G111" s="103" t="s">
        <v>171</v>
      </c>
      <c r="H111" s="103" t="s">
        <v>171</v>
      </c>
      <c r="I111" s="224" t="s">
        <v>171</v>
      </c>
    </row>
    <row r="112" spans="2:9" x14ac:dyDescent="0.25">
      <c r="B112" s="79">
        <v>30</v>
      </c>
      <c r="C112" s="223" t="s">
        <v>171</v>
      </c>
      <c r="D112" s="103" t="s">
        <v>171</v>
      </c>
      <c r="E112" s="103" t="s">
        <v>171</v>
      </c>
      <c r="F112" s="103" t="s">
        <v>171</v>
      </c>
      <c r="G112" s="103" t="s">
        <v>171</v>
      </c>
      <c r="H112" s="103" t="s">
        <v>171</v>
      </c>
      <c r="I112" s="224" t="s">
        <v>171</v>
      </c>
    </row>
    <row r="113" spans="1:9" x14ac:dyDescent="0.25">
      <c r="B113" s="79">
        <v>31</v>
      </c>
      <c r="C113" s="223" t="s">
        <v>171</v>
      </c>
      <c r="D113" s="103" t="s">
        <v>171</v>
      </c>
      <c r="E113" s="103" t="s">
        <v>171</v>
      </c>
      <c r="F113" s="103" t="s">
        <v>171</v>
      </c>
      <c r="G113" s="103" t="s">
        <v>171</v>
      </c>
      <c r="H113" s="103" t="s">
        <v>171</v>
      </c>
      <c r="I113" s="224" t="s">
        <v>171</v>
      </c>
    </row>
    <row r="114" spans="1:9" x14ac:dyDescent="0.25">
      <c r="B114" s="79">
        <v>32</v>
      </c>
      <c r="C114" s="223" t="s">
        <v>171</v>
      </c>
      <c r="D114" s="103" t="s">
        <v>171</v>
      </c>
      <c r="E114" s="103" t="s">
        <v>171</v>
      </c>
      <c r="F114" s="103" t="s">
        <v>171</v>
      </c>
      <c r="G114" s="103" t="s">
        <v>171</v>
      </c>
      <c r="H114" s="103" t="s">
        <v>171</v>
      </c>
      <c r="I114" s="224" t="s">
        <v>171</v>
      </c>
    </row>
    <row r="115" spans="1:9" x14ac:dyDescent="0.25">
      <c r="B115" s="79">
        <v>33</v>
      </c>
      <c r="C115" s="223" t="s">
        <v>171</v>
      </c>
      <c r="D115" s="103" t="s">
        <v>171</v>
      </c>
      <c r="E115" s="103" t="s">
        <v>171</v>
      </c>
      <c r="F115" s="103" t="s">
        <v>171</v>
      </c>
      <c r="G115" s="103" t="s">
        <v>171</v>
      </c>
      <c r="H115" s="103" t="s">
        <v>171</v>
      </c>
      <c r="I115" s="224" t="s">
        <v>171</v>
      </c>
    </row>
    <row r="116" spans="1:9" x14ac:dyDescent="0.25">
      <c r="B116" s="79">
        <v>34</v>
      </c>
      <c r="C116" s="223" t="s">
        <v>171</v>
      </c>
      <c r="D116" s="103" t="s">
        <v>171</v>
      </c>
      <c r="E116" s="103" t="s">
        <v>171</v>
      </c>
      <c r="F116" s="103" t="s">
        <v>171</v>
      </c>
      <c r="G116" s="103" t="s">
        <v>171</v>
      </c>
      <c r="H116" s="103" t="s">
        <v>171</v>
      </c>
      <c r="I116" s="224" t="s">
        <v>171</v>
      </c>
    </row>
    <row r="117" spans="1:9" x14ac:dyDescent="0.25">
      <c r="B117" s="79">
        <v>35</v>
      </c>
      <c r="C117" s="223" t="s">
        <v>171</v>
      </c>
      <c r="D117" s="103" t="s">
        <v>171</v>
      </c>
      <c r="E117" s="103" t="s">
        <v>171</v>
      </c>
      <c r="F117" s="103" t="s">
        <v>171</v>
      </c>
      <c r="G117" s="103" t="s">
        <v>171</v>
      </c>
      <c r="H117" s="103" t="s">
        <v>171</v>
      </c>
      <c r="I117" s="224" t="s">
        <v>171</v>
      </c>
    </row>
    <row r="118" spans="1:9" x14ac:dyDescent="0.25">
      <c r="B118" s="79">
        <v>36</v>
      </c>
      <c r="C118" s="223" t="s">
        <v>171</v>
      </c>
      <c r="D118" s="103" t="s">
        <v>171</v>
      </c>
      <c r="E118" s="103" t="s">
        <v>171</v>
      </c>
      <c r="F118" s="103" t="s">
        <v>171</v>
      </c>
      <c r="G118" s="103" t="s">
        <v>171</v>
      </c>
      <c r="H118" s="103" t="s">
        <v>171</v>
      </c>
      <c r="I118" s="224" t="s">
        <v>171</v>
      </c>
    </row>
    <row r="119" spans="1:9" x14ac:dyDescent="0.25">
      <c r="B119" s="79">
        <v>37</v>
      </c>
      <c r="C119" s="223" t="s">
        <v>171</v>
      </c>
      <c r="D119" s="103" t="s">
        <v>171</v>
      </c>
      <c r="E119" s="103" t="s">
        <v>171</v>
      </c>
      <c r="F119" s="103" t="s">
        <v>171</v>
      </c>
      <c r="G119" s="103" t="s">
        <v>171</v>
      </c>
      <c r="H119" s="103" t="s">
        <v>171</v>
      </c>
      <c r="I119" s="224" t="s">
        <v>171</v>
      </c>
    </row>
    <row r="120" spans="1:9" ht="13.8" thickBot="1" x14ac:dyDescent="0.3">
      <c r="B120" s="79">
        <v>38</v>
      </c>
      <c r="C120" s="225" t="s">
        <v>171</v>
      </c>
      <c r="D120" s="226" t="s">
        <v>171</v>
      </c>
      <c r="E120" s="226" t="s">
        <v>171</v>
      </c>
      <c r="F120" s="226" t="s">
        <v>171</v>
      </c>
      <c r="G120" s="226" t="s">
        <v>171</v>
      </c>
      <c r="H120" s="226" t="s">
        <v>171</v>
      </c>
      <c r="I120" s="227" t="s">
        <v>171</v>
      </c>
    </row>
    <row r="121" spans="1:9" x14ac:dyDescent="0.25">
      <c r="D121" s="103"/>
      <c r="E121" s="103"/>
      <c r="F121" s="103"/>
      <c r="G121" s="103"/>
      <c r="H121" s="103"/>
      <c r="I121" s="103"/>
    </row>
    <row r="122" spans="1:9" x14ac:dyDescent="0.25">
      <c r="B122" s="228"/>
      <c r="D122" s="103"/>
      <c r="E122" s="103"/>
      <c r="F122" s="103"/>
      <c r="G122" s="103"/>
      <c r="H122" s="103"/>
      <c r="I122" s="103"/>
    </row>
    <row r="123" spans="1:9" x14ac:dyDescent="0.25">
      <c r="A123" s="79">
        <v>1</v>
      </c>
    </row>
    <row r="124" spans="1:9" x14ac:dyDescent="0.25">
      <c r="D124" s="103"/>
      <c r="E124" s="103"/>
      <c r="F124" s="103"/>
      <c r="G124" s="103"/>
      <c r="H124" s="103"/>
      <c r="I124" s="103"/>
    </row>
  </sheetData>
  <mergeCells count="1">
    <mergeCell ref="AD11:AE1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4:K57"/>
  <sheetViews>
    <sheetView topLeftCell="A3" workbookViewId="0">
      <selection activeCell="A20" sqref="A20"/>
    </sheetView>
  </sheetViews>
  <sheetFormatPr defaultRowHeight="13.2" x14ac:dyDescent="0.25"/>
  <cols>
    <col min="1" max="1" width="18.6640625" style="146" bestFit="1" customWidth="1"/>
  </cols>
  <sheetData>
    <row r="4" spans="1:11" x14ac:dyDescent="0.25">
      <c r="A4" s="146" t="s">
        <v>95</v>
      </c>
      <c r="K4" s="146" t="s">
        <v>76</v>
      </c>
    </row>
    <row r="5" spans="1:11" x14ac:dyDescent="0.25">
      <c r="A5" s="146" t="s">
        <v>98</v>
      </c>
      <c r="K5" s="146" t="s">
        <v>87</v>
      </c>
    </row>
    <row r="6" spans="1:11" x14ac:dyDescent="0.25">
      <c r="A6" s="146" t="s">
        <v>54</v>
      </c>
      <c r="K6" s="146" t="s">
        <v>70</v>
      </c>
    </row>
    <row r="7" spans="1:11" x14ac:dyDescent="0.25">
      <c r="A7" s="146" t="s">
        <v>70</v>
      </c>
      <c r="K7" s="146" t="s">
        <v>62</v>
      </c>
    </row>
    <row r="8" spans="1:11" x14ac:dyDescent="0.25">
      <c r="A8" s="146" t="s">
        <v>88</v>
      </c>
      <c r="G8" s="146" t="s">
        <v>77</v>
      </c>
      <c r="K8" s="146" t="s">
        <v>92</v>
      </c>
    </row>
    <row r="9" spans="1:11" x14ac:dyDescent="0.25">
      <c r="A9" s="146" t="s">
        <v>71</v>
      </c>
      <c r="G9" s="146" t="s">
        <v>79</v>
      </c>
      <c r="K9" s="146" t="s">
        <v>89</v>
      </c>
    </row>
    <row r="10" spans="1:11" x14ac:dyDescent="0.25">
      <c r="A10" s="146" t="s">
        <v>72</v>
      </c>
      <c r="G10" s="146" t="s">
        <v>65</v>
      </c>
      <c r="K10" s="146" t="s">
        <v>90</v>
      </c>
    </row>
    <row r="11" spans="1:11" x14ac:dyDescent="0.25">
      <c r="A11" s="146" t="s">
        <v>89</v>
      </c>
      <c r="K11" s="146" t="s">
        <v>86</v>
      </c>
    </row>
    <row r="12" spans="1:11" x14ac:dyDescent="0.25">
      <c r="A12" s="146" t="s">
        <v>90</v>
      </c>
      <c r="K12" s="146" t="s">
        <v>68</v>
      </c>
    </row>
    <row r="13" spans="1:11" x14ac:dyDescent="0.25">
      <c r="A13" s="146" t="s">
        <v>73</v>
      </c>
      <c r="K13" s="146" t="s">
        <v>69</v>
      </c>
    </row>
    <row r="14" spans="1:11" x14ac:dyDescent="0.25">
      <c r="A14" s="146" t="s">
        <v>74</v>
      </c>
      <c r="K14" s="146" t="s">
        <v>94</v>
      </c>
    </row>
    <row r="15" spans="1:11" x14ac:dyDescent="0.25">
      <c r="A15" s="146" t="s">
        <v>75</v>
      </c>
      <c r="K15" s="146" t="s">
        <v>146</v>
      </c>
    </row>
    <row r="16" spans="1:11" x14ac:dyDescent="0.25">
      <c r="A16" s="146" t="s">
        <v>76</v>
      </c>
    </row>
    <row r="17" spans="1:8" x14ac:dyDescent="0.25">
      <c r="A17" s="146" t="s">
        <v>87</v>
      </c>
    </row>
    <row r="18" spans="1:8" x14ac:dyDescent="0.25">
      <c r="A18" s="146" t="s">
        <v>102</v>
      </c>
    </row>
    <row r="19" spans="1:8" x14ac:dyDescent="0.25">
      <c r="A19" s="146" t="s">
        <v>59</v>
      </c>
      <c r="F19" s="146" t="s">
        <v>81</v>
      </c>
    </row>
    <row r="20" spans="1:8" x14ac:dyDescent="0.25">
      <c r="A20" s="146" t="s">
        <v>55</v>
      </c>
      <c r="F20" s="146" t="s">
        <v>60</v>
      </c>
      <c r="H20" s="146" t="s">
        <v>79</v>
      </c>
    </row>
    <row r="21" spans="1:8" x14ac:dyDescent="0.25">
      <c r="A21" s="146" t="s">
        <v>101</v>
      </c>
      <c r="H21" s="146" t="s">
        <v>78</v>
      </c>
    </row>
    <row r="22" spans="1:8" x14ac:dyDescent="0.25">
      <c r="A22" s="146" t="s">
        <v>56</v>
      </c>
    </row>
    <row r="23" spans="1:8" x14ac:dyDescent="0.25">
      <c r="A23" s="146" t="s">
        <v>57</v>
      </c>
    </row>
    <row r="24" spans="1:8" x14ac:dyDescent="0.25">
      <c r="A24" s="146" t="s">
        <v>58</v>
      </c>
    </row>
    <row r="25" spans="1:8" x14ac:dyDescent="0.25">
      <c r="A25" s="146" t="s">
        <v>60</v>
      </c>
    </row>
    <row r="26" spans="1:8" x14ac:dyDescent="0.25">
      <c r="A26" s="146" t="s">
        <v>91</v>
      </c>
    </row>
    <row r="27" spans="1:8" x14ac:dyDescent="0.25">
      <c r="A27" s="146" t="s">
        <v>92</v>
      </c>
    </row>
    <row r="28" spans="1:8" x14ac:dyDescent="0.25">
      <c r="A28" s="146" t="s">
        <v>61</v>
      </c>
    </row>
    <row r="29" spans="1:8" x14ac:dyDescent="0.25">
      <c r="A29" s="146" t="s">
        <v>62</v>
      </c>
      <c r="F29" s="146" t="s">
        <v>87</v>
      </c>
    </row>
    <row r="30" spans="1:8" x14ac:dyDescent="0.25">
      <c r="A30" s="146" t="s">
        <v>93</v>
      </c>
      <c r="F30" s="146" t="s">
        <v>70</v>
      </c>
    </row>
    <row r="31" spans="1:8" x14ac:dyDescent="0.25">
      <c r="A31" s="146" t="s">
        <v>77</v>
      </c>
      <c r="F31" s="146" t="s">
        <v>90</v>
      </c>
    </row>
    <row r="32" spans="1:8" x14ac:dyDescent="0.25">
      <c r="A32" s="146" t="s">
        <v>78</v>
      </c>
      <c r="F32" s="146" t="s">
        <v>62</v>
      </c>
    </row>
    <row r="33" spans="1:6" x14ac:dyDescent="0.25">
      <c r="A33" s="146" t="s">
        <v>103</v>
      </c>
      <c r="F33" s="146" t="s">
        <v>68</v>
      </c>
    </row>
    <row r="34" spans="1:6" x14ac:dyDescent="0.25">
      <c r="A34" s="146" t="s">
        <v>99</v>
      </c>
      <c r="F34" s="146" t="s">
        <v>66</v>
      </c>
    </row>
    <row r="35" spans="1:6" x14ac:dyDescent="0.25">
      <c r="A35" s="146" t="s">
        <v>79</v>
      </c>
      <c r="F35" s="146" t="s">
        <v>86</v>
      </c>
    </row>
    <row r="36" spans="1:6" x14ac:dyDescent="0.25">
      <c r="A36" s="146" t="s">
        <v>97</v>
      </c>
    </row>
    <row r="37" spans="1:6" x14ac:dyDescent="0.25">
      <c r="A37" s="146" t="s">
        <v>80</v>
      </c>
    </row>
    <row r="38" spans="1:6" x14ac:dyDescent="0.25">
      <c r="A38" s="146" t="s">
        <v>81</v>
      </c>
    </row>
    <row r="39" spans="1:6" x14ac:dyDescent="0.25">
      <c r="A39" s="146" t="s">
        <v>100</v>
      </c>
    </row>
    <row r="40" spans="1:6" x14ac:dyDescent="0.25">
      <c r="A40" s="146" t="s">
        <v>82</v>
      </c>
    </row>
    <row r="41" spans="1:6" x14ac:dyDescent="0.25">
      <c r="A41" s="146" t="s">
        <v>84</v>
      </c>
    </row>
    <row r="42" spans="1:6" x14ac:dyDescent="0.25">
      <c r="A42" s="146" t="s">
        <v>85</v>
      </c>
    </row>
    <row r="43" spans="1:6" x14ac:dyDescent="0.25">
      <c r="A43" s="146" t="s">
        <v>86</v>
      </c>
      <c r="F43" s="146" t="s">
        <v>60</v>
      </c>
    </row>
    <row r="44" spans="1:6" x14ac:dyDescent="0.25">
      <c r="A44" s="146" t="s">
        <v>64</v>
      </c>
      <c r="F44" s="146" t="s">
        <v>81</v>
      </c>
    </row>
    <row r="45" spans="1:6" x14ac:dyDescent="0.25">
      <c r="A45" s="146" t="s">
        <v>65</v>
      </c>
    </row>
    <row r="46" spans="1:6" x14ac:dyDescent="0.25">
      <c r="A46" s="146" t="s">
        <v>83</v>
      </c>
    </row>
    <row r="47" spans="1:6" x14ac:dyDescent="0.25">
      <c r="A47" s="146" t="s">
        <v>96</v>
      </c>
    </row>
    <row r="48" spans="1:6" x14ac:dyDescent="0.25">
      <c r="A48" s="146" t="s">
        <v>155</v>
      </c>
    </row>
    <row r="49" spans="1:1" x14ac:dyDescent="0.25">
      <c r="A49" s="146" t="s">
        <v>63</v>
      </c>
    </row>
    <row r="50" spans="1:1" x14ac:dyDescent="0.25">
      <c r="A50" s="146" t="s">
        <v>66</v>
      </c>
    </row>
    <row r="51" spans="1:1" x14ac:dyDescent="0.25">
      <c r="A51" s="146" t="s">
        <v>67</v>
      </c>
    </row>
    <row r="52" spans="1:1" x14ac:dyDescent="0.25">
      <c r="A52" s="146" t="s">
        <v>68</v>
      </c>
    </row>
    <row r="53" spans="1:1" x14ac:dyDescent="0.25">
      <c r="A53" s="146" t="s">
        <v>69</v>
      </c>
    </row>
    <row r="54" spans="1:1" x14ac:dyDescent="0.25">
      <c r="A54" s="146" t="s">
        <v>94</v>
      </c>
    </row>
    <row r="55" spans="1:1" x14ac:dyDescent="0.25">
      <c r="A55" s="146" t="s">
        <v>146</v>
      </c>
    </row>
    <row r="56" spans="1:1" x14ac:dyDescent="0.25">
      <c r="A56" s="146" t="s">
        <v>140</v>
      </c>
    </row>
    <row r="57" spans="1:1" x14ac:dyDescent="0.25">
      <c r="A57" s="146" t="s">
        <v>91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5"/>
  <sheetViews>
    <sheetView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G1" sqref="G1"/>
    </sheetView>
  </sheetViews>
  <sheetFormatPr defaultRowHeight="13.2" x14ac:dyDescent="0.25"/>
  <cols>
    <col min="1" max="2" width="9.109375" style="23" customWidth="1"/>
    <col min="3" max="3" width="11.5546875" style="25" customWidth="1"/>
    <col min="4" max="5" width="9.109375" style="24" customWidth="1"/>
    <col min="6" max="6" width="11.44140625" style="24" customWidth="1"/>
    <col min="7" max="7" width="10.5546875" style="24" customWidth="1"/>
    <col min="8" max="9" width="9.109375" style="24" customWidth="1"/>
    <col min="10" max="10" width="13.109375" style="24" customWidth="1"/>
    <col min="11" max="11" width="13" style="24" customWidth="1"/>
    <col min="12" max="12" width="10.33203125" style="24" customWidth="1"/>
    <col min="13" max="13" width="9.6640625" style="24" customWidth="1"/>
    <col min="14" max="14" width="11.88671875" style="24" customWidth="1"/>
    <col min="15" max="15" width="10.109375" style="24" customWidth="1"/>
    <col min="16" max="16" width="11.33203125" style="23" customWidth="1"/>
    <col min="17" max="17" width="11.109375" style="23" customWidth="1"/>
    <col min="18" max="18" width="9" style="23" customWidth="1"/>
    <col min="19" max="19" width="11.33203125" style="23" customWidth="1"/>
    <col min="20" max="20" width="9.44140625" style="23" customWidth="1"/>
    <col min="21" max="21" width="14.33203125" style="23" customWidth="1"/>
    <col min="22" max="22" width="10.88671875" style="23" customWidth="1"/>
    <col min="23" max="23" width="9.109375" style="23" customWidth="1"/>
    <col min="24" max="24" width="13.109375" style="23" customWidth="1"/>
    <col min="25" max="101" width="9.109375" style="23" customWidth="1"/>
  </cols>
  <sheetData>
    <row r="1" spans="1:74" x14ac:dyDescent="0.25">
      <c r="D1" s="24" t="str">
        <f>D3</f>
        <v>NG</v>
      </c>
      <c r="E1" s="24" t="str">
        <f t="shared" ref="E1:BE1" si="0">E3</f>
        <v>NG</v>
      </c>
      <c r="F1" s="24" t="str">
        <f t="shared" si="0"/>
        <v>INTNS</v>
      </c>
      <c r="G1" s="24" t="str">
        <f t="shared" si="0"/>
        <v>IF-ANR/OK</v>
      </c>
      <c r="H1" s="24" t="str">
        <f t="shared" si="0"/>
        <v>IF-NGPL/MIDCON</v>
      </c>
      <c r="I1" s="24" t="str">
        <f t="shared" si="0"/>
        <v>IF-NNG/DEMARCAT</v>
      </c>
      <c r="J1" s="24" t="str">
        <f t="shared" si="0"/>
        <v>IF-NNG/TOK</v>
      </c>
      <c r="K1" s="24" t="str">
        <f t="shared" si="0"/>
        <v>IF-NNG/VENT</v>
      </c>
      <c r="L1" s="24" t="str">
        <f t="shared" si="0"/>
        <v>IF-NGPL/LA</v>
      </c>
      <c r="M1" s="24" t="str">
        <f t="shared" si="0"/>
        <v>IF-NORAM/EAST</v>
      </c>
      <c r="N1" s="24" t="str">
        <f t="shared" si="0"/>
        <v>IF-ONG/OKLAHOMA</v>
      </c>
      <c r="O1" s="24" t="str">
        <f t="shared" si="0"/>
        <v>IF-PAN/TX/OK</v>
      </c>
      <c r="P1" s="24" t="str">
        <f t="shared" si="0"/>
        <v>IF-WNG/TOK</v>
      </c>
      <c r="Q1" s="24" t="str">
        <f t="shared" si="0"/>
        <v>IF-TRUNKL/FLDZN</v>
      </c>
      <c r="R1" s="24" t="str">
        <f t="shared" si="0"/>
        <v>IF-TRUNKL/LA</v>
      </c>
      <c r="S1" s="24" t="str">
        <f t="shared" si="0"/>
        <v>MICH_CG-GD</v>
      </c>
      <c r="T1" s="24" t="str">
        <f t="shared" si="0"/>
        <v>ML7/CG</v>
      </c>
      <c r="U1" s="24" t="str">
        <f t="shared" si="0"/>
        <v>NGI/CHI. GATE</v>
      </c>
      <c r="V1" s="24" t="str">
        <f t="shared" si="0"/>
        <v>NGI-PGE/CG</v>
      </c>
      <c r="W1" s="24" t="str">
        <f t="shared" si="0"/>
        <v>IF-CGT/APPALAC</v>
      </c>
      <c r="X1" s="24" t="str">
        <f t="shared" si="0"/>
        <v>IF-CNG/APPALACH</v>
      </c>
      <c r="Y1" s="24" t="str">
        <f t="shared" si="0"/>
        <v>IF-COLGULF/LA</v>
      </c>
      <c r="Z1" s="24" t="str">
        <f t="shared" si="0"/>
        <v>IF-FGT/Z1</v>
      </c>
      <c r="AA1" s="24" t="str">
        <f t="shared" si="0"/>
        <v>IF-FGT/Z2</v>
      </c>
      <c r="AB1" s="24" t="str">
        <f t="shared" si="0"/>
        <v>IF-FGT/Z3</v>
      </c>
      <c r="AC1" s="24" t="str">
        <f t="shared" si="0"/>
        <v>IF-HEHUB</v>
      </c>
      <c r="AD1" s="24" t="str">
        <f t="shared" si="0"/>
        <v>IF-SONAT/LA</v>
      </c>
      <c r="AE1" s="24" t="str">
        <f t="shared" si="0"/>
        <v>IF-TENN/LA</v>
      </c>
      <c r="AF1" s="24" t="str">
        <f t="shared" si="0"/>
        <v>IF-TETCO/ELA</v>
      </c>
      <c r="AG1" s="24" t="str">
        <f t="shared" si="0"/>
        <v>IF-TETCO/WLA</v>
      </c>
      <c r="AH1" s="24" t="str">
        <f t="shared" si="0"/>
        <v>IF-TGT/Z1</v>
      </c>
      <c r="AI1" s="24" t="str">
        <f t="shared" si="0"/>
        <v>IF-TRANSCO/Z1</v>
      </c>
      <c r="AJ1" s="24" t="str">
        <f t="shared" si="0"/>
        <v>IF-TRUNKL/TX</v>
      </c>
      <c r="AK1" s="24" t="str">
        <f t="shared" si="0"/>
        <v>IF-TRANSCO/Z2</v>
      </c>
      <c r="AL1" s="24" t="str">
        <f t="shared" si="0"/>
        <v>IF-TRANSCO/Z3</v>
      </c>
      <c r="AM1" s="24" t="str">
        <f t="shared" si="0"/>
        <v>IF-TRANSCO/Z6</v>
      </c>
      <c r="AN1" s="24" t="str">
        <f t="shared" si="0"/>
        <v>IF-HPL/SHPCHAN</v>
      </c>
      <c r="AO1" s="24" t="str">
        <f t="shared" si="0"/>
        <v>IF-CIG/RKYMTN</v>
      </c>
      <c r="AP1" s="24" t="str">
        <f t="shared" si="0"/>
        <v>IF-ELPO/PERMIAN</v>
      </c>
      <c r="AQ1" s="24" t="str">
        <f t="shared" si="0"/>
        <v>IF-ELPO/SJ</v>
      </c>
      <c r="AR1" s="24" t="str">
        <f t="shared" si="0"/>
        <v>IF-NTHWST/CANBR</v>
      </c>
      <c r="AS1" s="24" t="str">
        <f t="shared" si="0"/>
        <v>IF-NWPL_ROCKY_M</v>
      </c>
      <c r="AT1" s="24" t="str">
        <f t="shared" si="0"/>
        <v>IF-QUESTAR</v>
      </c>
      <c r="AU1" s="24" t="str">
        <f t="shared" si="0"/>
        <v>NGI-SOCAL</v>
      </c>
      <c r="AV1" s="24" t="str">
        <f t="shared" si="0"/>
        <v>DJ/BASIN/CIG</v>
      </c>
      <c r="AW1" s="24" t="str">
        <f t="shared" si="0"/>
        <v>IF-VALERO/TX</v>
      </c>
      <c r="AX1" s="24" t="str">
        <f t="shared" si="0"/>
        <v>IF-WAHA-TX</v>
      </c>
      <c r="AY1" s="24" t="str">
        <f t="shared" si="0"/>
        <v>IF-TETCO/STX</v>
      </c>
      <c r="AZ1" s="24" t="str">
        <f t="shared" si="0"/>
        <v>IF-ANR/LA</v>
      </c>
      <c r="BA1" s="24" t="str">
        <f t="shared" si="0"/>
        <v>IF-TENN/TX</v>
      </c>
      <c r="BB1" s="24" t="str">
        <f t="shared" si="0"/>
        <v>IF-TGT/ZSL</v>
      </c>
      <c r="BC1" s="24" t="str">
        <f t="shared" si="0"/>
        <v>IF-NGPLTXOK</v>
      </c>
      <c r="BD1" s="24" t="str">
        <f t="shared" si="0"/>
        <v>IF-KATY</v>
      </c>
      <c r="BE1" s="24" t="str">
        <f t="shared" si="0"/>
        <v>IF-TENN/LA_OFF</v>
      </c>
      <c r="BF1" s="24" t="str">
        <f>BF3</f>
        <v>NGI-MALIN</v>
      </c>
      <c r="BG1" s="24" t="str">
        <f>BG3</f>
        <v>GDM-DAWN</v>
      </c>
      <c r="BH1" s="24" t="str">
        <f>BH3</f>
        <v>ANR/ML7-GDM</v>
      </c>
      <c r="BI1" s="24" t="str">
        <f>BI3</f>
        <v>MICH/CONS</v>
      </c>
      <c r="BJ1" s="24" t="str">
        <f>BJ3</f>
        <v>IF-TETCO/M3</v>
      </c>
      <c r="BK1" s="23" t="str">
        <f>CONCATENATE(BK3,BK5)</f>
        <v>IF-HEHUBI</v>
      </c>
      <c r="BL1" s="23" t="str">
        <f t="shared" ref="BL1:BV1" si="1">CONCATENATE(BL3,BL5)</f>
        <v>IF-HPL/SHPCHANI</v>
      </c>
      <c r="BM1" s="23" t="str">
        <f t="shared" si="1"/>
        <v>IF-CGT/APPALACI</v>
      </c>
      <c r="BN1" s="23" t="str">
        <f t="shared" si="1"/>
        <v>IF-PAN/TX/OKI</v>
      </c>
      <c r="BO1" s="23" t="str">
        <f t="shared" si="1"/>
        <v>IF-NWPL_ROCKY_MI</v>
      </c>
      <c r="BP1" s="23" t="str">
        <f t="shared" si="1"/>
        <v>IF-ELPO/PERMIANI</v>
      </c>
      <c r="BQ1" s="23" t="str">
        <f t="shared" si="1"/>
        <v>IF-ELPO/SJI</v>
      </c>
      <c r="BR1" s="23" t="str">
        <f t="shared" si="1"/>
        <v>IF-TRANSCO/Z6I</v>
      </c>
      <c r="BS1" s="23" t="str">
        <f t="shared" si="1"/>
        <v>NGI/CHI. GATEI</v>
      </c>
      <c r="BT1" s="23" t="str">
        <f t="shared" si="1"/>
        <v>NGI-PGE/CGI</v>
      </c>
      <c r="BU1" s="23" t="str">
        <f t="shared" si="1"/>
        <v>NGI-SOCALI</v>
      </c>
      <c r="BV1" s="23" t="str">
        <f t="shared" si="1"/>
        <v>NGI-MALINI</v>
      </c>
    </row>
    <row r="2" spans="1:74" x14ac:dyDescent="0.25">
      <c r="D2" s="24">
        <v>2</v>
      </c>
      <c r="E2" s="24">
        <f>D2+1</f>
        <v>3</v>
      </c>
      <c r="F2" s="24">
        <f t="shared" ref="F2:BQ2" si="2">E2+1</f>
        <v>4</v>
      </c>
      <c r="G2" s="24">
        <f t="shared" si="2"/>
        <v>5</v>
      </c>
      <c r="H2" s="24">
        <f t="shared" si="2"/>
        <v>6</v>
      </c>
      <c r="I2" s="24">
        <f t="shared" si="2"/>
        <v>7</v>
      </c>
      <c r="J2" s="24">
        <f t="shared" si="2"/>
        <v>8</v>
      </c>
      <c r="K2" s="24">
        <f t="shared" si="2"/>
        <v>9</v>
      </c>
      <c r="L2" s="24">
        <f t="shared" si="2"/>
        <v>10</v>
      </c>
      <c r="M2" s="24">
        <f t="shared" si="2"/>
        <v>11</v>
      </c>
      <c r="N2" s="24">
        <f t="shared" si="2"/>
        <v>12</v>
      </c>
      <c r="O2" s="24">
        <f t="shared" si="2"/>
        <v>13</v>
      </c>
      <c r="P2" s="24">
        <f t="shared" si="2"/>
        <v>14</v>
      </c>
      <c r="Q2" s="24">
        <f t="shared" si="2"/>
        <v>15</v>
      </c>
      <c r="R2" s="24">
        <f t="shared" si="2"/>
        <v>16</v>
      </c>
      <c r="S2" s="24">
        <f t="shared" si="2"/>
        <v>17</v>
      </c>
      <c r="T2" s="24">
        <f t="shared" si="2"/>
        <v>18</v>
      </c>
      <c r="U2" s="24">
        <f t="shared" si="2"/>
        <v>19</v>
      </c>
      <c r="V2" s="24">
        <f t="shared" si="2"/>
        <v>20</v>
      </c>
      <c r="W2" s="24">
        <f t="shared" si="2"/>
        <v>21</v>
      </c>
      <c r="X2" s="24">
        <f t="shared" si="2"/>
        <v>22</v>
      </c>
      <c r="Y2" s="24">
        <f t="shared" si="2"/>
        <v>23</v>
      </c>
      <c r="Z2" s="24">
        <f t="shared" si="2"/>
        <v>24</v>
      </c>
      <c r="AA2" s="24">
        <f t="shared" si="2"/>
        <v>25</v>
      </c>
      <c r="AB2" s="24">
        <f t="shared" si="2"/>
        <v>26</v>
      </c>
      <c r="AC2" s="24">
        <f t="shared" si="2"/>
        <v>27</v>
      </c>
      <c r="AD2" s="24">
        <f t="shared" si="2"/>
        <v>28</v>
      </c>
      <c r="AE2" s="24">
        <f t="shared" si="2"/>
        <v>29</v>
      </c>
      <c r="AF2" s="24">
        <f t="shared" si="2"/>
        <v>30</v>
      </c>
      <c r="AG2" s="24">
        <f t="shared" si="2"/>
        <v>31</v>
      </c>
      <c r="AH2" s="24">
        <f t="shared" si="2"/>
        <v>32</v>
      </c>
      <c r="AI2" s="24">
        <f t="shared" si="2"/>
        <v>33</v>
      </c>
      <c r="AJ2" s="24">
        <f t="shared" si="2"/>
        <v>34</v>
      </c>
      <c r="AK2" s="24">
        <f t="shared" si="2"/>
        <v>35</v>
      </c>
      <c r="AL2" s="24">
        <f t="shared" si="2"/>
        <v>36</v>
      </c>
      <c r="AM2" s="24">
        <f t="shared" si="2"/>
        <v>37</v>
      </c>
      <c r="AN2" s="24">
        <f t="shared" si="2"/>
        <v>38</v>
      </c>
      <c r="AO2" s="24">
        <f t="shared" si="2"/>
        <v>39</v>
      </c>
      <c r="AP2" s="24">
        <f t="shared" si="2"/>
        <v>40</v>
      </c>
      <c r="AQ2" s="24">
        <f t="shared" si="2"/>
        <v>41</v>
      </c>
      <c r="AR2" s="24">
        <f t="shared" si="2"/>
        <v>42</v>
      </c>
      <c r="AS2" s="24">
        <f t="shared" si="2"/>
        <v>43</v>
      </c>
      <c r="AT2" s="24">
        <f t="shared" si="2"/>
        <v>44</v>
      </c>
      <c r="AU2" s="24">
        <f t="shared" si="2"/>
        <v>45</v>
      </c>
      <c r="AV2" s="24">
        <f t="shared" si="2"/>
        <v>46</v>
      </c>
      <c r="AW2" s="24">
        <f t="shared" si="2"/>
        <v>47</v>
      </c>
      <c r="AX2" s="24">
        <f t="shared" si="2"/>
        <v>48</v>
      </c>
      <c r="AY2" s="24">
        <f t="shared" si="2"/>
        <v>49</v>
      </c>
      <c r="AZ2" s="24">
        <f t="shared" si="2"/>
        <v>50</v>
      </c>
      <c r="BA2" s="24">
        <f t="shared" si="2"/>
        <v>51</v>
      </c>
      <c r="BB2" s="24">
        <f t="shared" si="2"/>
        <v>52</v>
      </c>
      <c r="BC2" s="24">
        <f t="shared" si="2"/>
        <v>53</v>
      </c>
      <c r="BD2" s="24">
        <f t="shared" si="2"/>
        <v>54</v>
      </c>
      <c r="BE2" s="24">
        <f t="shared" si="2"/>
        <v>55</v>
      </c>
      <c r="BF2" s="24">
        <f t="shared" si="2"/>
        <v>56</v>
      </c>
      <c r="BG2" s="24">
        <f t="shared" si="2"/>
        <v>57</v>
      </c>
      <c r="BH2" s="24">
        <f t="shared" si="2"/>
        <v>58</v>
      </c>
      <c r="BI2" s="24">
        <f t="shared" si="2"/>
        <v>59</v>
      </c>
      <c r="BJ2" s="24">
        <f t="shared" si="2"/>
        <v>60</v>
      </c>
      <c r="BK2" s="24">
        <f t="shared" si="2"/>
        <v>61</v>
      </c>
      <c r="BL2" s="24">
        <f t="shared" si="2"/>
        <v>62</v>
      </c>
      <c r="BM2" s="24">
        <f t="shared" si="2"/>
        <v>63</v>
      </c>
      <c r="BN2" s="24">
        <f t="shared" si="2"/>
        <v>64</v>
      </c>
      <c r="BO2" s="24">
        <f t="shared" si="2"/>
        <v>65</v>
      </c>
      <c r="BP2" s="24">
        <f t="shared" si="2"/>
        <v>66</v>
      </c>
      <c r="BQ2" s="24">
        <f t="shared" si="2"/>
        <v>67</v>
      </c>
      <c r="BR2" s="24">
        <f>BQ2+1</f>
        <v>68</v>
      </c>
      <c r="BS2" s="24">
        <f>BR2+1</f>
        <v>69</v>
      </c>
      <c r="BT2" s="24">
        <f>BS2+1</f>
        <v>70</v>
      </c>
      <c r="BU2" s="24">
        <f>BT2+1</f>
        <v>71</v>
      </c>
      <c r="BV2" s="24">
        <f>BU2+1</f>
        <v>72</v>
      </c>
    </row>
    <row r="3" spans="1:74" x14ac:dyDescent="0.25">
      <c r="C3" s="26" t="s">
        <v>8</v>
      </c>
      <c r="D3" s="24" t="s">
        <v>9</v>
      </c>
      <c r="E3" s="292" t="s">
        <v>9</v>
      </c>
      <c r="F3" s="292" t="s">
        <v>105</v>
      </c>
      <c r="G3" s="292" t="s">
        <v>54</v>
      </c>
      <c r="H3" s="292" t="s">
        <v>55</v>
      </c>
      <c r="I3" s="292" t="s">
        <v>56</v>
      </c>
      <c r="J3" s="292" t="s">
        <v>57</v>
      </c>
      <c r="K3" s="292" t="s">
        <v>58</v>
      </c>
      <c r="L3" s="292" t="s">
        <v>59</v>
      </c>
      <c r="M3" s="292" t="s">
        <v>60</v>
      </c>
      <c r="N3" s="293" t="s">
        <v>61</v>
      </c>
      <c r="O3" s="292" t="s">
        <v>62</v>
      </c>
      <c r="P3" s="292" t="s">
        <v>63</v>
      </c>
      <c r="Q3" s="292" t="s">
        <v>64</v>
      </c>
      <c r="R3" s="292" t="s">
        <v>65</v>
      </c>
      <c r="S3" s="292" t="s">
        <v>66</v>
      </c>
      <c r="T3" s="292" t="s">
        <v>67</v>
      </c>
      <c r="U3" s="292" t="s">
        <v>68</v>
      </c>
      <c r="V3" s="292" t="s">
        <v>69</v>
      </c>
      <c r="W3" s="292" t="s">
        <v>70</v>
      </c>
      <c r="X3" s="292" t="s">
        <v>71</v>
      </c>
      <c r="Y3" s="294" t="s">
        <v>72</v>
      </c>
      <c r="Z3" s="295" t="s">
        <v>73</v>
      </c>
      <c r="AA3" s="23" t="s">
        <v>74</v>
      </c>
      <c r="AB3" s="23" t="s">
        <v>75</v>
      </c>
      <c r="AC3" s="23" t="s">
        <v>76</v>
      </c>
      <c r="AD3" s="23" t="s">
        <v>77</v>
      </c>
      <c r="AE3" s="23" t="s">
        <v>78</v>
      </c>
      <c r="AF3" s="23" t="s">
        <v>79</v>
      </c>
      <c r="AG3" s="23" t="s">
        <v>80</v>
      </c>
      <c r="AH3" s="23" t="s">
        <v>81</v>
      </c>
      <c r="AI3" s="23" t="s">
        <v>82</v>
      </c>
      <c r="AJ3" s="23" t="s">
        <v>83</v>
      </c>
      <c r="AK3" s="23" t="s">
        <v>84</v>
      </c>
      <c r="AL3" s="23" t="s">
        <v>85</v>
      </c>
      <c r="AM3" s="23" t="s">
        <v>86</v>
      </c>
      <c r="AN3" s="23" t="s">
        <v>87</v>
      </c>
      <c r="AO3" s="23" t="s">
        <v>88</v>
      </c>
      <c r="AP3" s="23" t="s">
        <v>89</v>
      </c>
      <c r="AQ3" s="23" t="s">
        <v>90</v>
      </c>
      <c r="AR3" s="23" t="s">
        <v>91</v>
      </c>
      <c r="AS3" s="23" t="s">
        <v>92</v>
      </c>
      <c r="AT3" s="23" t="s">
        <v>93</v>
      </c>
      <c r="AU3" s="23" t="s">
        <v>94</v>
      </c>
      <c r="AV3" s="23" t="s">
        <v>95</v>
      </c>
      <c r="AW3" s="23" t="s">
        <v>96</v>
      </c>
      <c r="AX3" s="23" t="s">
        <v>155</v>
      </c>
      <c r="AY3" s="193" t="s">
        <v>97</v>
      </c>
      <c r="AZ3" s="193" t="s">
        <v>98</v>
      </c>
      <c r="BA3" s="193" t="s">
        <v>99</v>
      </c>
      <c r="BB3" s="193" t="s">
        <v>100</v>
      </c>
      <c r="BC3" s="193" t="s">
        <v>101</v>
      </c>
      <c r="BD3" s="193" t="s">
        <v>102</v>
      </c>
      <c r="BE3" s="193" t="s">
        <v>103</v>
      </c>
      <c r="BF3" s="193" t="s">
        <v>146</v>
      </c>
      <c r="BG3" s="23" t="s">
        <v>156</v>
      </c>
      <c r="BH3" s="23" t="s">
        <v>162</v>
      </c>
      <c r="BI3" s="23" t="s">
        <v>157</v>
      </c>
      <c r="BJ3" s="23" t="s">
        <v>140</v>
      </c>
      <c r="BK3" s="23" t="s">
        <v>76</v>
      </c>
      <c r="BL3" s="23" t="s">
        <v>87</v>
      </c>
      <c r="BM3" s="23" t="s">
        <v>70</v>
      </c>
      <c r="BN3" s="23" t="s">
        <v>62</v>
      </c>
      <c r="BO3" s="23" t="s">
        <v>92</v>
      </c>
      <c r="BP3" s="23" t="s">
        <v>89</v>
      </c>
      <c r="BQ3" s="23" t="s">
        <v>90</v>
      </c>
      <c r="BR3" s="23" t="s">
        <v>86</v>
      </c>
      <c r="BS3" t="s">
        <v>68</v>
      </c>
      <c r="BT3" t="s">
        <v>69</v>
      </c>
      <c r="BU3" t="s">
        <v>94</v>
      </c>
      <c r="BV3" t="s">
        <v>146</v>
      </c>
    </row>
    <row r="4" spans="1:74" x14ac:dyDescent="0.25">
      <c r="C4" s="26" t="s">
        <v>10</v>
      </c>
      <c r="D4" s="24" t="s">
        <v>11</v>
      </c>
      <c r="E4" s="24" t="s">
        <v>12</v>
      </c>
      <c r="F4" s="24" t="s">
        <v>13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4" t="s">
        <v>11</v>
      </c>
      <c r="W4" s="24" t="s">
        <v>11</v>
      </c>
      <c r="X4" s="24" t="s">
        <v>11</v>
      </c>
      <c r="Y4" s="24" t="s">
        <v>11</v>
      </c>
      <c r="Z4" s="24" t="s">
        <v>11</v>
      </c>
      <c r="AA4" s="24" t="s">
        <v>11</v>
      </c>
      <c r="AB4" s="24" t="s">
        <v>11</v>
      </c>
      <c r="AC4" s="24" t="s">
        <v>11</v>
      </c>
      <c r="AD4" s="24" t="s">
        <v>11</v>
      </c>
      <c r="AE4" s="24" t="s">
        <v>11</v>
      </c>
      <c r="AF4" s="24" t="s">
        <v>11</v>
      </c>
      <c r="AG4" s="24" t="s">
        <v>11</v>
      </c>
      <c r="AH4" s="24" t="s">
        <v>11</v>
      </c>
      <c r="AI4" s="24" t="s">
        <v>11</v>
      </c>
      <c r="AJ4" s="24" t="s">
        <v>11</v>
      </c>
      <c r="AK4" s="24" t="s">
        <v>11</v>
      </c>
      <c r="AL4" s="24" t="s">
        <v>11</v>
      </c>
      <c r="AM4" s="24" t="s">
        <v>11</v>
      </c>
      <c r="AN4" s="24" t="s">
        <v>11</v>
      </c>
      <c r="AO4" s="24" t="s">
        <v>11</v>
      </c>
      <c r="AP4" s="24" t="s">
        <v>11</v>
      </c>
      <c r="AQ4" s="24" t="s">
        <v>11</v>
      </c>
      <c r="AR4" s="24" t="s">
        <v>11</v>
      </c>
      <c r="AS4" s="24" t="s">
        <v>11</v>
      </c>
      <c r="AT4" s="24" t="s">
        <v>11</v>
      </c>
      <c r="AU4" s="24" t="s">
        <v>11</v>
      </c>
      <c r="AV4" s="24" t="s">
        <v>11</v>
      </c>
      <c r="AW4" s="24" t="s">
        <v>11</v>
      </c>
      <c r="AX4" s="24" t="s">
        <v>11</v>
      </c>
      <c r="AY4" s="24" t="s">
        <v>11</v>
      </c>
      <c r="AZ4" s="24" t="s">
        <v>11</v>
      </c>
      <c r="BA4" s="24" t="s">
        <v>11</v>
      </c>
      <c r="BB4" s="24" t="s">
        <v>11</v>
      </c>
      <c r="BC4" s="24" t="s">
        <v>11</v>
      </c>
      <c r="BD4" s="24" t="s">
        <v>11</v>
      </c>
      <c r="BE4" s="24" t="s">
        <v>11</v>
      </c>
      <c r="BF4" s="24" t="s">
        <v>11</v>
      </c>
      <c r="BG4" s="23" t="s">
        <v>11</v>
      </c>
      <c r="BH4" s="23" t="s">
        <v>11</v>
      </c>
      <c r="BI4" s="23" t="s">
        <v>11</v>
      </c>
      <c r="BJ4" s="23" t="s">
        <v>11</v>
      </c>
      <c r="BK4" s="23" t="s">
        <v>11</v>
      </c>
      <c r="BL4" s="23" t="s">
        <v>11</v>
      </c>
      <c r="BM4" s="23" t="s">
        <v>11</v>
      </c>
      <c r="BN4" s="23" t="s">
        <v>11</v>
      </c>
      <c r="BO4" s="23" t="s">
        <v>11</v>
      </c>
      <c r="BP4" s="23" t="s">
        <v>11</v>
      </c>
      <c r="BQ4" s="23" t="s">
        <v>11</v>
      </c>
      <c r="BR4" s="23" t="s">
        <v>11</v>
      </c>
      <c r="BS4" t="s">
        <v>11</v>
      </c>
      <c r="BT4" t="s">
        <v>11</v>
      </c>
      <c r="BU4" t="s">
        <v>11</v>
      </c>
      <c r="BV4" t="s">
        <v>11</v>
      </c>
    </row>
    <row r="5" spans="1:74" x14ac:dyDescent="0.25">
      <c r="C5" s="26" t="s">
        <v>16</v>
      </c>
      <c r="D5" s="24" t="s">
        <v>14</v>
      </c>
      <c r="E5" s="24" t="s">
        <v>14</v>
      </c>
      <c r="F5" s="24" t="s">
        <v>15</v>
      </c>
      <c r="G5" s="24" t="s">
        <v>104</v>
      </c>
      <c r="H5" s="24" t="s">
        <v>104</v>
      </c>
      <c r="I5" s="24" t="s">
        <v>104</v>
      </c>
      <c r="J5" s="24" t="s">
        <v>104</v>
      </c>
      <c r="K5" s="24" t="s">
        <v>104</v>
      </c>
      <c r="L5" s="24" t="s">
        <v>104</v>
      </c>
      <c r="M5" s="24" t="s">
        <v>104</v>
      </c>
      <c r="N5" s="24" t="s">
        <v>104</v>
      </c>
      <c r="O5" s="24" t="s">
        <v>104</v>
      </c>
      <c r="P5" s="24" t="s">
        <v>104</v>
      </c>
      <c r="Q5" s="24" t="s">
        <v>104</v>
      </c>
      <c r="R5" s="24" t="s">
        <v>104</v>
      </c>
      <c r="S5" s="24" t="s">
        <v>104</v>
      </c>
      <c r="T5" s="24" t="s">
        <v>104</v>
      </c>
      <c r="U5" s="24" t="s">
        <v>104</v>
      </c>
      <c r="V5" s="24" t="s">
        <v>104</v>
      </c>
      <c r="W5" s="24" t="s">
        <v>104</v>
      </c>
      <c r="X5" s="24" t="s">
        <v>104</v>
      </c>
      <c r="Y5" s="24" t="s">
        <v>104</v>
      </c>
      <c r="Z5" s="24" t="s">
        <v>104</v>
      </c>
      <c r="AA5" s="24" t="s">
        <v>104</v>
      </c>
      <c r="AB5" s="24" t="s">
        <v>104</v>
      </c>
      <c r="AC5" s="24" t="s">
        <v>104</v>
      </c>
      <c r="AD5" s="24" t="s">
        <v>104</v>
      </c>
      <c r="AE5" s="24" t="s">
        <v>104</v>
      </c>
      <c r="AF5" s="24" t="s">
        <v>104</v>
      </c>
      <c r="AG5" s="24" t="s">
        <v>104</v>
      </c>
      <c r="AH5" s="24" t="s">
        <v>104</v>
      </c>
      <c r="AI5" s="24" t="s">
        <v>104</v>
      </c>
      <c r="AJ5" s="24" t="s">
        <v>104</v>
      </c>
      <c r="AK5" s="24" t="s">
        <v>104</v>
      </c>
      <c r="AL5" s="24" t="s">
        <v>104</v>
      </c>
      <c r="AM5" s="24" t="s">
        <v>104</v>
      </c>
      <c r="AN5" s="24" t="s">
        <v>104</v>
      </c>
      <c r="AO5" s="24" t="s">
        <v>104</v>
      </c>
      <c r="AP5" s="24" t="s">
        <v>104</v>
      </c>
      <c r="AQ5" s="24" t="s">
        <v>104</v>
      </c>
      <c r="AR5" s="24" t="s">
        <v>104</v>
      </c>
      <c r="AS5" s="24" t="s">
        <v>104</v>
      </c>
      <c r="AT5" s="24" t="s">
        <v>104</v>
      </c>
      <c r="AU5" s="24" t="s">
        <v>104</v>
      </c>
      <c r="AV5" s="24" t="s">
        <v>104</v>
      </c>
      <c r="AW5" s="24" t="s">
        <v>104</v>
      </c>
      <c r="AX5" s="24" t="s">
        <v>104</v>
      </c>
      <c r="AY5" s="24" t="s">
        <v>104</v>
      </c>
      <c r="AZ5" s="24" t="s">
        <v>104</v>
      </c>
      <c r="BA5" s="24" t="s">
        <v>104</v>
      </c>
      <c r="BB5" s="24" t="s">
        <v>104</v>
      </c>
      <c r="BC5" s="24" t="s">
        <v>104</v>
      </c>
      <c r="BD5" s="24" t="s">
        <v>104</v>
      </c>
      <c r="BE5" s="24" t="s">
        <v>104</v>
      </c>
      <c r="BF5" s="24" t="s">
        <v>104</v>
      </c>
      <c r="BG5" s="23" t="s">
        <v>104</v>
      </c>
      <c r="BH5" s="23" t="s">
        <v>104</v>
      </c>
      <c r="BI5" s="23" t="s">
        <v>104</v>
      </c>
      <c r="BJ5" s="23" t="s">
        <v>104</v>
      </c>
      <c r="BK5" s="23" t="s">
        <v>176</v>
      </c>
      <c r="BL5" s="23" t="s">
        <v>176</v>
      </c>
      <c r="BM5" s="23" t="s">
        <v>176</v>
      </c>
      <c r="BN5" s="23" t="s">
        <v>176</v>
      </c>
      <c r="BO5" s="23" t="s">
        <v>176</v>
      </c>
      <c r="BP5" s="23" t="s">
        <v>176</v>
      </c>
      <c r="BQ5" s="23" t="s">
        <v>176</v>
      </c>
      <c r="BR5" s="23" t="s">
        <v>176</v>
      </c>
      <c r="BS5" t="s">
        <v>176</v>
      </c>
      <c r="BT5" t="s">
        <v>176</v>
      </c>
      <c r="BU5" t="s">
        <v>176</v>
      </c>
      <c r="BV5" t="s">
        <v>176</v>
      </c>
    </row>
    <row r="6" spans="1:74" x14ac:dyDescent="0.25">
      <c r="A6" s="24" t="e">
        <f>#REF!-B6</f>
        <v>#REF!</v>
      </c>
      <c r="B6" s="24">
        <v>4.3540000000000001</v>
      </c>
      <c r="C6" s="138">
        <v>37257</v>
      </c>
      <c r="D6" s="192">
        <v>2.7010000000000001</v>
      </c>
      <c r="E6" s="296">
        <v>0.98</v>
      </c>
      <c r="F6" s="23">
        <v>2.1780849295643299E-2</v>
      </c>
      <c r="G6" s="23">
        <v>-0.12</v>
      </c>
      <c r="H6" s="23">
        <v>-0.14000000000000001</v>
      </c>
      <c r="I6" s="27">
        <v>-1.4999999999999999E-2</v>
      </c>
      <c r="J6" s="27">
        <v>-0.115</v>
      </c>
      <c r="K6" s="23">
        <v>-1.4999999999999999E-2</v>
      </c>
      <c r="L6" s="23">
        <v>-0.08</v>
      </c>
      <c r="M6" s="23">
        <v>-0.11</v>
      </c>
      <c r="N6" s="23">
        <v>-0.11</v>
      </c>
      <c r="O6" s="23">
        <v>-0.11</v>
      </c>
      <c r="P6" s="23">
        <v>-0.12</v>
      </c>
      <c r="Q6" s="23">
        <v>-0.1</v>
      </c>
      <c r="R6" s="23">
        <v>-0.08</v>
      </c>
      <c r="S6" s="23">
        <v>0.105</v>
      </c>
      <c r="T6" s="23">
        <v>0.125</v>
      </c>
      <c r="U6" s="23">
        <v>0.12</v>
      </c>
      <c r="V6" s="23">
        <v>0.2</v>
      </c>
      <c r="W6" s="23">
        <v>0.13250000000000001</v>
      </c>
      <c r="X6" s="23">
        <v>0.20250000000000001</v>
      </c>
      <c r="Y6" s="23">
        <v>-2.5000000000000001E-2</v>
      </c>
      <c r="Z6" s="23">
        <v>-0.06</v>
      </c>
      <c r="AA6" s="23">
        <v>-0.01</v>
      </c>
      <c r="AB6" s="23">
        <v>-3.5000000000000003E-2</v>
      </c>
      <c r="AC6" s="23">
        <v>2.5000000000000001E-3</v>
      </c>
      <c r="AD6" s="23">
        <v>-4.2500000000000003E-2</v>
      </c>
      <c r="AE6" s="23">
        <v>-8.2500000000000004E-2</v>
      </c>
      <c r="AF6" s="23">
        <v>-6.7500000000000004E-2</v>
      </c>
      <c r="AG6" s="23">
        <v>-9.2499999999999999E-2</v>
      </c>
      <c r="AH6" s="23">
        <v>-0.02</v>
      </c>
      <c r="AI6" s="23">
        <v>-0.08</v>
      </c>
      <c r="AJ6" s="23">
        <v>-0.12</v>
      </c>
      <c r="AK6" s="23">
        <v>-2.5000000000000001E-2</v>
      </c>
      <c r="AL6" s="23">
        <v>1.4999999999999999E-2</v>
      </c>
      <c r="AM6" s="23">
        <v>1.72</v>
      </c>
      <c r="AN6" s="23">
        <v>-3.2500000000000001E-2</v>
      </c>
      <c r="AO6" s="23">
        <v>-0.36499999999999999</v>
      </c>
      <c r="AP6" s="23">
        <v>-0.15</v>
      </c>
      <c r="AQ6" s="23">
        <v>-0.27</v>
      </c>
      <c r="AR6" s="23">
        <v>0.06</v>
      </c>
      <c r="AS6" s="23">
        <v>-0.31</v>
      </c>
      <c r="AT6" s="23">
        <v>-0.46500000000000002</v>
      </c>
      <c r="AU6" s="23">
        <v>-1.4999999999999999E-2</v>
      </c>
      <c r="AV6" s="23">
        <v>-0.36499999999999999</v>
      </c>
      <c r="AW6" s="23">
        <v>-0.21</v>
      </c>
      <c r="AX6" s="23">
        <v>-0.12</v>
      </c>
      <c r="AY6" s="23">
        <v>-0.14000000000000001</v>
      </c>
      <c r="AZ6" s="23">
        <v>-8.7499999999999994E-2</v>
      </c>
      <c r="BA6" s="23">
        <v>-0.1275</v>
      </c>
      <c r="BB6" s="23">
        <v>-2.5000000000000001E-2</v>
      </c>
      <c r="BC6" s="23">
        <v>-8.5000000000000006E-2</v>
      </c>
      <c r="BD6" s="23">
        <v>-5.2499999999999998E-2</v>
      </c>
      <c r="BE6" s="23">
        <v>-8.2500000000000004E-2</v>
      </c>
      <c r="BF6" s="23">
        <v>-1.4999999999999999E-2</v>
      </c>
      <c r="BG6" s="23">
        <v>0.21</v>
      </c>
      <c r="BH6" s="23">
        <v>0.125</v>
      </c>
      <c r="BI6" s="23">
        <v>0.13500000000000001</v>
      </c>
      <c r="BJ6" s="23">
        <v>0.78</v>
      </c>
      <c r="BK6" s="23">
        <v>-5.0000000000000001E-3</v>
      </c>
      <c r="BL6" s="23">
        <v>-2.5000000000000001E-2</v>
      </c>
      <c r="BM6" s="23">
        <v>5.0000000000000001E-3</v>
      </c>
      <c r="BN6" s="23">
        <v>-1.4999999999999999E-2</v>
      </c>
      <c r="BO6" s="23">
        <v>1.4999999999999999E-2</v>
      </c>
      <c r="BP6" s="23">
        <v>-2.75E-2</v>
      </c>
      <c r="BQ6" s="23">
        <v>-0.01</v>
      </c>
      <c r="BR6" s="23">
        <v>0.43</v>
      </c>
      <c r="BS6">
        <v>0</v>
      </c>
      <c r="BT6">
        <v>0.01</v>
      </c>
      <c r="BU6">
        <v>-0.01</v>
      </c>
      <c r="BV6">
        <v>0.02</v>
      </c>
    </row>
    <row r="7" spans="1:74" x14ac:dyDescent="0.25">
      <c r="A7" s="24" t="e">
        <f>#REF!-B7</f>
        <v>#REF!</v>
      </c>
      <c r="B7" s="24">
        <v>4.34</v>
      </c>
      <c r="C7" s="138">
        <f t="shared" ref="C7:C70" si="3">EOMONTH(C6,0)+1</f>
        <v>37288</v>
      </c>
      <c r="D7" s="192">
        <v>2.786</v>
      </c>
      <c r="E7" s="24">
        <v>0.92</v>
      </c>
      <c r="F7" s="23">
        <v>2.1145658071011701E-2</v>
      </c>
      <c r="G7" s="23">
        <v>-0.115</v>
      </c>
      <c r="H7" s="23">
        <v>-0.13500000000000001</v>
      </c>
      <c r="I7" s="27">
        <v>-5.0000000000000001E-3</v>
      </c>
      <c r="J7" s="27">
        <v>-0.105</v>
      </c>
      <c r="K7" s="23">
        <v>-5.0000000000000001E-3</v>
      </c>
      <c r="L7" s="23">
        <v>-0.08</v>
      </c>
      <c r="M7" s="23">
        <v>-0.11</v>
      </c>
      <c r="N7" s="23">
        <v>-0.105</v>
      </c>
      <c r="O7" s="23">
        <v>-0.105</v>
      </c>
      <c r="P7" s="23">
        <v>-0.115</v>
      </c>
      <c r="Q7" s="23">
        <v>-0.1</v>
      </c>
      <c r="R7" s="23">
        <v>-0.08</v>
      </c>
      <c r="S7" s="23">
        <v>0.1</v>
      </c>
      <c r="T7" s="23">
        <v>0.12</v>
      </c>
      <c r="U7" s="23">
        <v>9.5000000000000001E-2</v>
      </c>
      <c r="V7" s="23">
        <v>0.11</v>
      </c>
      <c r="W7" s="23">
        <v>0.13250000000000001</v>
      </c>
      <c r="X7" s="23">
        <v>0.2</v>
      </c>
      <c r="Y7" s="23">
        <v>-2.5000000000000001E-2</v>
      </c>
      <c r="Z7" s="23">
        <v>-0.06</v>
      </c>
      <c r="AA7" s="23">
        <v>-0.01</v>
      </c>
      <c r="AB7" s="23">
        <v>-3.5000000000000003E-2</v>
      </c>
      <c r="AC7" s="23">
        <v>2.5000000000000001E-3</v>
      </c>
      <c r="AD7" s="23">
        <v>-4.2500000000000003E-2</v>
      </c>
      <c r="AE7" s="23">
        <v>-8.2500000000000004E-2</v>
      </c>
      <c r="AF7" s="23">
        <v>-6.7500000000000004E-2</v>
      </c>
      <c r="AG7" s="23">
        <v>-9.2499999999999999E-2</v>
      </c>
      <c r="AH7" s="23">
        <v>-0.02</v>
      </c>
      <c r="AI7" s="23">
        <v>-7.7499999999999999E-2</v>
      </c>
      <c r="AJ7" s="23">
        <v>-0.12</v>
      </c>
      <c r="AK7" s="23">
        <v>-2.5000000000000001E-2</v>
      </c>
      <c r="AL7" s="23">
        <v>1.4999999999999999E-2</v>
      </c>
      <c r="AM7" s="23">
        <v>1.7</v>
      </c>
      <c r="AN7" s="23">
        <v>-2.75E-2</v>
      </c>
      <c r="AO7" s="23">
        <v>-0.39500000000000002</v>
      </c>
      <c r="AP7" s="23">
        <v>-0.155</v>
      </c>
      <c r="AQ7" s="23">
        <v>-0.3</v>
      </c>
      <c r="AR7" s="23">
        <v>-0.08</v>
      </c>
      <c r="AS7" s="23">
        <v>-0.34</v>
      </c>
      <c r="AT7" s="23">
        <v>-0.495</v>
      </c>
      <c r="AU7" s="23">
        <v>-0.09</v>
      </c>
      <c r="AV7" s="23">
        <v>-0.39500000000000002</v>
      </c>
      <c r="AW7" s="23">
        <v>-0.21</v>
      </c>
      <c r="AX7" s="23">
        <v>-0.125</v>
      </c>
      <c r="AY7" s="23">
        <v>-0.14000000000000001</v>
      </c>
      <c r="AZ7" s="23">
        <v>-8.7499999999999994E-2</v>
      </c>
      <c r="BA7" s="23">
        <v>-0.1275</v>
      </c>
      <c r="BB7" s="23">
        <v>-2.5000000000000001E-2</v>
      </c>
      <c r="BC7" s="23">
        <v>-8.5000000000000006E-2</v>
      </c>
      <c r="BD7" s="23">
        <v>-4.7500000000000001E-2</v>
      </c>
      <c r="BE7" s="23">
        <v>-8.2500000000000004E-2</v>
      </c>
      <c r="BF7" s="23">
        <v>-0.05</v>
      </c>
      <c r="BG7" s="23">
        <v>0.155</v>
      </c>
      <c r="BH7" s="23">
        <v>0.12</v>
      </c>
      <c r="BI7" s="23">
        <v>0.13</v>
      </c>
      <c r="BJ7" s="23">
        <v>0.78</v>
      </c>
      <c r="BK7" s="23">
        <v>-5.0000000000000001E-3</v>
      </c>
      <c r="BL7" s="23">
        <v>-2.5000000000000001E-2</v>
      </c>
      <c r="BM7" s="23">
        <v>5.0000000000000001E-3</v>
      </c>
      <c r="BN7" s="23">
        <v>-1.4999999999999999E-2</v>
      </c>
      <c r="BO7" s="23">
        <v>1.4999999999999999E-2</v>
      </c>
      <c r="BP7" s="23">
        <v>-2.75E-2</v>
      </c>
      <c r="BQ7" s="23">
        <v>-0.01</v>
      </c>
      <c r="BR7" s="23">
        <v>0.43</v>
      </c>
      <c r="BS7">
        <v>0</v>
      </c>
      <c r="BT7">
        <v>0.01</v>
      </c>
      <c r="BU7">
        <v>-0.01</v>
      </c>
      <c r="BV7">
        <v>0.02</v>
      </c>
    </row>
    <row r="8" spans="1:74" x14ac:dyDescent="0.25">
      <c r="A8" s="24" t="e">
        <f>#REF!-B8</f>
        <v>#REF!</v>
      </c>
      <c r="B8" s="24">
        <v>4.32</v>
      </c>
      <c r="C8" s="138">
        <f t="shared" si="3"/>
        <v>37316</v>
      </c>
      <c r="D8" s="192">
        <v>2.7989999999999999</v>
      </c>
      <c r="E8" s="24">
        <v>0.80300000000000005</v>
      </c>
      <c r="F8" s="23">
        <v>2.07759939054513E-2</v>
      </c>
      <c r="G8" s="23">
        <v>-0.115</v>
      </c>
      <c r="H8" s="23">
        <v>-0.13500000000000001</v>
      </c>
      <c r="I8" s="27">
        <v>-5.0000000000000001E-3</v>
      </c>
      <c r="J8" s="27">
        <v>-0.105</v>
      </c>
      <c r="K8" s="23">
        <v>-5.0000000000000001E-3</v>
      </c>
      <c r="L8" s="23">
        <v>-0.08</v>
      </c>
      <c r="M8" s="23">
        <v>-0.11</v>
      </c>
      <c r="N8" s="23">
        <v>-0.105</v>
      </c>
      <c r="O8" s="23">
        <v>-0.105</v>
      </c>
      <c r="P8" s="23">
        <v>-0.115</v>
      </c>
      <c r="Q8" s="23">
        <v>-0.1</v>
      </c>
      <c r="R8" s="23">
        <v>-0.08</v>
      </c>
      <c r="S8" s="23">
        <v>9.5000000000000001E-2</v>
      </c>
      <c r="T8" s="23">
        <v>0.115</v>
      </c>
      <c r="U8" s="23">
        <v>8.5000000000000006E-2</v>
      </c>
      <c r="V8" s="23">
        <v>0.09</v>
      </c>
      <c r="W8" s="23">
        <v>0.12</v>
      </c>
      <c r="X8" s="23">
        <v>0.17</v>
      </c>
      <c r="Y8" s="23">
        <v>-2.5000000000000001E-2</v>
      </c>
      <c r="Z8" s="23">
        <v>-0.06</v>
      </c>
      <c r="AA8" s="23">
        <v>-0.01</v>
      </c>
      <c r="AB8" s="23">
        <v>-3.5000000000000003E-2</v>
      </c>
      <c r="AC8" s="23">
        <v>2.5000000000000001E-3</v>
      </c>
      <c r="AD8" s="23">
        <v>-4.2500000000000003E-2</v>
      </c>
      <c r="AE8" s="23">
        <v>-8.2500000000000004E-2</v>
      </c>
      <c r="AF8" s="23">
        <v>-6.7500000000000004E-2</v>
      </c>
      <c r="AG8" s="23">
        <v>-9.2499999999999999E-2</v>
      </c>
      <c r="AH8" s="23">
        <v>-0.02</v>
      </c>
      <c r="AI8" s="23">
        <v>-7.7499999999999999E-2</v>
      </c>
      <c r="AJ8" s="23">
        <v>-0.12</v>
      </c>
      <c r="AK8" s="23">
        <v>-2.5000000000000001E-2</v>
      </c>
      <c r="AL8" s="23">
        <v>1.4999999999999999E-2</v>
      </c>
      <c r="AM8" s="23">
        <v>0.64</v>
      </c>
      <c r="AN8" s="23">
        <v>-2.2499999999999999E-2</v>
      </c>
      <c r="AO8" s="23">
        <v>-0.495</v>
      </c>
      <c r="AP8" s="23">
        <v>-0.16</v>
      </c>
      <c r="AQ8" s="23">
        <v>-0.34</v>
      </c>
      <c r="AR8" s="23">
        <v>-0.25</v>
      </c>
      <c r="AS8" s="23">
        <v>-0.43</v>
      </c>
      <c r="AT8" s="23">
        <v>-0.59499999999999997</v>
      </c>
      <c r="AU8" s="23">
        <v>-0.01</v>
      </c>
      <c r="AV8" s="23">
        <v>-0.495</v>
      </c>
      <c r="AW8" s="23">
        <v>-0.21</v>
      </c>
      <c r="AX8" s="23">
        <v>-0.13</v>
      </c>
      <c r="AY8" s="23">
        <v>-0.14000000000000001</v>
      </c>
      <c r="AZ8" s="23">
        <v>-8.7499999999999994E-2</v>
      </c>
      <c r="BA8" s="23">
        <v>-0.1275</v>
      </c>
      <c r="BB8" s="23">
        <v>-2.5000000000000001E-2</v>
      </c>
      <c r="BC8" s="23">
        <v>-8.5000000000000006E-2</v>
      </c>
      <c r="BD8" s="23">
        <v>-4.2500000000000003E-2</v>
      </c>
      <c r="BE8" s="23">
        <v>-8.2500000000000004E-2</v>
      </c>
      <c r="BF8" s="23">
        <v>-0.1</v>
      </c>
      <c r="BG8" s="23">
        <v>0.16</v>
      </c>
      <c r="BH8" s="23">
        <v>0.115</v>
      </c>
      <c r="BI8" s="23">
        <v>0.125</v>
      </c>
      <c r="BJ8" s="23">
        <v>0.48</v>
      </c>
      <c r="BK8" s="23">
        <v>-5.0000000000000001E-3</v>
      </c>
      <c r="BL8" s="23">
        <v>-0.02</v>
      </c>
      <c r="BM8" s="23">
        <v>5.0000000000000001E-3</v>
      </c>
      <c r="BN8" s="23">
        <v>-1.4999999999999999E-2</v>
      </c>
      <c r="BO8" s="23">
        <v>1.4999999999999999E-2</v>
      </c>
      <c r="BP8" s="23">
        <v>-2.75E-2</v>
      </c>
      <c r="BQ8" s="23">
        <v>-0.01</v>
      </c>
      <c r="BR8" s="23">
        <v>0.05</v>
      </c>
      <c r="BS8">
        <v>0</v>
      </c>
      <c r="BT8">
        <v>0.01</v>
      </c>
      <c r="BU8">
        <v>-0.01</v>
      </c>
      <c r="BV8">
        <v>0.02</v>
      </c>
    </row>
    <row r="9" spans="1:74" x14ac:dyDescent="0.25">
      <c r="A9" s="24" t="e">
        <f>#REF!-B9</f>
        <v>#REF!</v>
      </c>
      <c r="B9" s="24">
        <v>4.335</v>
      </c>
      <c r="C9" s="138">
        <f t="shared" si="3"/>
        <v>37347</v>
      </c>
      <c r="D9">
        <v>2.7589999999999999</v>
      </c>
      <c r="E9" s="24">
        <v>0.66</v>
      </c>
      <c r="F9" s="23">
        <v>2.0033459902157401E-2</v>
      </c>
      <c r="G9" s="23">
        <v>-0.13</v>
      </c>
      <c r="H9" s="23">
        <v>-0.15</v>
      </c>
      <c r="I9" s="27">
        <v>-0.09</v>
      </c>
      <c r="J9" s="27">
        <v>-0.20499999999999999</v>
      </c>
      <c r="K9" s="23">
        <v>-0.09</v>
      </c>
      <c r="L9" s="23">
        <v>-7.0000000000000007E-2</v>
      </c>
      <c r="M9" s="23">
        <v>-9.5000000000000001E-2</v>
      </c>
      <c r="N9" s="23">
        <v>-0.12</v>
      </c>
      <c r="O9" s="23">
        <v>-0.12</v>
      </c>
      <c r="P9" s="23">
        <v>-0.13</v>
      </c>
      <c r="Q9" s="23">
        <v>-0.1125</v>
      </c>
      <c r="R9" s="23">
        <v>-8.7499999999999994E-2</v>
      </c>
      <c r="S9" s="23">
        <v>8.5000000000000006E-2</v>
      </c>
      <c r="T9" s="23">
        <v>0.13500000000000001</v>
      </c>
      <c r="U9" s="23">
        <v>0.03</v>
      </c>
      <c r="V9" s="23">
        <v>7.0000000000000007E-2</v>
      </c>
      <c r="W9" s="23">
        <v>0.15</v>
      </c>
      <c r="X9" s="23">
        <v>0.19500000000000001</v>
      </c>
      <c r="Y9" s="23">
        <v>-2.5000000000000001E-2</v>
      </c>
      <c r="Z9" s="23">
        <v>-5.5E-2</v>
      </c>
      <c r="AA9" s="23">
        <v>0.01</v>
      </c>
      <c r="AB9" s="23">
        <v>-2.2499999999999999E-2</v>
      </c>
      <c r="AC9" s="23">
        <v>2.5000000000000001E-3</v>
      </c>
      <c r="AD9" s="23">
        <v>-2.75E-2</v>
      </c>
      <c r="AE9" s="23">
        <v>-7.7499999999999999E-2</v>
      </c>
      <c r="AF9" s="23">
        <v>-6.5000000000000002E-2</v>
      </c>
      <c r="AG9" s="23">
        <v>-0.09</v>
      </c>
      <c r="AH9" s="23">
        <v>-0.02</v>
      </c>
      <c r="AI9" s="23">
        <v>-7.7499999999999999E-2</v>
      </c>
      <c r="AJ9" s="23">
        <v>-0.13750000000000001</v>
      </c>
      <c r="AK9" s="23">
        <v>-2.2499999999999999E-2</v>
      </c>
      <c r="AL9" s="23">
        <v>1.7500000000000002E-2</v>
      </c>
      <c r="AM9" s="23">
        <v>0.41</v>
      </c>
      <c r="AN9" s="23">
        <v>1.4999999999999999E-2</v>
      </c>
      <c r="AO9" s="23">
        <v>-0.64</v>
      </c>
      <c r="AP9" s="23">
        <v>-0.17499999999999999</v>
      </c>
      <c r="AQ9" s="23">
        <v>-0.36</v>
      </c>
      <c r="AR9" s="23">
        <v>-0.27500000000000002</v>
      </c>
      <c r="AS9" s="23">
        <v>-0.53</v>
      </c>
      <c r="AT9" s="23">
        <v>-0.64</v>
      </c>
      <c r="AU9" s="23">
        <v>-0.09</v>
      </c>
      <c r="AV9" s="23">
        <v>-0.64</v>
      </c>
      <c r="AW9" s="23">
        <v>-0.23499999999999999</v>
      </c>
      <c r="AX9" s="23">
        <v>-0.13500000000000001</v>
      </c>
      <c r="AY9" s="23">
        <v>-0.16500000000000001</v>
      </c>
      <c r="AZ9" s="23">
        <v>-8.5000000000000006E-2</v>
      </c>
      <c r="BA9" s="23">
        <v>-0.14249999999999999</v>
      </c>
      <c r="BB9" s="23">
        <v>-2.5000000000000001E-2</v>
      </c>
      <c r="BC9" s="23">
        <v>-8.2500000000000004E-2</v>
      </c>
      <c r="BD9" s="23">
        <v>-1.4999999999999999E-2</v>
      </c>
      <c r="BE9" s="23">
        <v>-7.7499999999999999E-2</v>
      </c>
      <c r="BF9" s="23">
        <v>-0.12</v>
      </c>
      <c r="BG9" s="23">
        <v>8.5000000000000006E-2</v>
      </c>
      <c r="BH9" s="23">
        <v>0.13500000000000001</v>
      </c>
      <c r="BI9" s="23">
        <v>0.09</v>
      </c>
      <c r="BJ9" s="23">
        <v>0.34</v>
      </c>
      <c r="BK9" s="23">
        <v>-2.5000000000000001E-3</v>
      </c>
      <c r="BL9" s="23">
        <v>-1.4999999999999999E-2</v>
      </c>
      <c r="BM9" s="23">
        <v>5.0000000000000001E-3</v>
      </c>
      <c r="BN9" s="23">
        <v>-0.01</v>
      </c>
      <c r="BO9" s="23">
        <v>0.02</v>
      </c>
      <c r="BP9" s="23">
        <v>-0.01</v>
      </c>
      <c r="BQ9" s="23">
        <v>0</v>
      </c>
      <c r="BR9" s="23">
        <v>0.02</v>
      </c>
      <c r="BS9">
        <v>-5.0000000000000001E-3</v>
      </c>
      <c r="BT9">
        <v>0.03</v>
      </c>
      <c r="BU9">
        <v>-0.01</v>
      </c>
      <c r="BV9">
        <v>0.02</v>
      </c>
    </row>
    <row r="10" spans="1:74" x14ac:dyDescent="0.25">
      <c r="A10" s="24" t="e">
        <f>#REF!-B10</f>
        <v>#REF!</v>
      </c>
      <c r="B10" s="24">
        <v>4.4340000000000002</v>
      </c>
      <c r="C10" s="138">
        <f t="shared" si="3"/>
        <v>37377</v>
      </c>
      <c r="D10">
        <v>2.7989999999999999</v>
      </c>
      <c r="E10" s="24">
        <v>0.59299999999999997</v>
      </c>
      <c r="F10" s="23">
        <v>2.0156242730434901E-2</v>
      </c>
      <c r="G10" s="23">
        <v>-0.13</v>
      </c>
      <c r="H10" s="23">
        <v>-0.15</v>
      </c>
      <c r="I10" s="27">
        <v>-0.09</v>
      </c>
      <c r="J10" s="27">
        <v>-0.19750000000000001</v>
      </c>
      <c r="K10" s="23">
        <v>-0.09</v>
      </c>
      <c r="L10" s="23">
        <v>-7.0000000000000007E-2</v>
      </c>
      <c r="M10" s="23">
        <v>-9.5000000000000001E-2</v>
      </c>
      <c r="N10" s="23">
        <v>-0.12</v>
      </c>
      <c r="O10" s="23">
        <v>-0.12</v>
      </c>
      <c r="P10" s="23">
        <v>-0.13</v>
      </c>
      <c r="Q10" s="23">
        <v>-0.1125</v>
      </c>
      <c r="R10" s="23">
        <v>-8.7499999999999994E-2</v>
      </c>
      <c r="S10" s="23">
        <v>8.5000000000000006E-2</v>
      </c>
      <c r="T10" s="23">
        <v>0.13500000000000001</v>
      </c>
      <c r="U10" s="23">
        <v>0.03</v>
      </c>
      <c r="V10" s="23">
        <v>7.0000000000000007E-2</v>
      </c>
      <c r="W10" s="23">
        <v>0.13</v>
      </c>
      <c r="X10" s="23">
        <v>0.13500000000000001</v>
      </c>
      <c r="Y10" s="23">
        <v>-2.5000000000000001E-2</v>
      </c>
      <c r="Z10" s="23">
        <v>-5.5E-2</v>
      </c>
      <c r="AA10" s="23">
        <v>0.01</v>
      </c>
      <c r="AB10" s="23">
        <v>-2.2499999999999999E-2</v>
      </c>
      <c r="AC10" s="23">
        <v>2.5000000000000001E-3</v>
      </c>
      <c r="AD10" s="23">
        <v>-2.75E-2</v>
      </c>
      <c r="AE10" s="23">
        <v>-7.7499999999999999E-2</v>
      </c>
      <c r="AF10" s="23">
        <v>-6.5000000000000002E-2</v>
      </c>
      <c r="AG10" s="23">
        <v>-0.09</v>
      </c>
      <c r="AH10" s="23">
        <v>-0.02</v>
      </c>
      <c r="AI10" s="23">
        <v>-7.7499999999999999E-2</v>
      </c>
      <c r="AJ10" s="23">
        <v>-0.13750000000000001</v>
      </c>
      <c r="AK10" s="23">
        <v>-2.2499999999999999E-2</v>
      </c>
      <c r="AL10" s="23">
        <v>1.7500000000000002E-2</v>
      </c>
      <c r="AM10" s="23">
        <v>0.38</v>
      </c>
      <c r="AN10" s="23">
        <v>0.02</v>
      </c>
      <c r="AO10" s="23">
        <v>-0.64</v>
      </c>
      <c r="AP10" s="23">
        <v>-0.17</v>
      </c>
      <c r="AQ10" s="23">
        <v>-0.36</v>
      </c>
      <c r="AR10" s="23">
        <v>-0.27500000000000002</v>
      </c>
      <c r="AS10" s="23">
        <v>-0.53</v>
      </c>
      <c r="AT10" s="23">
        <v>-0.64</v>
      </c>
      <c r="AU10" s="23">
        <v>-7.0000000000000007E-2</v>
      </c>
      <c r="AV10" s="23">
        <v>-0.64</v>
      </c>
      <c r="AW10" s="23">
        <v>-0.20250000000000001</v>
      </c>
      <c r="AX10" s="23">
        <v>-0.1275</v>
      </c>
      <c r="AY10" s="23">
        <v>-0.14249999999999999</v>
      </c>
      <c r="AZ10" s="23">
        <v>-8.5000000000000006E-2</v>
      </c>
      <c r="BA10" s="23">
        <v>-0.13500000000000001</v>
      </c>
      <c r="BB10" s="23">
        <v>-2.5000000000000001E-2</v>
      </c>
      <c r="BC10" s="23">
        <v>-8.2500000000000004E-2</v>
      </c>
      <c r="BD10" s="23">
        <v>-0.01</v>
      </c>
      <c r="BE10" s="23">
        <v>-7.7499999999999999E-2</v>
      </c>
      <c r="BF10" s="23">
        <v>-0.12</v>
      </c>
      <c r="BG10" s="23">
        <v>8.5000000000000006E-2</v>
      </c>
      <c r="BH10" s="23">
        <v>0.13500000000000001</v>
      </c>
      <c r="BI10" s="23">
        <v>0.09</v>
      </c>
      <c r="BJ10" s="23">
        <v>0.3125</v>
      </c>
      <c r="BK10" s="23">
        <v>-2.5000000000000001E-3</v>
      </c>
      <c r="BL10" s="23">
        <v>-1.4999999999999999E-2</v>
      </c>
      <c r="BM10" s="23">
        <v>5.0000000000000001E-3</v>
      </c>
      <c r="BN10" s="23">
        <v>-0.01</v>
      </c>
      <c r="BO10" s="23">
        <v>0.02</v>
      </c>
      <c r="BP10" s="23">
        <v>-0.01</v>
      </c>
      <c r="BQ10" s="23">
        <v>0</v>
      </c>
      <c r="BR10" s="23">
        <v>0.02</v>
      </c>
      <c r="BS10">
        <v>-5.0000000000000001E-3</v>
      </c>
      <c r="BT10">
        <v>0.03</v>
      </c>
      <c r="BU10">
        <v>-0.01</v>
      </c>
      <c r="BV10">
        <v>0.02</v>
      </c>
    </row>
    <row r="11" spans="1:74" x14ac:dyDescent="0.25">
      <c r="A11" s="24" t="e">
        <f>#REF!-B11</f>
        <v>#REF!</v>
      </c>
      <c r="B11" s="24">
        <v>4.5330000000000004</v>
      </c>
      <c r="C11" s="138">
        <f t="shared" si="3"/>
        <v>37408</v>
      </c>
      <c r="D11">
        <v>2.8490000000000002</v>
      </c>
      <c r="E11" s="24">
        <v>0.57299999999999995</v>
      </c>
      <c r="F11" s="23">
        <v>2.0283118325021401E-2</v>
      </c>
      <c r="G11" s="23">
        <v>-0.13</v>
      </c>
      <c r="H11" s="23">
        <v>-0.15</v>
      </c>
      <c r="I11" s="27">
        <v>-0.09</v>
      </c>
      <c r="J11" s="27">
        <v>-0.1925</v>
      </c>
      <c r="K11" s="23">
        <v>-0.09</v>
      </c>
      <c r="L11" s="23">
        <v>-7.0000000000000007E-2</v>
      </c>
      <c r="M11" s="23">
        <v>-9.5000000000000001E-2</v>
      </c>
      <c r="N11" s="23">
        <v>-0.12</v>
      </c>
      <c r="O11" s="23">
        <v>-0.12</v>
      </c>
      <c r="P11" s="23">
        <v>-0.13</v>
      </c>
      <c r="Q11" s="23">
        <v>-0.1125</v>
      </c>
      <c r="R11" s="23">
        <v>-8.7499999999999994E-2</v>
      </c>
      <c r="S11" s="23">
        <v>8.5000000000000006E-2</v>
      </c>
      <c r="T11" s="23">
        <v>0.13500000000000001</v>
      </c>
      <c r="U11" s="23">
        <v>0.03</v>
      </c>
      <c r="V11" s="23">
        <v>7.0000000000000007E-2</v>
      </c>
      <c r="W11" s="23">
        <v>0.15</v>
      </c>
      <c r="X11" s="23">
        <v>0.16500000000000001</v>
      </c>
      <c r="Y11" s="23">
        <v>-2.5000000000000001E-2</v>
      </c>
      <c r="Z11" s="23">
        <v>-5.2499999999999998E-2</v>
      </c>
      <c r="AA11" s="23">
        <v>1.2500000000000001E-2</v>
      </c>
      <c r="AB11" s="23">
        <v>-0.02</v>
      </c>
      <c r="AC11" s="23">
        <v>2.5000000000000001E-3</v>
      </c>
      <c r="AD11" s="23">
        <v>-2.75E-2</v>
      </c>
      <c r="AE11" s="23">
        <v>-7.7499999999999999E-2</v>
      </c>
      <c r="AF11" s="23">
        <v>-6.5000000000000002E-2</v>
      </c>
      <c r="AG11" s="23">
        <v>-0.09</v>
      </c>
      <c r="AH11" s="23">
        <v>-0.02</v>
      </c>
      <c r="AI11" s="23">
        <v>-7.7499999999999999E-2</v>
      </c>
      <c r="AJ11" s="23">
        <v>-0.13750000000000001</v>
      </c>
      <c r="AK11" s="23">
        <v>-2.2499999999999999E-2</v>
      </c>
      <c r="AL11" s="23">
        <v>1.7500000000000002E-2</v>
      </c>
      <c r="AM11" s="23">
        <v>0.36499999999999999</v>
      </c>
      <c r="AN11" s="23">
        <v>3.2500000000000001E-2</v>
      </c>
      <c r="AO11" s="23">
        <v>-0.64</v>
      </c>
      <c r="AP11" s="23">
        <v>-0.16500000000000001</v>
      </c>
      <c r="AQ11" s="23">
        <v>-0.36</v>
      </c>
      <c r="AR11" s="23">
        <v>-0.27500000000000002</v>
      </c>
      <c r="AS11" s="23">
        <v>-0.53</v>
      </c>
      <c r="AT11" s="23">
        <v>-0.64</v>
      </c>
      <c r="AU11" s="23">
        <v>-0.05</v>
      </c>
      <c r="AV11" s="23">
        <v>-0.64</v>
      </c>
      <c r="AW11" s="23">
        <v>-0.15</v>
      </c>
      <c r="AX11" s="23">
        <v>-0.1225</v>
      </c>
      <c r="AY11" s="23">
        <v>-0.09</v>
      </c>
      <c r="AZ11" s="23">
        <v>-8.5000000000000006E-2</v>
      </c>
      <c r="BA11" s="23">
        <v>-9.2499999999999999E-2</v>
      </c>
      <c r="BB11" s="23">
        <v>-2.5000000000000001E-2</v>
      </c>
      <c r="BC11" s="23">
        <v>-8.2500000000000004E-2</v>
      </c>
      <c r="BD11" s="23">
        <v>2.5000000000000001E-3</v>
      </c>
      <c r="BE11" s="23">
        <v>-7.7499999999999999E-2</v>
      </c>
      <c r="BF11" s="23">
        <v>-0.12</v>
      </c>
      <c r="BG11" s="23">
        <v>8.5000000000000006E-2</v>
      </c>
      <c r="BH11" s="23">
        <v>0.13500000000000001</v>
      </c>
      <c r="BI11" s="23">
        <v>0.09</v>
      </c>
      <c r="BJ11" s="23">
        <v>0.31</v>
      </c>
      <c r="BK11" s="23">
        <v>-2.5000000000000001E-3</v>
      </c>
      <c r="BL11" s="23">
        <v>-1.4999999999999999E-2</v>
      </c>
      <c r="BM11" s="23">
        <v>5.0000000000000001E-3</v>
      </c>
      <c r="BN11" s="23">
        <v>-0.01</v>
      </c>
      <c r="BO11" s="23">
        <v>0.02</v>
      </c>
      <c r="BP11" s="23">
        <v>-0.01</v>
      </c>
      <c r="BQ11" s="23">
        <v>0</v>
      </c>
      <c r="BR11" s="23">
        <v>3.5000000000000003E-2</v>
      </c>
      <c r="BS11">
        <v>-5.0000000000000001E-3</v>
      </c>
      <c r="BT11">
        <v>0.03</v>
      </c>
      <c r="BU11">
        <v>-0.01</v>
      </c>
      <c r="BV11">
        <v>0.02</v>
      </c>
    </row>
    <row r="12" spans="1:74" x14ac:dyDescent="0.25">
      <c r="A12" s="24" t="e">
        <f>#REF!-B12</f>
        <v>#REF!</v>
      </c>
      <c r="B12" s="24">
        <v>4.5410000000000004</v>
      </c>
      <c r="C12" s="138">
        <f t="shared" si="3"/>
        <v>37438</v>
      </c>
      <c r="D12">
        <v>2.8839999999999999</v>
      </c>
      <c r="E12" s="24">
        <v>0.56799999999999995</v>
      </c>
      <c r="F12" s="23">
        <v>2.0560063885965998E-2</v>
      </c>
      <c r="G12" s="23">
        <v>-0.13</v>
      </c>
      <c r="H12" s="23">
        <v>-0.15</v>
      </c>
      <c r="I12" s="27">
        <v>-0.09</v>
      </c>
      <c r="J12" s="27">
        <v>-0.155</v>
      </c>
      <c r="K12" s="23">
        <v>-0.09</v>
      </c>
      <c r="L12" s="23">
        <v>-7.0000000000000007E-2</v>
      </c>
      <c r="M12" s="23">
        <v>-9.5000000000000001E-2</v>
      </c>
      <c r="N12" s="23">
        <v>-0.12</v>
      </c>
      <c r="O12" s="23">
        <v>-0.12</v>
      </c>
      <c r="P12" s="23">
        <v>-0.13</v>
      </c>
      <c r="Q12" s="23">
        <v>-0.1125</v>
      </c>
      <c r="R12" s="23">
        <v>-8.7499999999999994E-2</v>
      </c>
      <c r="S12" s="23">
        <v>8.5000000000000006E-2</v>
      </c>
      <c r="T12" s="23">
        <v>0.13500000000000001</v>
      </c>
      <c r="U12" s="23">
        <v>0.03</v>
      </c>
      <c r="V12" s="23">
        <v>0.28000000000000003</v>
      </c>
      <c r="W12" s="23">
        <v>0.16500000000000001</v>
      </c>
      <c r="X12" s="23">
        <v>0.20499999999999999</v>
      </c>
      <c r="Y12" s="23">
        <v>-2.5000000000000001E-2</v>
      </c>
      <c r="Z12" s="23">
        <v>-5.2499999999999998E-2</v>
      </c>
      <c r="AA12" s="23">
        <v>1.2500000000000001E-2</v>
      </c>
      <c r="AB12" s="23">
        <v>-0.02</v>
      </c>
      <c r="AC12" s="23">
        <v>2.5000000000000001E-3</v>
      </c>
      <c r="AD12" s="23">
        <v>-2.75E-2</v>
      </c>
      <c r="AE12" s="23">
        <v>-7.7499999999999999E-2</v>
      </c>
      <c r="AF12" s="23">
        <v>-6.5000000000000002E-2</v>
      </c>
      <c r="AG12" s="23">
        <v>-0.09</v>
      </c>
      <c r="AH12" s="23">
        <v>-0.02</v>
      </c>
      <c r="AI12" s="23">
        <v>-7.7499999999999999E-2</v>
      </c>
      <c r="AJ12" s="23">
        <v>-0.13750000000000001</v>
      </c>
      <c r="AK12" s="23">
        <v>-2.2499999999999999E-2</v>
      </c>
      <c r="AL12" s="23">
        <v>1.7500000000000002E-2</v>
      </c>
      <c r="AM12" s="23">
        <v>0.42</v>
      </c>
      <c r="AN12" s="23">
        <v>4.4999999999999998E-2</v>
      </c>
      <c r="AO12" s="23">
        <v>-0.65</v>
      </c>
      <c r="AP12" s="23">
        <v>-0.125</v>
      </c>
      <c r="AQ12" s="23">
        <v>-0.33</v>
      </c>
      <c r="AR12" s="23">
        <v>-0.39</v>
      </c>
      <c r="AS12" s="23">
        <v>-0.54</v>
      </c>
      <c r="AT12" s="23">
        <v>-0.65</v>
      </c>
      <c r="AU12" s="23">
        <v>0.115</v>
      </c>
      <c r="AV12" s="23">
        <v>-0.65</v>
      </c>
      <c r="AW12" s="23">
        <v>-0.16</v>
      </c>
      <c r="AX12" s="23">
        <v>-8.5000000000000006E-2</v>
      </c>
      <c r="AY12" s="23">
        <v>-0.1</v>
      </c>
      <c r="AZ12" s="23">
        <v>-8.5000000000000006E-2</v>
      </c>
      <c r="BA12" s="23">
        <v>-0.09</v>
      </c>
      <c r="BB12" s="23">
        <v>-2.5000000000000001E-2</v>
      </c>
      <c r="BC12" s="23">
        <v>-8.2500000000000004E-2</v>
      </c>
      <c r="BD12" s="23">
        <v>1.4999999999999999E-2</v>
      </c>
      <c r="BE12" s="23">
        <v>-7.7499999999999999E-2</v>
      </c>
      <c r="BF12" s="23">
        <v>-0.02</v>
      </c>
      <c r="BG12" s="23">
        <v>8.5000000000000006E-2</v>
      </c>
      <c r="BH12" s="23">
        <v>0.13500000000000001</v>
      </c>
      <c r="BI12" s="23">
        <v>0.09</v>
      </c>
      <c r="BJ12" s="23">
        <v>0.33</v>
      </c>
      <c r="BK12" s="23">
        <v>-2.5000000000000001E-3</v>
      </c>
      <c r="BL12" s="23">
        <v>-0.01</v>
      </c>
      <c r="BM12" s="23">
        <v>5.0000000000000001E-3</v>
      </c>
      <c r="BN12" s="23">
        <v>-0.01</v>
      </c>
      <c r="BO12" s="23">
        <v>0.02</v>
      </c>
      <c r="BP12" s="23">
        <v>-0.01</v>
      </c>
      <c r="BQ12" s="23">
        <v>0</v>
      </c>
      <c r="BR12" s="23">
        <v>3.5000000000000003E-2</v>
      </c>
      <c r="BS12">
        <v>-5.0000000000000001E-3</v>
      </c>
      <c r="BT12">
        <v>0.03</v>
      </c>
      <c r="BU12">
        <v>-0.01</v>
      </c>
      <c r="BV12">
        <v>0.02</v>
      </c>
    </row>
    <row r="13" spans="1:74" x14ac:dyDescent="0.25">
      <c r="A13" s="24" t="e">
        <f>#REF!-B13</f>
        <v>#REF!</v>
      </c>
      <c r="B13" s="24">
        <v>4.3210000000000006</v>
      </c>
      <c r="C13" s="138">
        <f t="shared" si="3"/>
        <v>37469</v>
      </c>
      <c r="D13" s="192">
        <v>2.9209999999999998</v>
      </c>
      <c r="E13" s="297">
        <v>0.56299999999999994</v>
      </c>
      <c r="F13" s="23">
        <v>2.1094384134566099E-2</v>
      </c>
      <c r="G13" s="23">
        <v>-0.13</v>
      </c>
      <c r="H13" s="23">
        <v>-0.15</v>
      </c>
      <c r="I13" s="27">
        <v>-0.09</v>
      </c>
      <c r="J13" s="27">
        <v>-0.14000000000000001</v>
      </c>
      <c r="K13" s="23">
        <v>-0.09</v>
      </c>
      <c r="L13" s="23">
        <v>-7.0000000000000007E-2</v>
      </c>
      <c r="M13" s="23">
        <v>-9.5000000000000001E-2</v>
      </c>
      <c r="N13" s="23">
        <v>-0.12</v>
      </c>
      <c r="O13" s="23">
        <v>-0.12</v>
      </c>
      <c r="P13" s="23">
        <v>-0.13</v>
      </c>
      <c r="Q13" s="23">
        <v>-0.1125</v>
      </c>
      <c r="R13" s="23">
        <v>-8.7499999999999994E-2</v>
      </c>
      <c r="S13" s="23">
        <v>8.5000000000000006E-2</v>
      </c>
      <c r="T13" s="23">
        <v>0.13500000000000001</v>
      </c>
      <c r="U13" s="23">
        <v>0.03</v>
      </c>
      <c r="V13" s="23">
        <v>0.28000000000000003</v>
      </c>
      <c r="W13" s="23">
        <v>0.16500000000000001</v>
      </c>
      <c r="X13" s="23">
        <v>0.20499999999999999</v>
      </c>
      <c r="Y13" s="23">
        <v>-2.5000000000000001E-2</v>
      </c>
      <c r="Z13" s="23">
        <v>-5.2499999999999998E-2</v>
      </c>
      <c r="AA13" s="23">
        <v>1.2500000000000001E-2</v>
      </c>
      <c r="AB13" s="23">
        <v>-0.02</v>
      </c>
      <c r="AC13" s="23">
        <v>2.5000000000000001E-3</v>
      </c>
      <c r="AD13" s="23">
        <v>-2.75E-2</v>
      </c>
      <c r="AE13" s="23">
        <v>-7.7499999999999999E-2</v>
      </c>
      <c r="AF13" s="23">
        <v>-6.5000000000000002E-2</v>
      </c>
      <c r="AG13" s="23">
        <v>-0.09</v>
      </c>
      <c r="AH13" s="23">
        <v>-0.02</v>
      </c>
      <c r="AI13" s="23">
        <v>-7.7499999999999999E-2</v>
      </c>
      <c r="AJ13" s="23">
        <v>-0.13750000000000001</v>
      </c>
      <c r="AK13" s="23">
        <v>-2.2499999999999999E-2</v>
      </c>
      <c r="AL13" s="23">
        <v>1.7500000000000002E-2</v>
      </c>
      <c r="AM13" s="23">
        <v>0.42</v>
      </c>
      <c r="AN13" s="23">
        <v>0.05</v>
      </c>
      <c r="AO13" s="23">
        <v>-0.65</v>
      </c>
      <c r="AP13" s="23">
        <v>-0.11</v>
      </c>
      <c r="AQ13" s="23">
        <v>-0.33</v>
      </c>
      <c r="AR13" s="23">
        <v>-0.39</v>
      </c>
      <c r="AS13" s="23">
        <v>-0.54</v>
      </c>
      <c r="AT13" s="23">
        <v>-0.65</v>
      </c>
      <c r="AU13" s="23">
        <v>0.125</v>
      </c>
      <c r="AV13" s="23">
        <v>-0.65</v>
      </c>
      <c r="AW13" s="23">
        <v>-0.155</v>
      </c>
      <c r="AX13" s="23">
        <v>-7.0000000000000007E-2</v>
      </c>
      <c r="AY13" s="23">
        <v>-9.5000000000000001E-2</v>
      </c>
      <c r="AZ13" s="23">
        <v>-8.5000000000000006E-2</v>
      </c>
      <c r="BA13" s="23">
        <v>-8.7499999999999994E-2</v>
      </c>
      <c r="BB13" s="23">
        <v>-2.5000000000000001E-2</v>
      </c>
      <c r="BC13" s="23">
        <v>-8.2500000000000004E-2</v>
      </c>
      <c r="BD13" s="23">
        <v>0.02</v>
      </c>
      <c r="BE13" s="23">
        <v>-7.7499999999999999E-2</v>
      </c>
      <c r="BF13" s="23">
        <v>0.01</v>
      </c>
      <c r="BG13" s="23">
        <v>8.5000000000000006E-2</v>
      </c>
      <c r="BH13" s="23">
        <v>0.13500000000000001</v>
      </c>
      <c r="BI13" s="23">
        <v>0.09</v>
      </c>
      <c r="BJ13" s="23">
        <v>0.33</v>
      </c>
      <c r="BK13" s="23">
        <v>-2.5000000000000001E-3</v>
      </c>
      <c r="BL13" s="23">
        <v>-0.01</v>
      </c>
      <c r="BM13" s="23">
        <v>5.0000000000000001E-3</v>
      </c>
      <c r="BN13" s="23">
        <v>-0.01</v>
      </c>
      <c r="BO13" s="23">
        <v>0.02</v>
      </c>
      <c r="BP13" s="23">
        <v>-0.01</v>
      </c>
      <c r="BQ13" s="23">
        <v>0</v>
      </c>
      <c r="BR13" s="23">
        <v>0.01</v>
      </c>
      <c r="BS13">
        <v>-5.0000000000000001E-3</v>
      </c>
      <c r="BT13">
        <v>0.03</v>
      </c>
      <c r="BU13">
        <v>-0.01</v>
      </c>
      <c r="BV13">
        <v>0.02</v>
      </c>
    </row>
    <row r="14" spans="1:74" x14ac:dyDescent="0.25">
      <c r="A14" s="24" t="e">
        <f>#REF!-B14</f>
        <v>#REF!</v>
      </c>
      <c r="B14" s="24">
        <v>4.101</v>
      </c>
      <c r="C14" s="138">
        <f t="shared" si="3"/>
        <v>37500</v>
      </c>
      <c r="D14">
        <v>2.9209999999999998</v>
      </c>
      <c r="E14" s="24">
        <v>0.56000000000000005</v>
      </c>
      <c r="F14" s="23">
        <v>2.1628704479852899E-2</v>
      </c>
      <c r="G14" s="23">
        <v>-0.13</v>
      </c>
      <c r="H14" s="23">
        <v>-0.15</v>
      </c>
      <c r="I14" s="27">
        <v>-0.09</v>
      </c>
      <c r="J14" s="27">
        <v>-0.16750000000000001</v>
      </c>
      <c r="K14" s="23">
        <v>-0.09</v>
      </c>
      <c r="L14" s="23">
        <v>-7.0000000000000007E-2</v>
      </c>
      <c r="M14" s="23">
        <v>-9.5000000000000001E-2</v>
      </c>
      <c r="N14" s="23">
        <v>-0.12</v>
      </c>
      <c r="O14" s="23">
        <v>-0.12</v>
      </c>
      <c r="P14" s="23">
        <v>-0.13</v>
      </c>
      <c r="Q14" s="23">
        <v>-0.1125</v>
      </c>
      <c r="R14" s="23">
        <v>-8.7499999999999994E-2</v>
      </c>
      <c r="S14" s="23">
        <v>8.5000000000000006E-2</v>
      </c>
      <c r="T14" s="23">
        <v>0.13500000000000001</v>
      </c>
      <c r="U14" s="23">
        <v>0.03</v>
      </c>
      <c r="V14" s="23">
        <v>0.28000000000000003</v>
      </c>
      <c r="W14" s="23">
        <v>0.13</v>
      </c>
      <c r="X14" s="23">
        <v>0.14499999999999999</v>
      </c>
      <c r="Y14" s="23">
        <v>-2.5000000000000001E-2</v>
      </c>
      <c r="Z14" s="23">
        <v>-5.7500000000000002E-2</v>
      </c>
      <c r="AA14" s="23">
        <v>7.4999999999999997E-3</v>
      </c>
      <c r="AB14" s="23">
        <v>-2.5000000000000001E-2</v>
      </c>
      <c r="AC14" s="23">
        <v>2.5000000000000001E-3</v>
      </c>
      <c r="AD14" s="23">
        <v>-2.75E-2</v>
      </c>
      <c r="AE14" s="23">
        <v>-7.7499999999999999E-2</v>
      </c>
      <c r="AF14" s="23">
        <v>-6.5000000000000002E-2</v>
      </c>
      <c r="AG14" s="23">
        <v>-0.09</v>
      </c>
      <c r="AH14" s="23">
        <v>-0.02</v>
      </c>
      <c r="AI14" s="23">
        <v>-7.7499999999999999E-2</v>
      </c>
      <c r="AJ14" s="23">
        <v>-0.13750000000000001</v>
      </c>
      <c r="AK14" s="23">
        <v>-2.2499999999999999E-2</v>
      </c>
      <c r="AL14" s="23">
        <v>1.7500000000000002E-2</v>
      </c>
      <c r="AM14" s="23">
        <v>0.34</v>
      </c>
      <c r="AN14" s="23">
        <v>0.04</v>
      </c>
      <c r="AO14" s="23">
        <v>-0.65</v>
      </c>
      <c r="AP14" s="23">
        <v>-0.13750000000000001</v>
      </c>
      <c r="AQ14" s="23">
        <v>-0.33</v>
      </c>
      <c r="AR14" s="23">
        <v>-0.39</v>
      </c>
      <c r="AS14" s="23">
        <v>-0.54</v>
      </c>
      <c r="AT14" s="23">
        <v>-0.65</v>
      </c>
      <c r="AU14" s="23">
        <v>0.115</v>
      </c>
      <c r="AV14" s="23">
        <v>-0.65</v>
      </c>
      <c r="AW14" s="23">
        <v>-0.16500000000000001</v>
      </c>
      <c r="AX14" s="23">
        <v>-9.7500000000000003E-2</v>
      </c>
      <c r="AY14" s="23">
        <v>-0.105</v>
      </c>
      <c r="AZ14" s="23">
        <v>-8.5000000000000006E-2</v>
      </c>
      <c r="BA14" s="23">
        <v>-9.2499999999999999E-2</v>
      </c>
      <c r="BB14" s="23">
        <v>-2.5000000000000001E-2</v>
      </c>
      <c r="BC14" s="23">
        <v>-8.2500000000000004E-2</v>
      </c>
      <c r="BD14" s="23">
        <v>0.01</v>
      </c>
      <c r="BE14" s="23">
        <v>-7.7499999999999999E-2</v>
      </c>
      <c r="BF14" s="23">
        <v>0.01</v>
      </c>
      <c r="BG14" s="23">
        <v>8.5000000000000006E-2</v>
      </c>
      <c r="BH14" s="23">
        <v>0.13500000000000001</v>
      </c>
      <c r="BI14" s="23">
        <v>0.09</v>
      </c>
      <c r="BJ14" s="23">
        <v>0.32</v>
      </c>
      <c r="BK14" s="23">
        <v>-2.5000000000000001E-3</v>
      </c>
      <c r="BL14" s="23">
        <v>-0.01</v>
      </c>
      <c r="BM14" s="23">
        <v>5.0000000000000001E-3</v>
      </c>
      <c r="BN14" s="23">
        <v>-0.01</v>
      </c>
      <c r="BO14" s="23">
        <v>0</v>
      </c>
      <c r="BP14" s="23">
        <v>-0.01</v>
      </c>
      <c r="BQ14" s="23">
        <v>0</v>
      </c>
      <c r="BR14" s="23">
        <v>0.01</v>
      </c>
      <c r="BS14">
        <v>-5.0000000000000001E-3</v>
      </c>
      <c r="BT14">
        <v>0.03</v>
      </c>
      <c r="BU14">
        <v>-0.01</v>
      </c>
      <c r="BV14">
        <v>0.02</v>
      </c>
    </row>
    <row r="15" spans="1:74" x14ac:dyDescent="0.25">
      <c r="A15" s="24" t="e">
        <f>#REF!-B15</f>
        <v>#REF!</v>
      </c>
      <c r="B15" s="24">
        <v>3.8610000000000002</v>
      </c>
      <c r="C15" s="138">
        <f t="shared" si="3"/>
        <v>37530</v>
      </c>
      <c r="D15">
        <v>2.9460000000000002</v>
      </c>
      <c r="E15" s="24">
        <v>0.56000000000000005</v>
      </c>
      <c r="F15" s="23">
        <v>2.2229563577716799E-2</v>
      </c>
      <c r="G15" s="23">
        <v>-0.13</v>
      </c>
      <c r="H15" s="23">
        <v>-0.15</v>
      </c>
      <c r="I15" s="27">
        <v>-0.09</v>
      </c>
      <c r="J15" s="27">
        <v>-0.20250000000000001</v>
      </c>
      <c r="K15" s="23">
        <v>-0.09</v>
      </c>
      <c r="L15" s="23">
        <v>-7.0000000000000007E-2</v>
      </c>
      <c r="M15" s="23">
        <v>-0.1275</v>
      </c>
      <c r="N15" s="23">
        <v>-0.12</v>
      </c>
      <c r="O15" s="23">
        <v>-0.12</v>
      </c>
      <c r="P15" s="23">
        <v>-0.13</v>
      </c>
      <c r="Q15" s="23">
        <v>-0.1125</v>
      </c>
      <c r="R15" s="23">
        <v>-8.7499999999999994E-2</v>
      </c>
      <c r="S15" s="23">
        <v>8.5000000000000006E-2</v>
      </c>
      <c r="T15" s="23">
        <v>0.13500000000000001</v>
      </c>
      <c r="U15" s="23">
        <v>0.03</v>
      </c>
      <c r="V15" s="23">
        <v>0.16</v>
      </c>
      <c r="W15" s="23">
        <v>0.15</v>
      </c>
      <c r="X15" s="23">
        <v>0.17499999999999999</v>
      </c>
      <c r="Y15" s="23">
        <v>-2.5000000000000001E-2</v>
      </c>
      <c r="Z15" s="23">
        <v>-5.7500000000000002E-2</v>
      </c>
      <c r="AA15" s="23">
        <v>7.4999999999999997E-3</v>
      </c>
      <c r="AB15" s="23">
        <v>-2.5000000000000001E-2</v>
      </c>
      <c r="AC15" s="23">
        <v>2.5000000000000001E-3</v>
      </c>
      <c r="AD15" s="23">
        <v>-2.75E-2</v>
      </c>
      <c r="AE15" s="23">
        <v>-7.7499999999999999E-2</v>
      </c>
      <c r="AF15" s="23">
        <v>-6.5000000000000002E-2</v>
      </c>
      <c r="AG15" s="23">
        <v>-0.09</v>
      </c>
      <c r="AH15" s="23">
        <v>-0.02</v>
      </c>
      <c r="AI15" s="23">
        <v>-7.7499999999999999E-2</v>
      </c>
      <c r="AJ15" s="23">
        <v>-0.13750000000000001</v>
      </c>
      <c r="AK15" s="23">
        <v>-2.2499999999999999E-2</v>
      </c>
      <c r="AL15" s="23">
        <v>1.7500000000000002E-2</v>
      </c>
      <c r="AM15" s="23">
        <v>0.36</v>
      </c>
      <c r="AN15" s="23">
        <v>7.4999999999999997E-3</v>
      </c>
      <c r="AO15" s="23">
        <v>-0.69</v>
      </c>
      <c r="AP15" s="23">
        <v>-0.17249999999999999</v>
      </c>
      <c r="AQ15" s="23">
        <v>-0.36</v>
      </c>
      <c r="AR15" s="23">
        <v>-0.24</v>
      </c>
      <c r="AS15" s="23">
        <v>-0.57999999999999996</v>
      </c>
      <c r="AT15" s="23">
        <v>-0.69</v>
      </c>
      <c r="AU15" s="23">
        <v>0.03</v>
      </c>
      <c r="AV15" s="23">
        <v>-0.69</v>
      </c>
      <c r="AW15" s="23">
        <v>-0.1525</v>
      </c>
      <c r="AX15" s="23">
        <v>-0.13250000000000001</v>
      </c>
      <c r="AY15" s="23">
        <v>-9.2499999999999999E-2</v>
      </c>
      <c r="AZ15" s="23">
        <v>-8.5000000000000006E-2</v>
      </c>
      <c r="BA15" s="23">
        <v>-9.5000000000000001E-2</v>
      </c>
      <c r="BB15" s="23">
        <v>-2.5000000000000001E-2</v>
      </c>
      <c r="BC15" s="23">
        <v>-8.2500000000000004E-2</v>
      </c>
      <c r="BD15" s="23">
        <v>-2.2499999999999999E-2</v>
      </c>
      <c r="BE15" s="23">
        <v>-7.7499999999999999E-2</v>
      </c>
      <c r="BF15" s="23">
        <v>3.5000000000000003E-2</v>
      </c>
      <c r="BG15" s="23">
        <v>8.5000000000000006E-2</v>
      </c>
      <c r="BH15" s="23">
        <v>0.13500000000000001</v>
      </c>
      <c r="BI15" s="23">
        <v>0.09</v>
      </c>
      <c r="BJ15" s="23">
        <v>0.38</v>
      </c>
      <c r="BK15" s="23">
        <v>0</v>
      </c>
      <c r="BL15" s="23">
        <v>-1.4999999999999999E-2</v>
      </c>
      <c r="BM15" s="23">
        <v>5.0000000000000001E-3</v>
      </c>
      <c r="BN15" s="23">
        <v>-0.01</v>
      </c>
      <c r="BO15" s="23">
        <v>0.02</v>
      </c>
      <c r="BP15" s="23">
        <v>-0.01</v>
      </c>
      <c r="BQ15" s="23">
        <v>0</v>
      </c>
      <c r="BR15" s="23">
        <v>0.01</v>
      </c>
      <c r="BS15">
        <v>-5.0000000000000001E-3</v>
      </c>
      <c r="BT15">
        <v>0.03</v>
      </c>
      <c r="BU15">
        <v>-0.01</v>
      </c>
      <c r="BV15">
        <v>0.02</v>
      </c>
    </row>
    <row r="16" spans="1:74" x14ac:dyDescent="0.25">
      <c r="A16" s="24" t="e">
        <f>#REF!-B16</f>
        <v>#REF!</v>
      </c>
      <c r="B16" s="24">
        <v>3.7349999999999999</v>
      </c>
      <c r="C16" s="138">
        <f t="shared" si="3"/>
        <v>37561</v>
      </c>
      <c r="D16">
        <v>3.141</v>
      </c>
      <c r="E16" s="24">
        <v>0.55300000000000005</v>
      </c>
      <c r="F16" s="23">
        <v>2.2969120664737601E-2</v>
      </c>
      <c r="G16" s="23">
        <v>-0.13</v>
      </c>
      <c r="H16" s="23">
        <v>-0.15</v>
      </c>
      <c r="I16" s="27">
        <v>-0.01</v>
      </c>
      <c r="J16" s="27">
        <v>-0.2</v>
      </c>
      <c r="K16" s="23">
        <v>0</v>
      </c>
      <c r="L16" s="23">
        <v>-0.08</v>
      </c>
      <c r="M16" s="23">
        <v>-0.11</v>
      </c>
      <c r="N16" s="23">
        <v>-0.12</v>
      </c>
      <c r="O16" s="23">
        <v>-0.12</v>
      </c>
      <c r="P16" s="23">
        <v>-0.13</v>
      </c>
      <c r="Q16" s="23">
        <v>-0.115</v>
      </c>
      <c r="R16" s="23">
        <v>-9.5000000000000001E-2</v>
      </c>
      <c r="S16" s="23">
        <v>0.105</v>
      </c>
      <c r="T16" s="23">
        <v>0.155</v>
      </c>
      <c r="U16" s="23">
        <v>0.09</v>
      </c>
      <c r="V16" s="23">
        <v>0.22</v>
      </c>
      <c r="W16" s="23">
        <v>0.19500000000000001</v>
      </c>
      <c r="X16" s="23">
        <v>0.26</v>
      </c>
      <c r="Y16" s="23">
        <v>-2.2499999999999999E-2</v>
      </c>
      <c r="Z16" s="23">
        <v>-4.2500000000000003E-2</v>
      </c>
      <c r="AA16" s="23">
        <v>2.5000000000000001E-3</v>
      </c>
      <c r="AB16" s="23">
        <v>-2.5000000000000001E-2</v>
      </c>
      <c r="AC16" s="23">
        <v>2.5000000000000001E-3</v>
      </c>
      <c r="AD16" s="23">
        <v>-2.5000000000000001E-2</v>
      </c>
      <c r="AE16" s="23">
        <v>-7.4999999999999997E-2</v>
      </c>
      <c r="AF16" s="23">
        <v>-6.7500000000000004E-2</v>
      </c>
      <c r="AG16" s="23">
        <v>-9.2499999999999999E-2</v>
      </c>
      <c r="AH16" s="23">
        <v>-0.02</v>
      </c>
      <c r="AI16" s="23">
        <v>-7.2499999999999995E-2</v>
      </c>
      <c r="AJ16" s="23">
        <v>-0.13500000000000001</v>
      </c>
      <c r="AK16" s="23">
        <v>-1.7500000000000002E-2</v>
      </c>
      <c r="AL16" s="23">
        <v>2.2499999999999999E-2</v>
      </c>
      <c r="AM16" s="23">
        <v>0.6</v>
      </c>
      <c r="AN16" s="23">
        <v>-2.2499999999999999E-2</v>
      </c>
      <c r="AO16" s="23">
        <v>-0.34</v>
      </c>
      <c r="AP16" s="23">
        <v>-0.155</v>
      </c>
      <c r="AQ16" s="23">
        <v>-0.22</v>
      </c>
      <c r="AR16" s="23">
        <v>0.02</v>
      </c>
      <c r="AS16" s="23">
        <v>-0.29499999999999998</v>
      </c>
      <c r="AT16" s="23">
        <v>-0.34</v>
      </c>
      <c r="AU16" s="23">
        <v>0.03</v>
      </c>
      <c r="AV16" s="23">
        <v>-0.34</v>
      </c>
      <c r="AW16" s="23">
        <v>-0.17</v>
      </c>
      <c r="AX16" s="23">
        <v>-0.13</v>
      </c>
      <c r="AY16" s="23">
        <v>-0.11</v>
      </c>
      <c r="AZ16" s="23">
        <v>-7.4999999999999997E-2</v>
      </c>
      <c r="BA16" s="23">
        <v>-0.09</v>
      </c>
      <c r="BB16" s="23">
        <v>-2.5000000000000001E-2</v>
      </c>
      <c r="BC16" s="23">
        <v>-0.1</v>
      </c>
      <c r="BD16" s="23">
        <v>-5.2499999999999998E-2</v>
      </c>
      <c r="BE16" s="23">
        <v>-7.4999999999999997E-2</v>
      </c>
      <c r="BF16" s="23">
        <v>0.05</v>
      </c>
      <c r="BG16" s="23">
        <v>0.185</v>
      </c>
      <c r="BH16" s="23">
        <v>0.155</v>
      </c>
      <c r="BI16" s="23">
        <v>0.16500000000000001</v>
      </c>
      <c r="BJ16" s="23">
        <v>0.44500000000000001</v>
      </c>
      <c r="BK16" s="23">
        <v>0</v>
      </c>
      <c r="BL16" s="23">
        <v>-0.02</v>
      </c>
      <c r="BM16" s="23">
        <v>5.0000000000000001E-3</v>
      </c>
      <c r="BN16" s="23">
        <v>0</v>
      </c>
      <c r="BO16" s="23">
        <v>2.75E-2</v>
      </c>
      <c r="BP16" s="23">
        <v>0</v>
      </c>
      <c r="BQ16" s="23">
        <v>0</v>
      </c>
      <c r="BR16" s="23">
        <v>5.5E-2</v>
      </c>
      <c r="BS16">
        <v>2.5000000000000001E-2</v>
      </c>
      <c r="BT16">
        <v>0.04</v>
      </c>
      <c r="BU16">
        <v>0.02</v>
      </c>
      <c r="BV16">
        <v>0.04</v>
      </c>
    </row>
    <row r="17" spans="1:74" x14ac:dyDescent="0.25">
      <c r="A17" s="24" t="e">
        <f>#REF!-B17</f>
        <v>#REF!</v>
      </c>
      <c r="B17" s="24">
        <v>3.71</v>
      </c>
      <c r="C17" s="138">
        <f t="shared" si="3"/>
        <v>37591</v>
      </c>
      <c r="D17">
        <v>3.331</v>
      </c>
      <c r="E17" s="24">
        <v>0.54800000000000004</v>
      </c>
      <c r="F17" s="23">
        <v>2.3684821247730501E-2</v>
      </c>
      <c r="G17" s="23">
        <v>-0.13250000000000001</v>
      </c>
      <c r="H17" s="23">
        <v>-0.1525</v>
      </c>
      <c r="I17" s="27">
        <v>-5.0000000000000001E-3</v>
      </c>
      <c r="J17" s="27">
        <v>-0.2</v>
      </c>
      <c r="K17" s="23">
        <v>5.0000000000000001E-3</v>
      </c>
      <c r="L17" s="23">
        <v>-0.08</v>
      </c>
      <c r="M17" s="23">
        <v>-0.1125</v>
      </c>
      <c r="N17" s="23">
        <v>-0.1225</v>
      </c>
      <c r="O17" s="23">
        <v>-0.1225</v>
      </c>
      <c r="P17" s="23">
        <v>-0.13250000000000001</v>
      </c>
      <c r="Q17" s="23">
        <v>-0.115</v>
      </c>
      <c r="R17" s="23">
        <v>-9.5000000000000001E-2</v>
      </c>
      <c r="S17" s="23">
        <v>0.13500000000000001</v>
      </c>
      <c r="T17" s="23">
        <v>0.185</v>
      </c>
      <c r="U17" s="23">
        <v>0.12</v>
      </c>
      <c r="V17" s="23">
        <v>0.33</v>
      </c>
      <c r="W17" s="23">
        <v>0.215</v>
      </c>
      <c r="X17" s="23">
        <v>0.33</v>
      </c>
      <c r="Y17" s="23">
        <v>-2.2499999999999999E-2</v>
      </c>
      <c r="Z17" s="23">
        <v>-4.2500000000000003E-2</v>
      </c>
      <c r="AA17" s="23">
        <v>2.5000000000000001E-3</v>
      </c>
      <c r="AB17" s="23">
        <v>-2.5000000000000001E-2</v>
      </c>
      <c r="AC17" s="23">
        <v>2.5000000000000001E-3</v>
      </c>
      <c r="AD17" s="23">
        <v>-2.5000000000000001E-2</v>
      </c>
      <c r="AE17" s="23">
        <v>-7.4999999999999997E-2</v>
      </c>
      <c r="AF17" s="23">
        <v>-6.7500000000000004E-2</v>
      </c>
      <c r="AG17" s="23">
        <v>-9.2499999999999999E-2</v>
      </c>
      <c r="AH17" s="23">
        <v>-1.7500000000000002E-2</v>
      </c>
      <c r="AI17" s="23">
        <v>-7.2499999999999995E-2</v>
      </c>
      <c r="AJ17" s="23">
        <v>-0.13500000000000001</v>
      </c>
      <c r="AK17" s="23">
        <v>-1.7500000000000002E-2</v>
      </c>
      <c r="AL17" s="23">
        <v>2.2499999999999999E-2</v>
      </c>
      <c r="AM17" s="23">
        <v>0.94</v>
      </c>
      <c r="AN17" s="23">
        <v>-4.4999999999999998E-2</v>
      </c>
      <c r="AO17" s="23">
        <v>-0.34</v>
      </c>
      <c r="AP17" s="23">
        <v>-0.1555</v>
      </c>
      <c r="AQ17" s="23">
        <v>-0.22</v>
      </c>
      <c r="AR17" s="23">
        <v>0.27</v>
      </c>
      <c r="AS17" s="23">
        <v>-0.29499999999999998</v>
      </c>
      <c r="AT17" s="23">
        <v>-0.34</v>
      </c>
      <c r="AU17" s="23">
        <v>0.03</v>
      </c>
      <c r="AV17" s="23">
        <v>-0.34</v>
      </c>
      <c r="AW17" s="23">
        <v>-0.19750000000000001</v>
      </c>
      <c r="AX17" s="23">
        <v>-0.13</v>
      </c>
      <c r="AY17" s="23">
        <v>-0.13750000000000001</v>
      </c>
      <c r="AZ17" s="23">
        <v>-7.4999999999999997E-2</v>
      </c>
      <c r="BA17" s="23">
        <v>-0.11749999999999999</v>
      </c>
      <c r="BB17" s="23">
        <v>-2.2499999999999999E-2</v>
      </c>
      <c r="BC17" s="23">
        <v>-0.1</v>
      </c>
      <c r="BD17" s="23">
        <v>-7.4999999999999997E-2</v>
      </c>
      <c r="BE17" s="23">
        <v>-7.4999999999999997E-2</v>
      </c>
      <c r="BF17" s="23">
        <v>7.0000000000000007E-2</v>
      </c>
      <c r="BG17" s="23">
        <v>0.215</v>
      </c>
      <c r="BH17" s="23">
        <v>0.185</v>
      </c>
      <c r="BI17" s="23">
        <v>0.19500000000000001</v>
      </c>
      <c r="BJ17" s="23">
        <v>0.78</v>
      </c>
      <c r="BK17" s="23">
        <v>0</v>
      </c>
      <c r="BL17" s="23">
        <v>-2.5000000000000001E-2</v>
      </c>
      <c r="BM17" s="23">
        <v>5.0000000000000001E-3</v>
      </c>
      <c r="BN17" s="23">
        <v>0</v>
      </c>
      <c r="BO17" s="23">
        <v>2.75E-2</v>
      </c>
      <c r="BP17" s="23">
        <v>0</v>
      </c>
      <c r="BQ17" s="23">
        <v>0</v>
      </c>
      <c r="BR17" s="23">
        <v>0.25</v>
      </c>
      <c r="BS17">
        <v>2.5000000000000001E-2</v>
      </c>
      <c r="BT17">
        <v>0.04</v>
      </c>
      <c r="BU17">
        <v>0.02</v>
      </c>
      <c r="BV17">
        <v>0.04</v>
      </c>
    </row>
    <row r="18" spans="1:74" x14ac:dyDescent="0.25">
      <c r="A18" s="24" t="e">
        <f>#REF!-B18</f>
        <v>#REF!</v>
      </c>
      <c r="B18" s="24">
        <v>3.71</v>
      </c>
      <c r="C18" s="138">
        <f t="shared" si="3"/>
        <v>37622</v>
      </c>
      <c r="D18">
        <v>3.4359999999999999</v>
      </c>
      <c r="E18" s="24">
        <v>0.54300000000000004</v>
      </c>
      <c r="F18" s="23">
        <v>2.4485717541272E-2</v>
      </c>
      <c r="G18" s="23">
        <v>-0.13500000000000001</v>
      </c>
      <c r="H18" s="23">
        <v>-0.155</v>
      </c>
      <c r="I18" s="27">
        <v>1.4999999999999999E-2</v>
      </c>
      <c r="J18" s="27">
        <v>-0.19750000000000001</v>
      </c>
      <c r="K18" s="23">
        <v>2.5000000000000001E-2</v>
      </c>
      <c r="L18" s="23">
        <v>-7.0000000000000007E-2</v>
      </c>
      <c r="M18" s="23">
        <v>-0.115</v>
      </c>
      <c r="N18" s="23">
        <v>-0.125</v>
      </c>
      <c r="O18" s="23">
        <v>-0.125</v>
      </c>
      <c r="P18" s="23">
        <v>-0.13500000000000001</v>
      </c>
      <c r="Q18" s="23">
        <v>-0.11</v>
      </c>
      <c r="R18" s="23">
        <v>-9.5000000000000001E-2</v>
      </c>
      <c r="S18" s="23">
        <v>0.155</v>
      </c>
      <c r="T18" s="23">
        <v>0.20499999999999999</v>
      </c>
      <c r="U18" s="23">
        <v>0.14000000000000001</v>
      </c>
      <c r="V18" s="23">
        <v>0.38</v>
      </c>
      <c r="W18" s="23">
        <v>0.23499999999999999</v>
      </c>
      <c r="X18" s="23">
        <v>0.38</v>
      </c>
      <c r="Y18" s="23">
        <v>-2.2499999999999999E-2</v>
      </c>
      <c r="Z18" s="23">
        <v>-4.2500000000000003E-2</v>
      </c>
      <c r="AA18" s="23">
        <v>2.5000000000000001E-3</v>
      </c>
      <c r="AB18" s="23">
        <v>-2.5000000000000001E-2</v>
      </c>
      <c r="AC18" s="23">
        <v>2.5000000000000001E-3</v>
      </c>
      <c r="AD18" s="23">
        <v>-2.5000000000000001E-2</v>
      </c>
      <c r="AE18" s="23">
        <v>-7.4999999999999997E-2</v>
      </c>
      <c r="AF18" s="23">
        <v>-6.7500000000000004E-2</v>
      </c>
      <c r="AG18" s="23">
        <v>-9.2499999999999999E-2</v>
      </c>
      <c r="AH18" s="23">
        <v>-1.7500000000000002E-2</v>
      </c>
      <c r="AI18" s="23">
        <v>-7.2499999999999995E-2</v>
      </c>
      <c r="AJ18" s="23">
        <v>-0.125</v>
      </c>
      <c r="AK18" s="23">
        <v>-1.7500000000000002E-2</v>
      </c>
      <c r="AL18" s="23">
        <v>2.2499999999999999E-2</v>
      </c>
      <c r="AM18" s="23">
        <v>1.88</v>
      </c>
      <c r="AN18" s="23">
        <v>-0.05</v>
      </c>
      <c r="AO18" s="23">
        <v>-0.315</v>
      </c>
      <c r="AP18" s="23">
        <v>-0.14749999999999999</v>
      </c>
      <c r="AQ18" s="23">
        <v>-0.22</v>
      </c>
      <c r="AR18" s="23">
        <v>0.32</v>
      </c>
      <c r="AS18" s="23">
        <v>-0.27</v>
      </c>
      <c r="AT18" s="23">
        <v>-0.315</v>
      </c>
      <c r="AU18" s="23">
        <v>0.02</v>
      </c>
      <c r="AV18" s="23">
        <v>-0.315</v>
      </c>
      <c r="AW18" s="23">
        <v>-0.21249999999999999</v>
      </c>
      <c r="AX18" s="23">
        <v>-0.1275</v>
      </c>
      <c r="AY18" s="23">
        <v>-0.1525</v>
      </c>
      <c r="AZ18" s="23">
        <v>-7.4999999999999997E-2</v>
      </c>
      <c r="BA18" s="23">
        <v>-0.11749999999999999</v>
      </c>
      <c r="BB18" s="23">
        <v>-2.2499999999999999E-2</v>
      </c>
      <c r="BC18" s="23">
        <v>-0.09</v>
      </c>
      <c r="BD18" s="23">
        <v>-0.08</v>
      </c>
      <c r="BE18" s="23">
        <v>-7.4999999999999997E-2</v>
      </c>
      <c r="BF18" s="23">
        <v>0.14499999999999999</v>
      </c>
      <c r="BG18" s="23">
        <v>0.23499999999999999</v>
      </c>
      <c r="BH18" s="23">
        <v>0.20499999999999999</v>
      </c>
      <c r="BI18" s="23">
        <v>0.215</v>
      </c>
      <c r="BJ18" s="23">
        <v>1.07</v>
      </c>
      <c r="BK18" s="23">
        <v>0</v>
      </c>
      <c r="BL18" s="23">
        <v>-2.5000000000000001E-2</v>
      </c>
      <c r="BM18" s="23">
        <v>5.0000000000000001E-3</v>
      </c>
      <c r="BN18" s="23">
        <v>0</v>
      </c>
      <c r="BO18" s="23">
        <v>2.75E-2</v>
      </c>
      <c r="BP18" s="23">
        <v>0</v>
      </c>
      <c r="BQ18" s="23">
        <v>0</v>
      </c>
      <c r="BR18" s="23">
        <v>0.45</v>
      </c>
      <c r="BS18">
        <v>2.5000000000000001E-2</v>
      </c>
      <c r="BT18">
        <v>0.04</v>
      </c>
      <c r="BU18">
        <v>0.02</v>
      </c>
      <c r="BV18">
        <v>0.04</v>
      </c>
    </row>
    <row r="19" spans="1:74" x14ac:dyDescent="0.25">
      <c r="A19" s="24" t="e">
        <f>#REF!-B19</f>
        <v>#REF!</v>
      </c>
      <c r="B19" s="24">
        <v>3.72</v>
      </c>
      <c r="C19" s="138">
        <f t="shared" si="3"/>
        <v>37653</v>
      </c>
      <c r="D19">
        <v>3.3660000000000001</v>
      </c>
      <c r="E19" s="24">
        <v>0.53300000000000003</v>
      </c>
      <c r="F19" s="23">
        <v>2.53610969536586E-2</v>
      </c>
      <c r="G19" s="23">
        <v>-0.1275</v>
      </c>
      <c r="H19" s="23">
        <v>-0.14749999999999999</v>
      </c>
      <c r="I19" s="27">
        <v>0.01</v>
      </c>
      <c r="J19" s="27">
        <v>-0.19750000000000001</v>
      </c>
      <c r="K19" s="23">
        <v>0.02</v>
      </c>
      <c r="L19" s="23">
        <v>-7.0000000000000007E-2</v>
      </c>
      <c r="M19" s="23">
        <v>-0.1075</v>
      </c>
      <c r="N19" s="23">
        <v>-0.11749999999999999</v>
      </c>
      <c r="O19" s="23">
        <v>-0.11749999999999999</v>
      </c>
      <c r="P19" s="23">
        <v>-0.1275</v>
      </c>
      <c r="Q19" s="23">
        <v>-0.11</v>
      </c>
      <c r="R19" s="23">
        <v>-9.5000000000000001E-2</v>
      </c>
      <c r="S19" s="23">
        <v>0.14499999999999999</v>
      </c>
      <c r="T19" s="23">
        <v>0.19500000000000001</v>
      </c>
      <c r="U19" s="23">
        <v>0.13</v>
      </c>
      <c r="V19" s="23">
        <v>0.37</v>
      </c>
      <c r="W19" s="23">
        <v>0.23499999999999999</v>
      </c>
      <c r="X19" s="23">
        <v>0.38</v>
      </c>
      <c r="Y19" s="23">
        <v>-2.2499999999999999E-2</v>
      </c>
      <c r="Z19" s="23">
        <v>-4.2500000000000003E-2</v>
      </c>
      <c r="AA19" s="23">
        <v>2.5000000000000001E-3</v>
      </c>
      <c r="AB19" s="23">
        <v>-2.5000000000000001E-2</v>
      </c>
      <c r="AC19" s="23">
        <v>2.5000000000000001E-3</v>
      </c>
      <c r="AD19" s="23">
        <v>-2.5000000000000001E-2</v>
      </c>
      <c r="AE19" s="23">
        <v>-7.4999999999999997E-2</v>
      </c>
      <c r="AF19" s="23">
        <v>-6.7500000000000004E-2</v>
      </c>
      <c r="AG19" s="23">
        <v>-9.2499999999999999E-2</v>
      </c>
      <c r="AH19" s="23">
        <v>-1.7500000000000002E-2</v>
      </c>
      <c r="AI19" s="23">
        <v>-7.2499999999999995E-2</v>
      </c>
      <c r="AJ19" s="23">
        <v>-0.125</v>
      </c>
      <c r="AK19" s="23">
        <v>-1.7500000000000002E-2</v>
      </c>
      <c r="AL19" s="23">
        <v>2.2499999999999999E-2</v>
      </c>
      <c r="AM19" s="23">
        <v>1.88</v>
      </c>
      <c r="AN19" s="23">
        <v>-3.5000000000000003E-2</v>
      </c>
      <c r="AO19" s="23">
        <v>-0.30499999999999999</v>
      </c>
      <c r="AP19" s="23">
        <v>-0.14749999999999999</v>
      </c>
      <c r="AQ19" s="23">
        <v>-0.22</v>
      </c>
      <c r="AR19" s="23">
        <v>0.02</v>
      </c>
      <c r="AS19" s="23">
        <v>-0.26</v>
      </c>
      <c r="AT19" s="23">
        <v>-0.30499999999999999</v>
      </c>
      <c r="AU19" s="23">
        <v>0.02</v>
      </c>
      <c r="AV19" s="23">
        <v>-0.30499999999999999</v>
      </c>
      <c r="AW19" s="23">
        <v>-0.20250000000000001</v>
      </c>
      <c r="AX19" s="23">
        <v>-0.1275</v>
      </c>
      <c r="AY19" s="23">
        <v>-0.14249999999999999</v>
      </c>
      <c r="AZ19" s="23">
        <v>-7.4999999999999997E-2</v>
      </c>
      <c r="BA19" s="23">
        <v>-0.11749999999999999</v>
      </c>
      <c r="BB19" s="23">
        <v>-2.2499999999999999E-2</v>
      </c>
      <c r="BC19" s="23">
        <v>-0.09</v>
      </c>
      <c r="BD19" s="23">
        <v>-6.5000000000000002E-2</v>
      </c>
      <c r="BE19" s="23">
        <v>-7.4999999999999997E-2</v>
      </c>
      <c r="BF19" s="23">
        <v>0.125</v>
      </c>
      <c r="BG19" s="23">
        <v>0.22500000000000001</v>
      </c>
      <c r="BH19" s="23">
        <v>0.19500000000000001</v>
      </c>
      <c r="BI19" s="23">
        <v>0.20499999999999999</v>
      </c>
      <c r="BJ19" s="23">
        <v>1.06</v>
      </c>
      <c r="BK19" s="23">
        <v>0</v>
      </c>
      <c r="BL19" s="23">
        <v>-2.5000000000000001E-2</v>
      </c>
      <c r="BM19" s="23">
        <v>5.0000000000000001E-3</v>
      </c>
      <c r="BN19" s="23">
        <v>0</v>
      </c>
      <c r="BO19" s="23">
        <v>2.75E-2</v>
      </c>
      <c r="BP19" s="23">
        <v>0</v>
      </c>
      <c r="BQ19" s="23">
        <v>0</v>
      </c>
      <c r="BR19" s="23">
        <v>0.45</v>
      </c>
      <c r="BS19">
        <v>2.5000000000000001E-2</v>
      </c>
      <c r="BT19">
        <v>0.04</v>
      </c>
      <c r="BU19">
        <v>0.02</v>
      </c>
      <c r="BV19">
        <v>0.04</v>
      </c>
    </row>
    <row r="20" spans="1:74" x14ac:dyDescent="0.25">
      <c r="A20" s="24" t="e">
        <f>#REF!-B20</f>
        <v>#REF!</v>
      </c>
      <c r="B20" s="24">
        <v>3.7149999999999999</v>
      </c>
      <c r="C20" s="138">
        <f t="shared" si="3"/>
        <v>37681</v>
      </c>
      <c r="D20">
        <v>3.2610000000000001</v>
      </c>
      <c r="E20" s="24">
        <v>0.503</v>
      </c>
      <c r="F20" s="23">
        <v>2.6151762451951801E-2</v>
      </c>
      <c r="G20" s="23">
        <v>-0.125</v>
      </c>
      <c r="H20" s="23">
        <v>-0.14499999999999999</v>
      </c>
      <c r="I20" s="27">
        <v>-0.01</v>
      </c>
      <c r="J20" s="27">
        <v>-0.19750000000000001</v>
      </c>
      <c r="K20" s="23">
        <v>0</v>
      </c>
      <c r="L20" s="23">
        <v>-7.0000000000000007E-2</v>
      </c>
      <c r="M20" s="23">
        <v>-0.105</v>
      </c>
      <c r="N20" s="23">
        <v>-0.115</v>
      </c>
      <c r="O20" s="23">
        <v>-0.115</v>
      </c>
      <c r="P20" s="23">
        <v>-0.125</v>
      </c>
      <c r="Q20" s="23">
        <v>-0.11</v>
      </c>
      <c r="R20" s="23">
        <v>-9.5000000000000001E-2</v>
      </c>
      <c r="S20" s="23">
        <v>0.14000000000000001</v>
      </c>
      <c r="T20" s="23">
        <v>0.19</v>
      </c>
      <c r="U20" s="23">
        <v>0.125</v>
      </c>
      <c r="V20" s="23">
        <v>0.2</v>
      </c>
      <c r="W20" s="23">
        <v>0.19500000000000001</v>
      </c>
      <c r="X20" s="23">
        <v>0.33</v>
      </c>
      <c r="Y20" s="23">
        <v>-2.2499999999999999E-2</v>
      </c>
      <c r="Z20" s="23">
        <v>-4.2500000000000003E-2</v>
      </c>
      <c r="AA20" s="23">
        <v>2.5000000000000001E-3</v>
      </c>
      <c r="AB20" s="23">
        <v>-2.5000000000000001E-2</v>
      </c>
      <c r="AC20" s="23">
        <v>2.5000000000000001E-3</v>
      </c>
      <c r="AD20" s="23">
        <v>-2.5000000000000001E-2</v>
      </c>
      <c r="AE20" s="23">
        <v>-7.4999999999999997E-2</v>
      </c>
      <c r="AF20" s="23">
        <v>-6.7500000000000004E-2</v>
      </c>
      <c r="AG20" s="23">
        <v>-9.2499999999999999E-2</v>
      </c>
      <c r="AH20" s="23">
        <v>-1.7500000000000002E-2</v>
      </c>
      <c r="AI20" s="23">
        <v>-7.2499999999999995E-2</v>
      </c>
      <c r="AJ20" s="23">
        <v>-0.125</v>
      </c>
      <c r="AK20" s="23">
        <v>-1.7500000000000002E-2</v>
      </c>
      <c r="AL20" s="23">
        <v>2.2499999999999999E-2</v>
      </c>
      <c r="AM20" s="23">
        <v>0.65</v>
      </c>
      <c r="AN20" s="23">
        <v>-2.2499999999999999E-2</v>
      </c>
      <c r="AO20" s="23">
        <v>-0.35499999999999998</v>
      </c>
      <c r="AP20" s="23">
        <v>-0.14749999999999999</v>
      </c>
      <c r="AQ20" s="23">
        <v>-0.22</v>
      </c>
      <c r="AR20" s="23">
        <v>-0.28000000000000003</v>
      </c>
      <c r="AS20" s="23">
        <v>-0.31</v>
      </c>
      <c r="AT20" s="23">
        <v>-0.35499999999999998</v>
      </c>
      <c r="AU20" s="23">
        <v>0.02</v>
      </c>
      <c r="AV20" s="23">
        <v>-0.35499999999999998</v>
      </c>
      <c r="AW20" s="23">
        <v>-0.1925</v>
      </c>
      <c r="AX20" s="23">
        <v>-0.1275</v>
      </c>
      <c r="AY20" s="23">
        <v>-0.13250000000000001</v>
      </c>
      <c r="AZ20" s="23">
        <v>-7.4999999999999997E-2</v>
      </c>
      <c r="BA20" s="23">
        <v>-0.11749999999999999</v>
      </c>
      <c r="BB20" s="23">
        <v>-2.2499999999999999E-2</v>
      </c>
      <c r="BC20" s="23">
        <v>-0.09</v>
      </c>
      <c r="BD20" s="23">
        <v>-5.2499999999999998E-2</v>
      </c>
      <c r="BE20" s="23">
        <v>-7.4999999999999997E-2</v>
      </c>
      <c r="BF20" s="23">
        <v>4.4999999999999998E-2</v>
      </c>
      <c r="BG20" s="23">
        <v>0.22</v>
      </c>
      <c r="BH20" s="23">
        <v>0.19</v>
      </c>
      <c r="BI20" s="23">
        <v>0.2</v>
      </c>
      <c r="BJ20" s="23">
        <v>0.54500000000000004</v>
      </c>
      <c r="BK20" s="23">
        <v>0</v>
      </c>
      <c r="BL20" s="23">
        <v>-0.02</v>
      </c>
      <c r="BM20" s="23">
        <v>5.0000000000000001E-3</v>
      </c>
      <c r="BN20" s="23">
        <v>0</v>
      </c>
      <c r="BO20" s="23">
        <v>2.75E-2</v>
      </c>
      <c r="BP20" s="23">
        <v>0</v>
      </c>
      <c r="BQ20" s="23">
        <v>0</v>
      </c>
      <c r="BR20" s="23">
        <v>0.1</v>
      </c>
      <c r="BS20">
        <v>2.5000000000000001E-2</v>
      </c>
      <c r="BT20">
        <v>0.04</v>
      </c>
      <c r="BU20">
        <v>0.02</v>
      </c>
      <c r="BV20">
        <v>0.04</v>
      </c>
    </row>
    <row r="21" spans="1:74" x14ac:dyDescent="0.25">
      <c r="A21" s="24" t="e">
        <f>#REF!-B21</f>
        <v>#REF!</v>
      </c>
      <c r="B21" s="24">
        <v>3.7349999999999999</v>
      </c>
      <c r="C21" s="138">
        <f t="shared" si="3"/>
        <v>37712</v>
      </c>
      <c r="D21">
        <v>3.1160000000000001</v>
      </c>
      <c r="E21" s="24">
        <v>0.42499999999999999</v>
      </c>
      <c r="F21" s="23">
        <v>2.70235470347737E-2</v>
      </c>
      <c r="G21" s="23">
        <v>-0.13</v>
      </c>
      <c r="H21" s="23">
        <v>-0.15</v>
      </c>
      <c r="I21" s="27">
        <v>-0.09</v>
      </c>
      <c r="J21" s="27">
        <v>-0.1525</v>
      </c>
      <c r="K21" s="23">
        <v>-0.09</v>
      </c>
      <c r="L21" s="23">
        <v>-6.7500000000000004E-2</v>
      </c>
      <c r="M21" s="23">
        <v>-0.1</v>
      </c>
      <c r="N21" s="23">
        <v>-0.12</v>
      </c>
      <c r="O21" s="23">
        <v>-0.12</v>
      </c>
      <c r="P21" s="23">
        <v>-0.13</v>
      </c>
      <c r="Q21" s="23">
        <v>-9.8750000000000004E-2</v>
      </c>
      <c r="R21" s="23">
        <v>-0.09</v>
      </c>
      <c r="S21" s="23">
        <v>0.125</v>
      </c>
      <c r="T21" s="23">
        <v>0.155</v>
      </c>
      <c r="U21" s="23">
        <v>3.5000000000000003E-2</v>
      </c>
      <c r="V21" s="23">
        <v>0.4</v>
      </c>
      <c r="W21" s="23">
        <v>0.14499999999999999</v>
      </c>
      <c r="X21" s="23">
        <v>0.19500000000000001</v>
      </c>
      <c r="Y21" s="23">
        <v>-2.5000000000000001E-2</v>
      </c>
      <c r="Z21" s="23">
        <v>-5.2499999999999998E-2</v>
      </c>
      <c r="AA21" s="23">
        <v>0.01</v>
      </c>
      <c r="AB21" s="23">
        <v>-1.7500000000000002E-2</v>
      </c>
      <c r="AC21" s="23">
        <v>2.5000000000000001E-3</v>
      </c>
      <c r="AD21" s="23">
        <v>-2.5000000000000001E-2</v>
      </c>
      <c r="AE21" s="23">
        <v>-7.2499999999999995E-2</v>
      </c>
      <c r="AF21" s="23">
        <v>-6.5000000000000002E-2</v>
      </c>
      <c r="AG21" s="23">
        <v>-8.5000000000000006E-2</v>
      </c>
      <c r="AH21" s="23">
        <v>-1.7500000000000002E-2</v>
      </c>
      <c r="AI21" s="23">
        <v>-7.2499999999999995E-2</v>
      </c>
      <c r="AJ21" s="23">
        <v>-0.1075</v>
      </c>
      <c r="AK21" s="23">
        <v>-1.7500000000000002E-2</v>
      </c>
      <c r="AL21" s="23">
        <v>2.2499999999999999E-2</v>
      </c>
      <c r="AM21" s="23">
        <v>0.38</v>
      </c>
      <c r="AN21" s="23">
        <v>0.03</v>
      </c>
      <c r="AO21" s="23">
        <v>-0.52500000000000002</v>
      </c>
      <c r="AP21" s="23">
        <v>-0.105</v>
      </c>
      <c r="AQ21" s="23">
        <v>-0.26</v>
      </c>
      <c r="AR21" s="23">
        <v>-0.24</v>
      </c>
      <c r="AS21" s="23">
        <v>-0.435</v>
      </c>
      <c r="AT21" s="23">
        <v>-0.52500000000000002</v>
      </c>
      <c r="AU21" s="23">
        <v>0.14000000000000001</v>
      </c>
      <c r="AV21" s="23">
        <v>-0.52500000000000002</v>
      </c>
      <c r="AW21" s="23">
        <v>-0.22</v>
      </c>
      <c r="AX21" s="23">
        <v>-8.2500000000000004E-2</v>
      </c>
      <c r="AY21" s="23">
        <v>-0.16</v>
      </c>
      <c r="AZ21" s="23">
        <v>-7.0000000000000007E-2</v>
      </c>
      <c r="BA21" s="23">
        <v>-0.14000000000000001</v>
      </c>
      <c r="BB21" s="23">
        <v>-2.2499999999999999E-2</v>
      </c>
      <c r="BC21" s="23">
        <v>-7.2499999999999995E-2</v>
      </c>
      <c r="BD21" s="23">
        <v>0</v>
      </c>
      <c r="BE21" s="23">
        <v>-7.2499999999999995E-2</v>
      </c>
      <c r="BF21" s="23">
        <v>0.08</v>
      </c>
      <c r="BG21" s="23">
        <v>0.13500000000000001</v>
      </c>
      <c r="BH21" s="23">
        <v>0.155</v>
      </c>
      <c r="BI21" s="23">
        <v>0.125</v>
      </c>
      <c r="BJ21" s="23">
        <v>0.36</v>
      </c>
      <c r="BK21" s="23">
        <v>0</v>
      </c>
      <c r="BL21" s="23">
        <v>-1.4999999999999999E-2</v>
      </c>
      <c r="BM21" s="23">
        <v>5.0000000000000001E-3</v>
      </c>
      <c r="BN21" s="23">
        <v>-0.01</v>
      </c>
      <c r="BO21" s="23">
        <v>0.02</v>
      </c>
      <c r="BP21" s="23">
        <v>5.0000000000000001E-3</v>
      </c>
      <c r="BQ21" s="23">
        <v>2.5000000000000001E-3</v>
      </c>
      <c r="BR21" s="23">
        <v>0.02</v>
      </c>
      <c r="BS21">
        <v>5.0000000000000001E-3</v>
      </c>
      <c r="BT21">
        <v>0.02</v>
      </c>
      <c r="BU21">
        <v>0.02</v>
      </c>
      <c r="BV21">
        <v>0.03</v>
      </c>
    </row>
    <row r="22" spans="1:74" x14ac:dyDescent="0.25">
      <c r="A22" s="24" t="e">
        <f>#REF!-B22</f>
        <v>#REF!</v>
      </c>
      <c r="B22" s="24">
        <v>3.835</v>
      </c>
      <c r="C22" s="138">
        <f t="shared" si="3"/>
        <v>37742</v>
      </c>
      <c r="D22">
        <v>3.121</v>
      </c>
      <c r="E22" s="24">
        <v>0.41</v>
      </c>
      <c r="F22" s="23">
        <v>2.78505455310585E-2</v>
      </c>
      <c r="G22" s="23">
        <v>-0.13</v>
      </c>
      <c r="H22" s="23">
        <v>-0.15</v>
      </c>
      <c r="I22" s="27">
        <v>-0.09</v>
      </c>
      <c r="J22" s="27">
        <v>-0.1525</v>
      </c>
      <c r="K22" s="23">
        <v>-0.09</v>
      </c>
      <c r="L22" s="23">
        <v>-6.7500000000000004E-2</v>
      </c>
      <c r="M22" s="23">
        <v>-0.1</v>
      </c>
      <c r="N22" s="23">
        <v>-0.12</v>
      </c>
      <c r="O22" s="23">
        <v>-0.12</v>
      </c>
      <c r="P22" s="23">
        <v>-0.13</v>
      </c>
      <c r="Q22" s="23">
        <v>-9.8750000000000004E-2</v>
      </c>
      <c r="R22" s="23">
        <v>-0.09</v>
      </c>
      <c r="S22" s="23">
        <v>0.125</v>
      </c>
      <c r="T22" s="23">
        <v>0.155</v>
      </c>
      <c r="U22" s="23">
        <v>3.5000000000000003E-2</v>
      </c>
      <c r="V22" s="23">
        <v>0.4</v>
      </c>
      <c r="W22" s="23">
        <v>0.125</v>
      </c>
      <c r="X22" s="23">
        <v>0.13500000000000001</v>
      </c>
      <c r="Y22" s="23">
        <v>-2.5000000000000001E-2</v>
      </c>
      <c r="Z22" s="23">
        <v>-5.2499999999999998E-2</v>
      </c>
      <c r="AA22" s="23">
        <v>0.01</v>
      </c>
      <c r="AB22" s="23">
        <v>-1.7500000000000002E-2</v>
      </c>
      <c r="AC22" s="23">
        <v>2.5000000000000001E-3</v>
      </c>
      <c r="AD22" s="23">
        <v>-2.5000000000000001E-2</v>
      </c>
      <c r="AE22" s="23">
        <v>-7.2499999999999995E-2</v>
      </c>
      <c r="AF22" s="23">
        <v>-6.5000000000000002E-2</v>
      </c>
      <c r="AG22" s="23">
        <v>-8.5000000000000006E-2</v>
      </c>
      <c r="AH22" s="23">
        <v>-1.7500000000000002E-2</v>
      </c>
      <c r="AI22" s="23">
        <v>-7.2499999999999995E-2</v>
      </c>
      <c r="AJ22" s="23">
        <v>-0.1075</v>
      </c>
      <c r="AK22" s="23">
        <v>-1.7500000000000002E-2</v>
      </c>
      <c r="AL22" s="23">
        <v>2.2499999999999999E-2</v>
      </c>
      <c r="AM22" s="23">
        <v>0.33</v>
      </c>
      <c r="AN22" s="23">
        <v>0.03</v>
      </c>
      <c r="AO22" s="23">
        <v>-0.52500000000000002</v>
      </c>
      <c r="AP22" s="23">
        <v>-0.105</v>
      </c>
      <c r="AQ22" s="23">
        <v>-0.26</v>
      </c>
      <c r="AR22" s="23">
        <v>-0.24</v>
      </c>
      <c r="AS22" s="23">
        <v>-0.435</v>
      </c>
      <c r="AT22" s="23">
        <v>-0.52500000000000002</v>
      </c>
      <c r="AU22" s="23">
        <v>0.14000000000000001</v>
      </c>
      <c r="AV22" s="23">
        <v>-0.52500000000000002</v>
      </c>
      <c r="AW22" s="23">
        <v>-0.19750000000000001</v>
      </c>
      <c r="AX22" s="23">
        <v>-8.2500000000000004E-2</v>
      </c>
      <c r="AY22" s="23">
        <v>-0.13750000000000001</v>
      </c>
      <c r="AZ22" s="23">
        <v>-7.0000000000000007E-2</v>
      </c>
      <c r="BA22" s="23">
        <v>-0.13250000000000001</v>
      </c>
      <c r="BB22" s="23">
        <v>-2.2499999999999999E-2</v>
      </c>
      <c r="BC22" s="23">
        <v>-7.2499999999999995E-2</v>
      </c>
      <c r="BD22" s="23">
        <v>0</v>
      </c>
      <c r="BE22" s="23">
        <v>-7.2499999999999995E-2</v>
      </c>
      <c r="BF22" s="23">
        <v>0.08</v>
      </c>
      <c r="BG22" s="23">
        <v>0.13500000000000001</v>
      </c>
      <c r="BH22" s="23">
        <v>0.155</v>
      </c>
      <c r="BI22" s="23">
        <v>0.125</v>
      </c>
      <c r="BJ22" s="23">
        <v>0.32500000000000001</v>
      </c>
      <c r="BK22" s="23">
        <v>0</v>
      </c>
      <c r="BL22" s="23">
        <v>-1.4999999999999999E-2</v>
      </c>
      <c r="BM22" s="23">
        <v>5.0000000000000001E-3</v>
      </c>
      <c r="BN22" s="23">
        <v>-0.01</v>
      </c>
      <c r="BO22" s="23">
        <v>0.02</v>
      </c>
      <c r="BP22" s="23">
        <v>5.0000000000000001E-3</v>
      </c>
      <c r="BQ22" s="23">
        <v>2.5000000000000001E-3</v>
      </c>
      <c r="BR22" s="23">
        <v>0.02</v>
      </c>
      <c r="BS22">
        <v>5.0000000000000001E-3</v>
      </c>
      <c r="BT22">
        <v>0.02</v>
      </c>
      <c r="BU22">
        <v>0.02</v>
      </c>
      <c r="BV22">
        <v>0.03</v>
      </c>
    </row>
    <row r="23" spans="1:74" x14ac:dyDescent="0.25">
      <c r="A23" s="24" t="e">
        <f>#REF!-B23</f>
        <v>#REF!</v>
      </c>
      <c r="B23" s="24">
        <v>3.93</v>
      </c>
      <c r="C23" s="138">
        <f t="shared" si="3"/>
        <v>37773</v>
      </c>
      <c r="D23">
        <v>3.1509999999999998</v>
      </c>
      <c r="E23" s="24">
        <v>0.40500000000000003</v>
      </c>
      <c r="F23" s="23">
        <v>2.8705110886401802E-2</v>
      </c>
      <c r="G23" s="23">
        <v>-0.13</v>
      </c>
      <c r="H23" s="23">
        <v>-0.15</v>
      </c>
      <c r="I23" s="27">
        <v>-0.09</v>
      </c>
      <c r="J23" s="27">
        <v>-0.1525</v>
      </c>
      <c r="K23" s="23">
        <v>-0.09</v>
      </c>
      <c r="L23" s="23">
        <v>-6.7500000000000004E-2</v>
      </c>
      <c r="M23" s="23">
        <v>-0.1</v>
      </c>
      <c r="N23" s="23">
        <v>-0.12</v>
      </c>
      <c r="O23" s="23">
        <v>-0.12</v>
      </c>
      <c r="P23" s="23">
        <v>-0.13</v>
      </c>
      <c r="Q23" s="23">
        <v>-9.8750000000000004E-2</v>
      </c>
      <c r="R23" s="23">
        <v>-0.09</v>
      </c>
      <c r="S23" s="23">
        <v>0.125</v>
      </c>
      <c r="T23" s="23">
        <v>0.155</v>
      </c>
      <c r="U23" s="23">
        <v>3.5000000000000003E-2</v>
      </c>
      <c r="V23" s="23">
        <v>0.4</v>
      </c>
      <c r="W23" s="23">
        <v>0.14499999999999999</v>
      </c>
      <c r="X23" s="23">
        <v>0.16500000000000001</v>
      </c>
      <c r="Y23" s="23">
        <v>-2.5000000000000001E-2</v>
      </c>
      <c r="Z23" s="23">
        <v>-0.05</v>
      </c>
      <c r="AA23" s="23">
        <v>1.2500000000000001E-2</v>
      </c>
      <c r="AB23" s="23">
        <v>-1.4999999999999999E-2</v>
      </c>
      <c r="AC23" s="23">
        <v>2.5000000000000001E-3</v>
      </c>
      <c r="AD23" s="23">
        <v>-2.5000000000000001E-2</v>
      </c>
      <c r="AE23" s="23">
        <v>-7.2499999999999995E-2</v>
      </c>
      <c r="AF23" s="23">
        <v>-6.5000000000000002E-2</v>
      </c>
      <c r="AG23" s="23">
        <v>-8.5000000000000006E-2</v>
      </c>
      <c r="AH23" s="23">
        <v>-1.7500000000000002E-2</v>
      </c>
      <c r="AI23" s="23">
        <v>-7.2499999999999995E-2</v>
      </c>
      <c r="AJ23" s="23">
        <v>-0.1075</v>
      </c>
      <c r="AK23" s="23">
        <v>-1.7500000000000002E-2</v>
      </c>
      <c r="AL23" s="23">
        <v>2.2499999999999999E-2</v>
      </c>
      <c r="AM23" s="23">
        <v>0.37</v>
      </c>
      <c r="AN23" s="23">
        <v>3.5000000000000003E-2</v>
      </c>
      <c r="AO23" s="23">
        <v>-0.52500000000000002</v>
      </c>
      <c r="AP23" s="23">
        <v>-0.105</v>
      </c>
      <c r="AQ23" s="23">
        <v>-0.26</v>
      </c>
      <c r="AR23" s="23">
        <v>-0.24</v>
      </c>
      <c r="AS23" s="23">
        <v>-0.435</v>
      </c>
      <c r="AT23" s="23">
        <v>-0.52500000000000002</v>
      </c>
      <c r="AU23" s="23">
        <v>0.14000000000000001</v>
      </c>
      <c r="AV23" s="23">
        <v>-0.52500000000000002</v>
      </c>
      <c r="AW23" s="23">
        <v>-0.14499999999999999</v>
      </c>
      <c r="AX23" s="23">
        <v>-8.2500000000000004E-2</v>
      </c>
      <c r="AY23" s="23">
        <v>-8.5000000000000006E-2</v>
      </c>
      <c r="AZ23" s="23">
        <v>-7.0000000000000007E-2</v>
      </c>
      <c r="BA23" s="23">
        <v>-0.09</v>
      </c>
      <c r="BB23" s="23">
        <v>-2.2499999999999999E-2</v>
      </c>
      <c r="BC23" s="23">
        <v>-7.2499999999999995E-2</v>
      </c>
      <c r="BD23" s="23">
        <v>5.0000000000000001E-3</v>
      </c>
      <c r="BE23" s="23">
        <v>-7.2499999999999995E-2</v>
      </c>
      <c r="BF23" s="23">
        <v>0.08</v>
      </c>
      <c r="BG23" s="23">
        <v>0.13500000000000001</v>
      </c>
      <c r="BH23" s="23">
        <v>0.155</v>
      </c>
      <c r="BI23" s="23">
        <v>0.125</v>
      </c>
      <c r="BJ23" s="23">
        <v>0.33500000000000002</v>
      </c>
      <c r="BK23" s="23">
        <v>0</v>
      </c>
      <c r="BL23" s="23">
        <v>-1.4999999999999999E-2</v>
      </c>
      <c r="BM23" s="23">
        <v>5.0000000000000001E-3</v>
      </c>
      <c r="BN23" s="23">
        <v>-0.01</v>
      </c>
      <c r="BO23" s="23">
        <v>0.02</v>
      </c>
      <c r="BP23" s="23">
        <v>5.0000000000000001E-3</v>
      </c>
      <c r="BQ23" s="23">
        <v>2.5000000000000001E-3</v>
      </c>
      <c r="BR23" s="23">
        <v>3.5000000000000003E-2</v>
      </c>
      <c r="BS23">
        <v>5.0000000000000001E-3</v>
      </c>
      <c r="BT23">
        <v>0.02</v>
      </c>
      <c r="BU23">
        <v>0.02</v>
      </c>
      <c r="BV23">
        <v>0.03</v>
      </c>
    </row>
    <row r="24" spans="1:74" x14ac:dyDescent="0.25">
      <c r="A24" s="24" t="e">
        <f>#REF!-B24</f>
        <v>#REF!</v>
      </c>
      <c r="B24" s="24">
        <v>3.9430000000000001</v>
      </c>
      <c r="C24" s="138">
        <f t="shared" si="3"/>
        <v>37803</v>
      </c>
      <c r="D24">
        <v>3.1909999999999998</v>
      </c>
      <c r="E24" s="24">
        <v>0.40500000000000003</v>
      </c>
      <c r="F24" s="23">
        <v>2.9520453177735599E-2</v>
      </c>
      <c r="G24" s="23">
        <v>-0.13</v>
      </c>
      <c r="H24" s="23">
        <v>-0.15</v>
      </c>
      <c r="I24" s="27">
        <v>-0.09</v>
      </c>
      <c r="J24" s="27">
        <v>-0.1525</v>
      </c>
      <c r="K24" s="23">
        <v>-0.09</v>
      </c>
      <c r="L24" s="23">
        <v>-6.7500000000000004E-2</v>
      </c>
      <c r="M24" s="23">
        <v>-0.1</v>
      </c>
      <c r="N24" s="23">
        <v>-0.12</v>
      </c>
      <c r="O24" s="23">
        <v>-0.12</v>
      </c>
      <c r="P24" s="23">
        <v>-0.13</v>
      </c>
      <c r="Q24" s="23">
        <v>-9.8750000000000004E-2</v>
      </c>
      <c r="R24" s="23">
        <v>-0.09</v>
      </c>
      <c r="S24" s="23">
        <v>0.125</v>
      </c>
      <c r="T24" s="23">
        <v>0.155</v>
      </c>
      <c r="U24" s="23">
        <v>3.5000000000000003E-2</v>
      </c>
      <c r="V24" s="23">
        <v>0.4</v>
      </c>
      <c r="W24" s="23">
        <v>0.15</v>
      </c>
      <c r="X24" s="23">
        <v>0.20499999999999999</v>
      </c>
      <c r="Y24" s="23">
        <v>-2.5000000000000001E-2</v>
      </c>
      <c r="Z24" s="23">
        <v>-0.05</v>
      </c>
      <c r="AA24" s="23">
        <v>1.2500000000000001E-2</v>
      </c>
      <c r="AB24" s="23">
        <v>-1.4999999999999999E-2</v>
      </c>
      <c r="AC24" s="23">
        <v>2.5000000000000001E-3</v>
      </c>
      <c r="AD24" s="23">
        <v>-2.5000000000000001E-2</v>
      </c>
      <c r="AE24" s="23">
        <v>-7.2499999999999995E-2</v>
      </c>
      <c r="AF24" s="23">
        <v>-6.5000000000000002E-2</v>
      </c>
      <c r="AG24" s="23">
        <v>-8.5000000000000006E-2</v>
      </c>
      <c r="AH24" s="23">
        <v>-1.7500000000000002E-2</v>
      </c>
      <c r="AI24" s="23">
        <v>-7.2499999999999995E-2</v>
      </c>
      <c r="AJ24" s="23">
        <v>-0.1075</v>
      </c>
      <c r="AK24" s="23">
        <v>-1.7500000000000002E-2</v>
      </c>
      <c r="AL24" s="23">
        <v>2.2499999999999999E-2</v>
      </c>
      <c r="AM24" s="23">
        <v>0.41</v>
      </c>
      <c r="AN24" s="23">
        <v>3.7499999999999999E-2</v>
      </c>
      <c r="AO24" s="23">
        <v>-0.52500000000000002</v>
      </c>
      <c r="AP24" s="23">
        <v>-0.105</v>
      </c>
      <c r="AQ24" s="23">
        <v>-0.26</v>
      </c>
      <c r="AR24" s="23">
        <v>-0.24</v>
      </c>
      <c r="AS24" s="23">
        <v>-0.435</v>
      </c>
      <c r="AT24" s="23">
        <v>-0.52500000000000002</v>
      </c>
      <c r="AU24" s="23">
        <v>0.14000000000000001</v>
      </c>
      <c r="AV24" s="23">
        <v>-0.52500000000000002</v>
      </c>
      <c r="AW24" s="23">
        <v>-0.155</v>
      </c>
      <c r="AX24" s="23">
        <v>-8.2500000000000004E-2</v>
      </c>
      <c r="AY24" s="23">
        <v>-9.5000000000000001E-2</v>
      </c>
      <c r="AZ24" s="23">
        <v>-7.0000000000000007E-2</v>
      </c>
      <c r="BA24" s="23">
        <v>-8.7499999999999994E-2</v>
      </c>
      <c r="BB24" s="23">
        <v>-2.2499999999999999E-2</v>
      </c>
      <c r="BC24" s="23">
        <v>-7.2499999999999995E-2</v>
      </c>
      <c r="BD24" s="23">
        <v>7.4999999999999997E-3</v>
      </c>
      <c r="BE24" s="23">
        <v>-7.2499999999999995E-2</v>
      </c>
      <c r="BF24" s="23">
        <v>0.08</v>
      </c>
      <c r="BG24" s="23">
        <v>0.13500000000000001</v>
      </c>
      <c r="BH24" s="23">
        <v>0.155</v>
      </c>
      <c r="BI24" s="23">
        <v>0.125</v>
      </c>
      <c r="BJ24" s="23">
        <v>0.35</v>
      </c>
      <c r="BK24" s="23">
        <v>0</v>
      </c>
      <c r="BL24" s="23">
        <v>-0.01</v>
      </c>
      <c r="BM24" s="23">
        <v>5.0000000000000001E-3</v>
      </c>
      <c r="BN24" s="23">
        <v>-0.01</v>
      </c>
      <c r="BO24" s="23">
        <v>0.02</v>
      </c>
      <c r="BP24" s="23">
        <v>5.0000000000000001E-3</v>
      </c>
      <c r="BQ24" s="23">
        <v>2.5000000000000001E-3</v>
      </c>
      <c r="BR24" s="23">
        <v>3.5000000000000003E-2</v>
      </c>
      <c r="BS24">
        <v>5.0000000000000001E-3</v>
      </c>
      <c r="BT24">
        <v>0.02</v>
      </c>
      <c r="BU24">
        <v>0.02</v>
      </c>
      <c r="BV24">
        <v>0.03</v>
      </c>
    </row>
    <row r="25" spans="1:74" x14ac:dyDescent="0.25">
      <c r="A25" s="24" t="e">
        <f>#REF!-B25</f>
        <v>#REF!</v>
      </c>
      <c r="B25" s="24">
        <v>3.8060000000000005</v>
      </c>
      <c r="C25" s="138">
        <f t="shared" si="3"/>
        <v>37834</v>
      </c>
      <c r="D25">
        <v>3.226</v>
      </c>
      <c r="E25" s="24">
        <v>0.40500000000000003</v>
      </c>
      <c r="F25" s="23">
        <v>3.0346320792436401E-2</v>
      </c>
      <c r="G25" s="23">
        <v>-0.13</v>
      </c>
      <c r="H25" s="23">
        <v>-0.15</v>
      </c>
      <c r="I25" s="27">
        <v>-0.09</v>
      </c>
      <c r="J25" s="27">
        <v>-0.1525</v>
      </c>
      <c r="K25" s="23">
        <v>-0.09</v>
      </c>
      <c r="L25" s="23">
        <v>-6.7500000000000004E-2</v>
      </c>
      <c r="M25" s="23">
        <v>-0.1</v>
      </c>
      <c r="N25" s="23">
        <v>-0.12</v>
      </c>
      <c r="O25" s="23">
        <v>-0.12</v>
      </c>
      <c r="P25" s="23">
        <v>-0.13</v>
      </c>
      <c r="Q25" s="23">
        <v>-9.8750000000000004E-2</v>
      </c>
      <c r="R25" s="23">
        <v>-0.09</v>
      </c>
      <c r="S25" s="23">
        <v>0.125</v>
      </c>
      <c r="T25" s="23">
        <v>0.155</v>
      </c>
      <c r="U25" s="23">
        <v>3.5000000000000003E-2</v>
      </c>
      <c r="V25" s="23">
        <v>0.4</v>
      </c>
      <c r="W25" s="23">
        <v>0.15</v>
      </c>
      <c r="X25" s="23">
        <v>0.20499999999999999</v>
      </c>
      <c r="Y25" s="23">
        <v>-2.5000000000000001E-2</v>
      </c>
      <c r="Z25" s="23">
        <v>-0.05</v>
      </c>
      <c r="AA25" s="23">
        <v>1.2500000000000001E-2</v>
      </c>
      <c r="AB25" s="23">
        <v>-1.4999999999999999E-2</v>
      </c>
      <c r="AC25" s="23">
        <v>2.5000000000000001E-3</v>
      </c>
      <c r="AD25" s="23">
        <v>-2.5000000000000001E-2</v>
      </c>
      <c r="AE25" s="23">
        <v>-7.2499999999999995E-2</v>
      </c>
      <c r="AF25" s="23">
        <v>-6.5000000000000002E-2</v>
      </c>
      <c r="AG25" s="23">
        <v>-8.5000000000000006E-2</v>
      </c>
      <c r="AH25" s="23">
        <v>-1.7500000000000002E-2</v>
      </c>
      <c r="AI25" s="23">
        <v>-7.2499999999999995E-2</v>
      </c>
      <c r="AJ25" s="23">
        <v>-0.1075</v>
      </c>
      <c r="AK25" s="23">
        <v>-1.7500000000000002E-2</v>
      </c>
      <c r="AL25" s="23">
        <v>2.2499999999999999E-2</v>
      </c>
      <c r="AM25" s="23">
        <v>0.41</v>
      </c>
      <c r="AN25" s="23">
        <v>0.04</v>
      </c>
      <c r="AO25" s="23">
        <v>-0.52500000000000002</v>
      </c>
      <c r="AP25" s="23">
        <v>-0.105</v>
      </c>
      <c r="AQ25" s="23">
        <v>-0.26</v>
      </c>
      <c r="AR25" s="23">
        <v>-0.24</v>
      </c>
      <c r="AS25" s="23">
        <v>-0.435</v>
      </c>
      <c r="AT25" s="23">
        <v>-0.52500000000000002</v>
      </c>
      <c r="AU25" s="23">
        <v>0.14000000000000001</v>
      </c>
      <c r="AV25" s="23">
        <v>-0.52500000000000002</v>
      </c>
      <c r="AW25" s="23">
        <v>-0.15</v>
      </c>
      <c r="AX25" s="23">
        <v>-8.2500000000000004E-2</v>
      </c>
      <c r="AY25" s="23">
        <v>-0.09</v>
      </c>
      <c r="AZ25" s="23">
        <v>-7.0000000000000007E-2</v>
      </c>
      <c r="BA25" s="23">
        <v>-8.5000000000000006E-2</v>
      </c>
      <c r="BB25" s="23">
        <v>-2.2499999999999999E-2</v>
      </c>
      <c r="BC25" s="23">
        <v>-7.2499999999999995E-2</v>
      </c>
      <c r="BD25" s="23">
        <v>0.01</v>
      </c>
      <c r="BE25" s="23">
        <v>-7.2499999999999995E-2</v>
      </c>
      <c r="BF25" s="23">
        <v>0.08</v>
      </c>
      <c r="BG25" s="23">
        <v>0.13500000000000001</v>
      </c>
      <c r="BH25" s="23">
        <v>0.155</v>
      </c>
      <c r="BI25" s="23">
        <v>0.125</v>
      </c>
      <c r="BJ25" s="23">
        <v>0.35</v>
      </c>
      <c r="BK25" s="23">
        <v>0</v>
      </c>
      <c r="BL25" s="23">
        <v>-0.01</v>
      </c>
      <c r="BM25" s="23">
        <v>5.0000000000000001E-3</v>
      </c>
      <c r="BN25" s="23">
        <v>-0.01</v>
      </c>
      <c r="BO25" s="23">
        <v>0.02</v>
      </c>
      <c r="BP25" s="23">
        <v>5.0000000000000001E-3</v>
      </c>
      <c r="BQ25" s="23">
        <v>2.5000000000000001E-3</v>
      </c>
      <c r="BR25" s="23">
        <v>0.01</v>
      </c>
      <c r="BS25">
        <v>5.0000000000000001E-3</v>
      </c>
      <c r="BT25">
        <v>0.02</v>
      </c>
      <c r="BU25">
        <v>0.02</v>
      </c>
      <c r="BV25">
        <v>0.03</v>
      </c>
    </row>
    <row r="26" spans="1:74" x14ac:dyDescent="0.25">
      <c r="A26" s="24" t="e">
        <f>#REF!-B26</f>
        <v>#REF!</v>
      </c>
      <c r="B26" s="24">
        <v>3.6360000000000001</v>
      </c>
      <c r="C26" s="138">
        <f t="shared" si="3"/>
        <v>37865</v>
      </c>
      <c r="D26">
        <v>3.2290000000000001</v>
      </c>
      <c r="E26" s="24">
        <v>0.4</v>
      </c>
      <c r="F26" s="23">
        <v>3.1172188637070199E-2</v>
      </c>
      <c r="G26" s="23">
        <v>-0.13</v>
      </c>
      <c r="H26" s="23">
        <v>-0.15</v>
      </c>
      <c r="I26" s="27">
        <v>-0.09</v>
      </c>
      <c r="J26" s="27">
        <v>-0.1525</v>
      </c>
      <c r="K26" s="23">
        <v>-0.09</v>
      </c>
      <c r="L26" s="23">
        <v>-6.7500000000000004E-2</v>
      </c>
      <c r="M26" s="23">
        <v>-0.1</v>
      </c>
      <c r="N26" s="23">
        <v>-0.12</v>
      </c>
      <c r="O26" s="23">
        <v>-0.12</v>
      </c>
      <c r="P26" s="23">
        <v>-0.13</v>
      </c>
      <c r="Q26" s="23">
        <v>-9.8750000000000004E-2</v>
      </c>
      <c r="R26" s="23">
        <v>-0.09</v>
      </c>
      <c r="S26" s="23">
        <v>0.125</v>
      </c>
      <c r="T26" s="23">
        <v>0.155</v>
      </c>
      <c r="U26" s="23">
        <v>3.5000000000000003E-2</v>
      </c>
      <c r="V26" s="23">
        <v>0.4</v>
      </c>
      <c r="W26" s="23">
        <v>0.125</v>
      </c>
      <c r="X26" s="23">
        <v>0.14499999999999999</v>
      </c>
      <c r="Y26" s="23">
        <v>-2.5000000000000001E-2</v>
      </c>
      <c r="Z26" s="23">
        <v>-5.5E-2</v>
      </c>
      <c r="AA26" s="23">
        <v>7.4999999999999997E-3</v>
      </c>
      <c r="AB26" s="23">
        <v>-0.02</v>
      </c>
      <c r="AC26" s="23">
        <v>2.5000000000000001E-3</v>
      </c>
      <c r="AD26" s="23">
        <v>-2.5000000000000001E-2</v>
      </c>
      <c r="AE26" s="23">
        <v>-7.2499999999999995E-2</v>
      </c>
      <c r="AF26" s="23">
        <v>-6.5000000000000002E-2</v>
      </c>
      <c r="AG26" s="23">
        <v>-8.5000000000000006E-2</v>
      </c>
      <c r="AH26" s="23">
        <v>-1.7500000000000002E-2</v>
      </c>
      <c r="AI26" s="23">
        <v>-7.2499999999999995E-2</v>
      </c>
      <c r="AJ26" s="23">
        <v>-0.1075</v>
      </c>
      <c r="AK26" s="23">
        <v>-1.7500000000000002E-2</v>
      </c>
      <c r="AL26" s="23">
        <v>2.2499999999999999E-2</v>
      </c>
      <c r="AM26" s="23">
        <v>0.36</v>
      </c>
      <c r="AN26" s="23">
        <v>3.2500000000000001E-2</v>
      </c>
      <c r="AO26" s="23">
        <v>-0.52500000000000002</v>
      </c>
      <c r="AP26" s="23">
        <v>-0.105</v>
      </c>
      <c r="AQ26" s="23">
        <v>-0.26</v>
      </c>
      <c r="AR26" s="23">
        <v>-0.24</v>
      </c>
      <c r="AS26" s="23">
        <v>-0.435</v>
      </c>
      <c r="AT26" s="23">
        <v>-0.52500000000000002</v>
      </c>
      <c r="AU26" s="23">
        <v>0.14000000000000001</v>
      </c>
      <c r="AV26" s="23">
        <v>-0.52500000000000002</v>
      </c>
      <c r="AW26" s="23">
        <v>-0.16</v>
      </c>
      <c r="AX26" s="23">
        <v>-8.2500000000000004E-2</v>
      </c>
      <c r="AY26" s="23">
        <v>-0.1</v>
      </c>
      <c r="AZ26" s="23">
        <v>-7.0000000000000007E-2</v>
      </c>
      <c r="BA26" s="23">
        <v>-0.09</v>
      </c>
      <c r="BB26" s="23">
        <v>-2.2499999999999999E-2</v>
      </c>
      <c r="BC26" s="23">
        <v>-7.2499999999999995E-2</v>
      </c>
      <c r="BD26" s="23">
        <v>2.5000000000000001E-3</v>
      </c>
      <c r="BE26" s="23">
        <v>-7.2499999999999995E-2</v>
      </c>
      <c r="BF26" s="23">
        <v>0.08</v>
      </c>
      <c r="BG26" s="23">
        <v>0.13500000000000001</v>
      </c>
      <c r="BH26" s="23">
        <v>0.155</v>
      </c>
      <c r="BI26" s="23">
        <v>0.125</v>
      </c>
      <c r="BJ26" s="23">
        <v>0.315</v>
      </c>
      <c r="BK26" s="23">
        <v>0</v>
      </c>
      <c r="BL26" s="23">
        <v>-0.01</v>
      </c>
      <c r="BM26" s="23">
        <v>5.0000000000000001E-3</v>
      </c>
      <c r="BN26" s="23">
        <v>-0.01</v>
      </c>
      <c r="BO26" s="23">
        <v>0.02</v>
      </c>
      <c r="BP26" s="23">
        <v>5.0000000000000001E-3</v>
      </c>
      <c r="BQ26" s="23">
        <v>2.5000000000000001E-3</v>
      </c>
      <c r="BR26" s="23">
        <v>0.01</v>
      </c>
      <c r="BS26">
        <v>5.0000000000000001E-3</v>
      </c>
      <c r="BT26">
        <v>0.02</v>
      </c>
      <c r="BU26">
        <v>0.02</v>
      </c>
      <c r="BV26">
        <v>0.03</v>
      </c>
    </row>
    <row r="27" spans="1:74" x14ac:dyDescent="0.25">
      <c r="A27" s="24" t="e">
        <f>#REF!-B27</f>
        <v>#REF!</v>
      </c>
      <c r="B27" s="24">
        <v>3.48</v>
      </c>
      <c r="C27" s="138">
        <f t="shared" si="3"/>
        <v>37895</v>
      </c>
      <c r="D27">
        <v>3.2669999999999999</v>
      </c>
      <c r="E27" s="24">
        <v>0.4</v>
      </c>
      <c r="F27" s="23">
        <v>3.1942240182241101E-2</v>
      </c>
      <c r="G27" s="23">
        <v>-0.13</v>
      </c>
      <c r="H27" s="23">
        <v>-0.15</v>
      </c>
      <c r="I27" s="27">
        <v>-0.09</v>
      </c>
      <c r="J27" s="27">
        <v>-0.1525</v>
      </c>
      <c r="K27" s="23">
        <v>-0.09</v>
      </c>
      <c r="L27" s="23">
        <v>-6.7500000000000004E-2</v>
      </c>
      <c r="M27" s="23">
        <v>-0.1</v>
      </c>
      <c r="N27" s="23">
        <v>-0.12</v>
      </c>
      <c r="O27" s="23">
        <v>-0.12</v>
      </c>
      <c r="P27" s="23">
        <v>-0.13</v>
      </c>
      <c r="Q27" s="23">
        <v>-9.8750000000000004E-2</v>
      </c>
      <c r="R27" s="23">
        <v>-0.09</v>
      </c>
      <c r="S27" s="23">
        <v>0.125</v>
      </c>
      <c r="T27" s="23">
        <v>0.155</v>
      </c>
      <c r="U27" s="23">
        <v>3.5000000000000003E-2</v>
      </c>
      <c r="V27" s="23">
        <v>0.4</v>
      </c>
      <c r="W27" s="23">
        <v>0.14499999999999999</v>
      </c>
      <c r="X27" s="23">
        <v>0.17499999999999999</v>
      </c>
      <c r="Y27" s="23">
        <v>-2.5000000000000001E-2</v>
      </c>
      <c r="Z27" s="23">
        <v>-5.5E-2</v>
      </c>
      <c r="AA27" s="23">
        <v>7.4999999999999997E-3</v>
      </c>
      <c r="AB27" s="23">
        <v>-0.02</v>
      </c>
      <c r="AC27" s="23">
        <v>2.5000000000000001E-3</v>
      </c>
      <c r="AD27" s="23">
        <v>-2.5000000000000001E-2</v>
      </c>
      <c r="AE27" s="23">
        <v>-7.2499999999999995E-2</v>
      </c>
      <c r="AF27" s="23">
        <v>-6.5000000000000002E-2</v>
      </c>
      <c r="AG27" s="23">
        <v>-8.5000000000000006E-2</v>
      </c>
      <c r="AH27" s="23">
        <v>-1.7500000000000002E-2</v>
      </c>
      <c r="AI27" s="23">
        <v>-7.2499999999999995E-2</v>
      </c>
      <c r="AJ27" s="23">
        <v>-0.1075</v>
      </c>
      <c r="AK27" s="23">
        <v>-1.7500000000000002E-2</v>
      </c>
      <c r="AL27" s="23">
        <v>2.2499999999999999E-2</v>
      </c>
      <c r="AM27" s="23">
        <v>0.4</v>
      </c>
      <c r="AN27" s="23">
        <v>2.2499999999999999E-2</v>
      </c>
      <c r="AO27" s="23">
        <v>-0.52500000000000002</v>
      </c>
      <c r="AP27" s="23">
        <v>-0.105</v>
      </c>
      <c r="AQ27" s="23">
        <v>-0.26</v>
      </c>
      <c r="AR27" s="23">
        <v>-0.24</v>
      </c>
      <c r="AS27" s="23">
        <v>-0.435</v>
      </c>
      <c r="AT27" s="23">
        <v>-0.52500000000000002</v>
      </c>
      <c r="AU27" s="23">
        <v>0.14000000000000001</v>
      </c>
      <c r="AV27" s="23">
        <v>-0.52500000000000002</v>
      </c>
      <c r="AW27" s="23">
        <v>-0.14749999999999999</v>
      </c>
      <c r="AX27" s="23">
        <v>-8.2500000000000004E-2</v>
      </c>
      <c r="AY27" s="23">
        <v>-8.7499999999999994E-2</v>
      </c>
      <c r="AZ27" s="23">
        <v>-7.0000000000000007E-2</v>
      </c>
      <c r="BA27" s="23">
        <v>-9.2499999999999999E-2</v>
      </c>
      <c r="BB27" s="23">
        <v>-2.2499999999999999E-2</v>
      </c>
      <c r="BC27" s="23">
        <v>-7.2499999999999995E-2</v>
      </c>
      <c r="BD27" s="23">
        <v>-7.4999999999999997E-3</v>
      </c>
      <c r="BE27" s="23">
        <v>-7.2499999999999995E-2</v>
      </c>
      <c r="BF27" s="23">
        <v>0.08</v>
      </c>
      <c r="BG27" s="23">
        <v>0.13500000000000001</v>
      </c>
      <c r="BH27" s="23">
        <v>0.155</v>
      </c>
      <c r="BI27" s="23">
        <v>0.125</v>
      </c>
      <c r="BJ27" s="23">
        <v>0.36</v>
      </c>
      <c r="BK27" s="23">
        <v>0</v>
      </c>
      <c r="BL27" s="23">
        <v>-1.4999999999999999E-2</v>
      </c>
      <c r="BM27" s="23">
        <v>5.0000000000000001E-3</v>
      </c>
      <c r="BN27" s="23">
        <v>-0.01</v>
      </c>
      <c r="BO27" s="23">
        <v>0.02</v>
      </c>
      <c r="BP27" s="23">
        <v>5.0000000000000001E-3</v>
      </c>
      <c r="BQ27" s="23">
        <v>2.5000000000000001E-3</v>
      </c>
      <c r="BR27" s="23">
        <v>0.01</v>
      </c>
      <c r="BS27">
        <v>5.0000000000000001E-3</v>
      </c>
      <c r="BT27">
        <v>0.02</v>
      </c>
      <c r="BU27">
        <v>0.02</v>
      </c>
      <c r="BV27">
        <v>0.03</v>
      </c>
    </row>
    <row r="28" spans="1:74" x14ac:dyDescent="0.25">
      <c r="A28" s="24" t="e">
        <f>#REF!-B28</f>
        <v>#REF!</v>
      </c>
      <c r="B28" s="24">
        <v>3.41</v>
      </c>
      <c r="C28" s="138">
        <f t="shared" si="3"/>
        <v>37926</v>
      </c>
      <c r="D28">
        <v>3.4119999999999999</v>
      </c>
      <c r="E28" s="24">
        <v>0.39800000000000002</v>
      </c>
      <c r="F28" s="23">
        <v>3.2701454698897098E-2</v>
      </c>
      <c r="G28" s="23">
        <v>-0.13</v>
      </c>
      <c r="H28" s="23">
        <v>-0.15</v>
      </c>
      <c r="I28" s="27">
        <v>-0.01</v>
      </c>
      <c r="J28" s="27">
        <v>-0.1525</v>
      </c>
      <c r="K28" s="23">
        <v>0</v>
      </c>
      <c r="L28" s="23">
        <v>-7.2499999999999995E-2</v>
      </c>
      <c r="M28" s="23">
        <v>-0.1</v>
      </c>
      <c r="N28" s="23">
        <v>-0.12</v>
      </c>
      <c r="O28" s="23">
        <v>-0.12</v>
      </c>
      <c r="P28" s="23">
        <v>-0.13</v>
      </c>
      <c r="Q28" s="23">
        <v>-0.11125</v>
      </c>
      <c r="R28" s="23">
        <v>-9.5000000000000001E-2</v>
      </c>
      <c r="S28" s="23">
        <v>0.14499999999999999</v>
      </c>
      <c r="T28" s="23">
        <v>0.19500000000000001</v>
      </c>
      <c r="U28" s="23">
        <v>0.125</v>
      </c>
      <c r="V28" s="23">
        <v>0.46</v>
      </c>
      <c r="W28" s="23">
        <v>0.19500000000000001</v>
      </c>
      <c r="X28" s="23">
        <v>0.25</v>
      </c>
      <c r="Y28" s="23">
        <v>-2.2499999999999999E-2</v>
      </c>
      <c r="Z28" s="23">
        <v>-0.04</v>
      </c>
      <c r="AA28" s="23">
        <v>2.5000000000000001E-3</v>
      </c>
      <c r="AB28" s="23">
        <v>-2.2499999999999999E-2</v>
      </c>
      <c r="AC28" s="23">
        <v>2.5000000000000001E-3</v>
      </c>
      <c r="AD28" s="23">
        <v>-2.2499999999999999E-2</v>
      </c>
      <c r="AE28" s="23">
        <v>-7.4999999999999997E-2</v>
      </c>
      <c r="AF28" s="23">
        <v>-6.7500000000000004E-2</v>
      </c>
      <c r="AG28" s="23">
        <v>-0.09</v>
      </c>
      <c r="AH28" s="23">
        <v>-1.9E-2</v>
      </c>
      <c r="AI28" s="23">
        <v>-6.7500000000000004E-2</v>
      </c>
      <c r="AJ28" s="23">
        <v>-0.1275</v>
      </c>
      <c r="AK28" s="23">
        <v>-1.2500000000000001E-2</v>
      </c>
      <c r="AL28" s="23">
        <v>2.75E-2</v>
      </c>
      <c r="AM28" s="23">
        <v>0.64</v>
      </c>
      <c r="AN28" s="23">
        <v>-2.5000000000000001E-2</v>
      </c>
      <c r="AO28" s="23">
        <v>-0.33</v>
      </c>
      <c r="AP28" s="23">
        <v>-0.10249999999999999</v>
      </c>
      <c r="AQ28" s="23">
        <v>-0.18</v>
      </c>
      <c r="AR28" s="23">
        <v>0.1</v>
      </c>
      <c r="AS28" s="23">
        <v>-0.25</v>
      </c>
      <c r="AT28" s="23">
        <v>-0.33</v>
      </c>
      <c r="AU28" s="23">
        <v>0.17</v>
      </c>
      <c r="AV28" s="23">
        <v>-0.33</v>
      </c>
      <c r="AW28" s="23">
        <v>-0.17</v>
      </c>
      <c r="AX28" s="23">
        <v>-8.2500000000000004E-2</v>
      </c>
      <c r="AY28" s="23">
        <v>-0.11</v>
      </c>
      <c r="AZ28" s="23">
        <v>-7.4999999999999997E-2</v>
      </c>
      <c r="BA28" s="23">
        <v>-8.7499999999999994E-2</v>
      </c>
      <c r="BB28" s="23">
        <v>-2.4E-2</v>
      </c>
      <c r="BC28" s="23">
        <v>-9.2499999999999999E-2</v>
      </c>
      <c r="BD28" s="23">
        <v>-5.5E-2</v>
      </c>
      <c r="BE28" s="23">
        <v>-7.4999999999999997E-2</v>
      </c>
      <c r="BF28" s="23">
        <v>0.1</v>
      </c>
      <c r="BG28" s="23">
        <v>0.23</v>
      </c>
      <c r="BH28" s="23">
        <v>0.19500000000000001</v>
      </c>
      <c r="BI28" s="23">
        <v>0.14499999999999999</v>
      </c>
      <c r="BJ28" s="23">
        <v>0.46</v>
      </c>
      <c r="BK28" s="23">
        <v>0</v>
      </c>
      <c r="BL28" s="23">
        <v>-0.02</v>
      </c>
      <c r="BM28" s="23">
        <v>5.0000000000000001E-3</v>
      </c>
      <c r="BN28" s="23">
        <v>0</v>
      </c>
      <c r="BO28" s="23">
        <v>0.03</v>
      </c>
      <c r="BP28" s="23">
        <v>5.0000000000000001E-3</v>
      </c>
      <c r="BQ28" s="23">
        <v>5.0000000000000001E-3</v>
      </c>
      <c r="BR28" s="23">
        <v>5.5E-2</v>
      </c>
      <c r="BS28">
        <v>0.02</v>
      </c>
      <c r="BT28">
        <v>0.03</v>
      </c>
      <c r="BU28">
        <v>0.03</v>
      </c>
      <c r="BV28">
        <v>0.04</v>
      </c>
    </row>
    <row r="29" spans="1:74" x14ac:dyDescent="0.25">
      <c r="A29" s="24" t="e">
        <f>#REF!-B29</f>
        <v>#REF!</v>
      </c>
      <c r="B29" s="24">
        <v>3.375</v>
      </c>
      <c r="C29" s="138">
        <f t="shared" si="3"/>
        <v>37956</v>
      </c>
      <c r="D29">
        <v>3.5510000000000002</v>
      </c>
      <c r="E29" s="24">
        <v>0.39800000000000002</v>
      </c>
      <c r="F29" s="23">
        <v>3.3436178609494799E-2</v>
      </c>
      <c r="G29" s="23">
        <v>-0.13250000000000001</v>
      </c>
      <c r="H29" s="23">
        <v>-0.1525</v>
      </c>
      <c r="I29" s="27">
        <v>-5.0000000000000001E-3</v>
      </c>
      <c r="J29" s="27">
        <v>-0.1525</v>
      </c>
      <c r="K29" s="23">
        <v>5.0000000000000001E-3</v>
      </c>
      <c r="L29" s="23">
        <v>-7.4999999999999997E-2</v>
      </c>
      <c r="M29" s="23">
        <v>-0.10249999999999999</v>
      </c>
      <c r="N29" s="23">
        <v>-0.1225</v>
      </c>
      <c r="O29" s="23">
        <v>-0.1225</v>
      </c>
      <c r="P29" s="23">
        <v>-0.13250000000000001</v>
      </c>
      <c r="Q29" s="23">
        <v>-0.1125</v>
      </c>
      <c r="R29" s="23">
        <v>-9.5000000000000001E-2</v>
      </c>
      <c r="S29" s="23">
        <v>0.14499999999999999</v>
      </c>
      <c r="T29" s="23">
        <v>0.19500000000000001</v>
      </c>
      <c r="U29" s="23">
        <v>0.125</v>
      </c>
      <c r="V29" s="23">
        <v>0.47</v>
      </c>
      <c r="W29" s="23">
        <v>0.215</v>
      </c>
      <c r="X29" s="23">
        <v>0.33</v>
      </c>
      <c r="Y29" s="23">
        <v>-2.2499999999999999E-2</v>
      </c>
      <c r="Z29" s="23">
        <v>-0.04</v>
      </c>
      <c r="AA29" s="23">
        <v>2.5000000000000001E-3</v>
      </c>
      <c r="AB29" s="23">
        <v>-2.2499999999999999E-2</v>
      </c>
      <c r="AC29" s="23">
        <v>2.5000000000000001E-3</v>
      </c>
      <c r="AD29" s="23">
        <v>-2.2499999999999999E-2</v>
      </c>
      <c r="AE29" s="23">
        <v>-7.4999999999999997E-2</v>
      </c>
      <c r="AF29" s="23">
        <v>-6.7500000000000004E-2</v>
      </c>
      <c r="AG29" s="23">
        <v>-8.7499999999999994E-2</v>
      </c>
      <c r="AH29" s="23">
        <v>-1.6500000000000001E-2</v>
      </c>
      <c r="AI29" s="23">
        <v>-6.7500000000000004E-2</v>
      </c>
      <c r="AJ29" s="23">
        <v>-0.13</v>
      </c>
      <c r="AK29" s="23">
        <v>-1.2500000000000001E-2</v>
      </c>
      <c r="AL29" s="23">
        <v>2.75E-2</v>
      </c>
      <c r="AM29" s="23">
        <v>0.89</v>
      </c>
      <c r="AN29" s="23">
        <v>-4.7500000000000001E-2</v>
      </c>
      <c r="AO29" s="23">
        <v>-0.33</v>
      </c>
      <c r="AP29" s="23">
        <v>-0.10249999999999999</v>
      </c>
      <c r="AQ29" s="23">
        <v>-0.18</v>
      </c>
      <c r="AR29" s="23">
        <v>0.44</v>
      </c>
      <c r="AS29" s="23">
        <v>-0.25</v>
      </c>
      <c r="AT29" s="23">
        <v>-0.33</v>
      </c>
      <c r="AU29" s="23">
        <v>0.17</v>
      </c>
      <c r="AV29" s="23">
        <v>-0.33</v>
      </c>
      <c r="AW29" s="23">
        <v>-0.19750000000000001</v>
      </c>
      <c r="AX29" s="23">
        <v>-8.2500000000000004E-2</v>
      </c>
      <c r="AY29" s="23">
        <v>-0.13750000000000001</v>
      </c>
      <c r="AZ29" s="23">
        <v>-7.4999999999999997E-2</v>
      </c>
      <c r="BA29" s="23">
        <v>-0.115</v>
      </c>
      <c r="BB29" s="23">
        <v>-2.1499999999999998E-2</v>
      </c>
      <c r="BC29" s="23">
        <v>-9.5000000000000001E-2</v>
      </c>
      <c r="BD29" s="23">
        <v>-7.7499999999999999E-2</v>
      </c>
      <c r="BE29" s="23">
        <v>-7.4999999999999997E-2</v>
      </c>
      <c r="BF29" s="23">
        <v>0.1</v>
      </c>
      <c r="BG29" s="23">
        <v>0.23</v>
      </c>
      <c r="BH29" s="23">
        <v>0.19500000000000001</v>
      </c>
      <c r="BI29" s="23">
        <v>0.14499999999999999</v>
      </c>
      <c r="BJ29" s="23">
        <v>0.78</v>
      </c>
      <c r="BK29" s="23">
        <v>0</v>
      </c>
      <c r="BL29" s="23">
        <v>-2.5000000000000001E-2</v>
      </c>
      <c r="BM29" s="23">
        <v>5.0000000000000001E-3</v>
      </c>
      <c r="BN29" s="23">
        <v>0</v>
      </c>
      <c r="BO29" s="23">
        <v>0.03</v>
      </c>
      <c r="BP29" s="23">
        <v>5.0000000000000001E-3</v>
      </c>
      <c r="BQ29" s="23">
        <v>5.0000000000000001E-3</v>
      </c>
      <c r="BR29" s="23">
        <v>0.25</v>
      </c>
      <c r="BS29">
        <v>0.02</v>
      </c>
      <c r="BT29">
        <v>0.03</v>
      </c>
      <c r="BU29">
        <v>0.03</v>
      </c>
      <c r="BV29">
        <v>0.04</v>
      </c>
    </row>
    <row r="30" spans="1:74" x14ac:dyDescent="0.25">
      <c r="A30" s="24" t="e">
        <f>#REF!-B30</f>
        <v>#REF!</v>
      </c>
      <c r="B30" s="24">
        <v>3.3650000000000002</v>
      </c>
      <c r="C30" s="138">
        <f t="shared" si="3"/>
        <v>37987</v>
      </c>
      <c r="D30">
        <v>3.57</v>
      </c>
      <c r="E30" s="24">
        <v>0.37</v>
      </c>
      <c r="F30" s="23">
        <v>3.4638956672782897E-2</v>
      </c>
      <c r="G30" s="23">
        <v>-0.13500000000000001</v>
      </c>
      <c r="H30" s="23">
        <v>-0.155</v>
      </c>
      <c r="I30" s="27">
        <v>1.4999999999999999E-2</v>
      </c>
      <c r="J30" s="27">
        <v>-0.14000000000000001</v>
      </c>
      <c r="K30" s="23">
        <v>2.5000000000000001E-2</v>
      </c>
      <c r="L30" s="23">
        <v>-7.4999999999999997E-2</v>
      </c>
      <c r="M30" s="23">
        <v>-0.105</v>
      </c>
      <c r="N30" s="23">
        <v>-0.125</v>
      </c>
      <c r="O30" s="23">
        <v>-0.125</v>
      </c>
      <c r="P30" s="23">
        <v>-0.13500000000000001</v>
      </c>
      <c r="Q30" s="23">
        <v>-0.1125</v>
      </c>
      <c r="R30" s="23">
        <v>-9.5000000000000001E-2</v>
      </c>
      <c r="S30" s="23">
        <v>0.14499999999999999</v>
      </c>
      <c r="T30" s="23">
        <v>0.19500000000000001</v>
      </c>
      <c r="U30" s="23">
        <v>0.125</v>
      </c>
      <c r="V30" s="23">
        <v>0.5</v>
      </c>
      <c r="W30" s="23">
        <v>0.23499999999999999</v>
      </c>
      <c r="X30" s="23">
        <v>0.38</v>
      </c>
      <c r="Y30" s="23">
        <v>-2.5000000000000001E-2</v>
      </c>
      <c r="Z30" s="23">
        <v>-0.04</v>
      </c>
      <c r="AA30" s="23">
        <v>2.5000000000000001E-3</v>
      </c>
      <c r="AB30" s="23">
        <v>-2.2499999999999999E-2</v>
      </c>
      <c r="AC30" s="23">
        <v>2.5000000000000001E-3</v>
      </c>
      <c r="AD30" s="23">
        <v>-2.2499999999999999E-2</v>
      </c>
      <c r="AE30" s="23">
        <v>-7.4999999999999997E-2</v>
      </c>
      <c r="AF30" s="23">
        <v>-6.7500000000000004E-2</v>
      </c>
      <c r="AG30" s="23">
        <v>-0.09</v>
      </c>
      <c r="AH30" s="23">
        <v>-1.6500000000000001E-2</v>
      </c>
      <c r="AI30" s="23">
        <v>-6.7500000000000004E-2</v>
      </c>
      <c r="AJ30" s="23">
        <v>-0.13</v>
      </c>
      <c r="AK30" s="23">
        <v>-1.2500000000000001E-2</v>
      </c>
      <c r="AL30" s="23">
        <v>2.75E-2</v>
      </c>
      <c r="AM30" s="23">
        <v>1.52</v>
      </c>
      <c r="AN30" s="23">
        <v>-0.05</v>
      </c>
      <c r="AO30" s="23">
        <v>-0.33</v>
      </c>
      <c r="AP30" s="23">
        <v>-8.7499999999999994E-2</v>
      </c>
      <c r="AQ30" s="23">
        <v>-0.18</v>
      </c>
      <c r="AR30" s="23">
        <v>0.47</v>
      </c>
      <c r="AS30" s="23">
        <v>-0.25</v>
      </c>
      <c r="AT30" s="23">
        <v>-0.33</v>
      </c>
      <c r="AU30" s="23">
        <v>0.17</v>
      </c>
      <c r="AV30" s="23">
        <v>-0.33</v>
      </c>
      <c r="AW30" s="23">
        <v>-0.21249999999999999</v>
      </c>
      <c r="AX30" s="23">
        <v>-7.0000000000000007E-2</v>
      </c>
      <c r="AY30" s="23">
        <v>-0.1525</v>
      </c>
      <c r="AZ30" s="23">
        <v>-7.4999999999999997E-2</v>
      </c>
      <c r="BA30" s="23">
        <v>-0.115</v>
      </c>
      <c r="BB30" s="23">
        <v>-2.1499999999999998E-2</v>
      </c>
      <c r="BC30" s="23">
        <v>-9.5000000000000001E-2</v>
      </c>
      <c r="BD30" s="23">
        <v>-0.08</v>
      </c>
      <c r="BE30" s="23">
        <v>-7.4999999999999997E-2</v>
      </c>
      <c r="BF30" s="23">
        <v>0.1</v>
      </c>
      <c r="BG30" s="23">
        <v>0.23</v>
      </c>
      <c r="BH30" s="23">
        <v>0.19500000000000001</v>
      </c>
      <c r="BI30" s="23">
        <v>0.14499999999999999</v>
      </c>
      <c r="BJ30" s="23">
        <v>1.04</v>
      </c>
      <c r="BK30" s="23">
        <v>0</v>
      </c>
      <c r="BL30" s="23">
        <v>-2.5000000000000001E-2</v>
      </c>
      <c r="BM30" s="23">
        <v>5.0000000000000001E-3</v>
      </c>
      <c r="BN30" s="23">
        <v>0</v>
      </c>
      <c r="BO30" s="23">
        <v>0.03</v>
      </c>
      <c r="BP30" s="23">
        <v>5.0000000000000001E-3</v>
      </c>
      <c r="BQ30" s="23">
        <v>5.0000000000000001E-3</v>
      </c>
      <c r="BR30" s="23">
        <v>0.45</v>
      </c>
      <c r="BS30">
        <v>0.02</v>
      </c>
      <c r="BT30">
        <v>0.03</v>
      </c>
      <c r="BU30">
        <v>0.03</v>
      </c>
      <c r="BV30">
        <v>0.04</v>
      </c>
    </row>
    <row r="31" spans="1:74" x14ac:dyDescent="0.25">
      <c r="A31" s="24" t="e">
        <f>#REF!-B31</f>
        <v>#REF!</v>
      </c>
      <c r="B31" s="24">
        <v>3.36</v>
      </c>
      <c r="C31" s="138">
        <f t="shared" si="3"/>
        <v>38018</v>
      </c>
      <c r="D31">
        <v>3.4849999999999999</v>
      </c>
      <c r="E31" s="24">
        <v>0.36499999999999999</v>
      </c>
      <c r="F31" s="23">
        <v>3.5468569142181203E-2</v>
      </c>
      <c r="G31" s="23">
        <v>-0.1275</v>
      </c>
      <c r="H31" s="23">
        <v>-0.14749999999999999</v>
      </c>
      <c r="I31" s="27">
        <v>0.01</v>
      </c>
      <c r="J31" s="27">
        <v>-0.14000000000000001</v>
      </c>
      <c r="K31" s="23">
        <v>0.02</v>
      </c>
      <c r="L31" s="23">
        <v>-7.4999999999999997E-2</v>
      </c>
      <c r="M31" s="23">
        <v>-9.7500000000000003E-2</v>
      </c>
      <c r="N31" s="23">
        <v>-0.11749999999999999</v>
      </c>
      <c r="O31" s="23">
        <v>-0.11749999999999999</v>
      </c>
      <c r="P31" s="23">
        <v>-0.1275</v>
      </c>
      <c r="Q31" s="23">
        <v>-0.1125</v>
      </c>
      <c r="R31" s="23">
        <v>-9.5000000000000001E-2</v>
      </c>
      <c r="S31" s="23">
        <v>0.14499999999999999</v>
      </c>
      <c r="T31" s="23">
        <v>0.19500000000000001</v>
      </c>
      <c r="U31" s="23">
        <v>0.125</v>
      </c>
      <c r="V31" s="23">
        <v>0.46</v>
      </c>
      <c r="W31" s="23">
        <v>0.23499999999999999</v>
      </c>
      <c r="X31" s="23">
        <v>0.38</v>
      </c>
      <c r="Y31" s="23">
        <v>-2.5000000000000001E-2</v>
      </c>
      <c r="Z31" s="23">
        <v>-0.04</v>
      </c>
      <c r="AA31" s="23">
        <v>2.5000000000000001E-3</v>
      </c>
      <c r="AB31" s="23">
        <v>-2.2499999999999999E-2</v>
      </c>
      <c r="AC31" s="23">
        <v>2.5000000000000001E-3</v>
      </c>
      <c r="AD31" s="23">
        <v>-2.2499999999999999E-2</v>
      </c>
      <c r="AE31" s="23">
        <v>-7.4999999999999997E-2</v>
      </c>
      <c r="AF31" s="23">
        <v>-6.7500000000000004E-2</v>
      </c>
      <c r="AG31" s="23">
        <v>-0.09</v>
      </c>
      <c r="AH31" s="23">
        <v>-1.6500000000000001E-2</v>
      </c>
      <c r="AI31" s="23">
        <v>-6.7500000000000004E-2</v>
      </c>
      <c r="AJ31" s="23">
        <v>-0.13</v>
      </c>
      <c r="AK31" s="23">
        <v>-1.2500000000000001E-2</v>
      </c>
      <c r="AL31" s="23">
        <v>2.75E-2</v>
      </c>
      <c r="AM31" s="23">
        <v>1.52</v>
      </c>
      <c r="AN31" s="23">
        <v>-3.2500000000000001E-2</v>
      </c>
      <c r="AO31" s="23">
        <v>-0.33</v>
      </c>
      <c r="AP31" s="23">
        <v>-8.7499999999999994E-2</v>
      </c>
      <c r="AQ31" s="23">
        <v>-0.18</v>
      </c>
      <c r="AR31" s="23">
        <v>0.15</v>
      </c>
      <c r="AS31" s="23">
        <v>-0.25</v>
      </c>
      <c r="AT31" s="23">
        <v>-0.33</v>
      </c>
      <c r="AU31" s="23">
        <v>0.17</v>
      </c>
      <c r="AV31" s="23">
        <v>-0.33</v>
      </c>
      <c r="AW31" s="23">
        <v>-0.20250000000000001</v>
      </c>
      <c r="AX31" s="23">
        <v>-7.0000000000000007E-2</v>
      </c>
      <c r="AY31" s="23">
        <v>-0.14249999999999999</v>
      </c>
      <c r="AZ31" s="23">
        <v>-7.4999999999999997E-2</v>
      </c>
      <c r="BA31" s="23">
        <v>-0.115</v>
      </c>
      <c r="BB31" s="23">
        <v>-2.1499999999999998E-2</v>
      </c>
      <c r="BC31" s="23">
        <v>-9.5000000000000001E-2</v>
      </c>
      <c r="BD31" s="23">
        <v>-6.25E-2</v>
      </c>
      <c r="BE31" s="23">
        <v>-7.4999999999999997E-2</v>
      </c>
      <c r="BF31" s="23">
        <v>0.1</v>
      </c>
      <c r="BG31" s="23">
        <v>0.23</v>
      </c>
      <c r="BH31" s="23">
        <v>0.19500000000000001</v>
      </c>
      <c r="BI31" s="23">
        <v>0.14499999999999999</v>
      </c>
      <c r="BJ31" s="23">
        <v>1.04</v>
      </c>
      <c r="BK31" s="23">
        <v>0</v>
      </c>
      <c r="BL31" s="23">
        <v>-2.5000000000000001E-2</v>
      </c>
      <c r="BM31" s="23">
        <v>5.0000000000000001E-3</v>
      </c>
      <c r="BN31" s="23">
        <v>0</v>
      </c>
      <c r="BO31" s="23">
        <v>0.03</v>
      </c>
      <c r="BP31" s="23">
        <v>5.0000000000000001E-3</v>
      </c>
      <c r="BQ31" s="23">
        <v>5.0000000000000001E-3</v>
      </c>
      <c r="BR31" s="23">
        <v>0.45</v>
      </c>
      <c r="BS31">
        <v>0.02</v>
      </c>
      <c r="BT31">
        <v>0.03</v>
      </c>
      <c r="BU31">
        <v>0.03</v>
      </c>
      <c r="BV31">
        <v>0.04</v>
      </c>
    </row>
    <row r="32" spans="1:74" x14ac:dyDescent="0.25">
      <c r="A32" s="24" t="e">
        <f>#REF!-B32</f>
        <v>#REF!</v>
      </c>
      <c r="B32" s="24">
        <v>3.35</v>
      </c>
      <c r="C32" s="138">
        <f t="shared" si="3"/>
        <v>38047</v>
      </c>
      <c r="D32">
        <v>3.355</v>
      </c>
      <c r="E32" s="24">
        <v>0.35</v>
      </c>
      <c r="F32" s="23">
        <v>3.6244658435981701E-2</v>
      </c>
      <c r="G32" s="23">
        <v>-0.125</v>
      </c>
      <c r="H32" s="23">
        <v>-0.14499999999999999</v>
      </c>
      <c r="I32" s="27">
        <v>-0.01</v>
      </c>
      <c r="J32" s="27">
        <v>-0.14000000000000001</v>
      </c>
      <c r="K32" s="23">
        <v>0</v>
      </c>
      <c r="L32" s="23">
        <v>-7.4999999999999997E-2</v>
      </c>
      <c r="M32" s="23">
        <v>-9.5000000000000001E-2</v>
      </c>
      <c r="N32" s="23">
        <v>-0.115</v>
      </c>
      <c r="O32" s="23">
        <v>-0.115</v>
      </c>
      <c r="P32" s="23">
        <v>-0.125</v>
      </c>
      <c r="Q32" s="23">
        <v>-0.1125</v>
      </c>
      <c r="R32" s="23">
        <v>-9.5000000000000001E-2</v>
      </c>
      <c r="S32" s="23">
        <v>0.14499999999999999</v>
      </c>
      <c r="T32" s="23">
        <v>0.19500000000000001</v>
      </c>
      <c r="U32" s="23">
        <v>0.125</v>
      </c>
      <c r="V32" s="23">
        <v>0.34</v>
      </c>
      <c r="W32" s="23">
        <v>0.19500000000000001</v>
      </c>
      <c r="X32" s="23">
        <v>0.33</v>
      </c>
      <c r="Y32" s="23">
        <v>-2.5000000000000001E-2</v>
      </c>
      <c r="Z32" s="23">
        <v>-0.04</v>
      </c>
      <c r="AA32" s="23">
        <v>2.5000000000000001E-3</v>
      </c>
      <c r="AB32" s="23">
        <v>-2.2499999999999999E-2</v>
      </c>
      <c r="AC32" s="23">
        <v>2.5000000000000001E-3</v>
      </c>
      <c r="AD32" s="23">
        <v>-2.2499999999999999E-2</v>
      </c>
      <c r="AE32" s="23">
        <v>-7.4999999999999997E-2</v>
      </c>
      <c r="AF32" s="23">
        <v>-6.7500000000000004E-2</v>
      </c>
      <c r="AG32" s="23">
        <v>-0.09</v>
      </c>
      <c r="AH32" s="23">
        <v>-1.6500000000000001E-2</v>
      </c>
      <c r="AI32" s="23">
        <v>-6.7500000000000004E-2</v>
      </c>
      <c r="AJ32" s="23">
        <v>-0.13</v>
      </c>
      <c r="AK32" s="23">
        <v>-1.2500000000000001E-2</v>
      </c>
      <c r="AL32" s="23">
        <v>2.75E-2</v>
      </c>
      <c r="AM32" s="23">
        <v>0.63</v>
      </c>
      <c r="AN32" s="23">
        <v>-0.02</v>
      </c>
      <c r="AO32" s="23">
        <v>-0.33</v>
      </c>
      <c r="AP32" s="23">
        <v>-8.7499999999999994E-2</v>
      </c>
      <c r="AQ32" s="23">
        <v>-0.18</v>
      </c>
      <c r="AR32" s="23">
        <v>-0.16</v>
      </c>
      <c r="AS32" s="23">
        <v>-0.25</v>
      </c>
      <c r="AT32" s="23">
        <v>-0.33</v>
      </c>
      <c r="AU32" s="23">
        <v>0.17</v>
      </c>
      <c r="AV32" s="23">
        <v>-0.33</v>
      </c>
      <c r="AW32" s="23">
        <v>-0.1925</v>
      </c>
      <c r="AX32" s="23">
        <v>-7.0000000000000007E-2</v>
      </c>
      <c r="AY32" s="23">
        <v>-0.13250000000000001</v>
      </c>
      <c r="AZ32" s="23">
        <v>-7.4999999999999997E-2</v>
      </c>
      <c r="BA32" s="23">
        <v>-0.115</v>
      </c>
      <c r="BB32" s="23">
        <v>-2.1499999999999998E-2</v>
      </c>
      <c r="BC32" s="23">
        <v>-9.5000000000000001E-2</v>
      </c>
      <c r="BD32" s="23">
        <v>-0.05</v>
      </c>
      <c r="BE32" s="23">
        <v>-7.4999999999999997E-2</v>
      </c>
      <c r="BF32" s="23">
        <v>0.1</v>
      </c>
      <c r="BG32" s="23">
        <v>0.23</v>
      </c>
      <c r="BH32" s="23">
        <v>0.19500000000000001</v>
      </c>
      <c r="BI32" s="23">
        <v>0.14499999999999999</v>
      </c>
      <c r="BJ32" s="23">
        <v>0.54</v>
      </c>
      <c r="BK32" s="23">
        <v>0</v>
      </c>
      <c r="BL32" s="23">
        <v>-0.02</v>
      </c>
      <c r="BM32" s="23">
        <v>5.0000000000000001E-3</v>
      </c>
      <c r="BN32" s="23">
        <v>0</v>
      </c>
      <c r="BO32" s="23">
        <v>0.03</v>
      </c>
      <c r="BP32" s="23">
        <v>5.0000000000000001E-3</v>
      </c>
      <c r="BQ32" s="23">
        <v>5.0000000000000001E-3</v>
      </c>
      <c r="BR32" s="23">
        <v>0.1</v>
      </c>
      <c r="BS32">
        <v>0.02</v>
      </c>
      <c r="BT32">
        <v>0.03</v>
      </c>
      <c r="BU32">
        <v>0.03</v>
      </c>
      <c r="BV32">
        <v>0.04</v>
      </c>
    </row>
    <row r="33" spans="1:74" x14ac:dyDescent="0.25">
      <c r="A33" s="24" t="e">
        <f>#REF!-B33</f>
        <v>#REF!</v>
      </c>
      <c r="B33" s="24">
        <v>3.3680000000000003</v>
      </c>
      <c r="C33" s="138">
        <f t="shared" si="3"/>
        <v>38078</v>
      </c>
      <c r="D33">
        <v>3.17</v>
      </c>
      <c r="E33" s="24">
        <v>0.32</v>
      </c>
      <c r="F33" s="23">
        <v>3.7021069033523098E-2</v>
      </c>
      <c r="G33" s="23">
        <v>-0.13</v>
      </c>
      <c r="H33" s="23">
        <v>-0.15</v>
      </c>
      <c r="I33" s="27">
        <v>-0.09</v>
      </c>
      <c r="J33" s="27">
        <v>-0.14000000000000001</v>
      </c>
      <c r="K33" s="23">
        <v>-0.09</v>
      </c>
      <c r="L33" s="23">
        <v>-6.5000000000000002E-2</v>
      </c>
      <c r="M33" s="23">
        <v>-0.1</v>
      </c>
      <c r="N33" s="23">
        <v>-0.12</v>
      </c>
      <c r="O33" s="23">
        <v>-0.12</v>
      </c>
      <c r="P33" s="23">
        <v>-0.13</v>
      </c>
      <c r="Q33" s="23">
        <v>-9.5000000000000001E-2</v>
      </c>
      <c r="R33" s="23">
        <v>-8.5000000000000006E-2</v>
      </c>
      <c r="S33" s="23">
        <v>0.125</v>
      </c>
      <c r="T33" s="23">
        <v>0.155</v>
      </c>
      <c r="U33" s="23">
        <v>0.04</v>
      </c>
      <c r="V33" s="23">
        <v>0.5</v>
      </c>
      <c r="W33" s="23">
        <v>0.14499999999999999</v>
      </c>
      <c r="X33" s="23">
        <v>0.19500000000000001</v>
      </c>
      <c r="Y33" s="23">
        <v>-2.75E-2</v>
      </c>
      <c r="Z33" s="23">
        <v>-0.05</v>
      </c>
      <c r="AA33" s="23">
        <v>0.01</v>
      </c>
      <c r="AB33" s="23">
        <v>-1.4999999999999999E-2</v>
      </c>
      <c r="AC33" s="23">
        <v>2.5000000000000001E-3</v>
      </c>
      <c r="AD33" s="23">
        <v>-2.2499999999999999E-2</v>
      </c>
      <c r="AE33" s="23">
        <v>-7.2499999999999995E-2</v>
      </c>
      <c r="AF33" s="23">
        <v>-6.5000000000000002E-2</v>
      </c>
      <c r="AG33" s="23">
        <v>-8.7499999999999994E-2</v>
      </c>
      <c r="AH33" s="23">
        <v>-1.6500000000000001E-2</v>
      </c>
      <c r="AI33" s="23">
        <v>-7.2499999999999995E-2</v>
      </c>
      <c r="AJ33" s="23">
        <v>-0.105</v>
      </c>
      <c r="AK33" s="23">
        <v>-1.7500000000000002E-2</v>
      </c>
      <c r="AL33" s="23">
        <v>2.2499999999999999E-2</v>
      </c>
      <c r="AM33" s="23">
        <v>0.38</v>
      </c>
      <c r="AN33" s="23">
        <v>2.5000000000000001E-2</v>
      </c>
      <c r="AO33" s="23">
        <v>-0.51</v>
      </c>
      <c r="AP33" s="23">
        <v>-8.7499999999999994E-2</v>
      </c>
      <c r="AQ33" s="23">
        <v>-0.22</v>
      </c>
      <c r="AR33" s="23">
        <v>-0.3</v>
      </c>
      <c r="AS33" s="23">
        <v>-0.42</v>
      </c>
      <c r="AT33" s="23">
        <v>-0.51</v>
      </c>
      <c r="AU33" s="23">
        <v>0.21</v>
      </c>
      <c r="AV33" s="23">
        <v>-0.51</v>
      </c>
      <c r="AW33" s="23">
        <v>-0.22</v>
      </c>
      <c r="AX33" s="23">
        <v>-7.0000000000000007E-2</v>
      </c>
      <c r="AY33" s="23">
        <v>-0.16</v>
      </c>
      <c r="AZ33" s="23">
        <v>-6.5000000000000002E-2</v>
      </c>
      <c r="BA33" s="23">
        <v>-0.13750000000000001</v>
      </c>
      <c r="BB33" s="23">
        <v>-2.1499999999999998E-2</v>
      </c>
      <c r="BC33" s="23">
        <v>-7.0000000000000007E-2</v>
      </c>
      <c r="BD33" s="23">
        <v>-5.0000000000000001E-3</v>
      </c>
      <c r="BE33" s="23">
        <v>-7.2499999999999995E-2</v>
      </c>
      <c r="BF33" s="23">
        <v>7.4999999999999997E-2</v>
      </c>
      <c r="BG33" s="23">
        <v>0.14499999999999999</v>
      </c>
      <c r="BH33" s="23">
        <v>0.155</v>
      </c>
      <c r="BI33" s="23">
        <v>0.125</v>
      </c>
      <c r="BJ33" s="23">
        <v>0.36</v>
      </c>
      <c r="BK33" s="23">
        <v>0</v>
      </c>
      <c r="BL33" s="23">
        <v>-1.4999999999999999E-2</v>
      </c>
      <c r="BM33" s="23">
        <v>5.0000000000000001E-3</v>
      </c>
      <c r="BN33" s="23">
        <v>-0.01</v>
      </c>
      <c r="BO33" s="23">
        <v>0.02</v>
      </c>
      <c r="BP33" s="23">
        <v>5.0000000000000001E-3</v>
      </c>
      <c r="BQ33" s="23">
        <v>2.5000000000000001E-3</v>
      </c>
      <c r="BR33" s="23">
        <v>0.02</v>
      </c>
      <c r="BS33">
        <v>5.0000000000000001E-3</v>
      </c>
      <c r="BT33">
        <v>0.03</v>
      </c>
      <c r="BU33">
        <v>0.03</v>
      </c>
      <c r="BV33">
        <v>0.03</v>
      </c>
    </row>
    <row r="34" spans="1:74" x14ac:dyDescent="0.25">
      <c r="A34" s="24" t="e">
        <f>#REF!-B34</f>
        <v>#REF!</v>
      </c>
      <c r="B34" s="24">
        <v>3.48</v>
      </c>
      <c r="C34" s="138">
        <f t="shared" si="3"/>
        <v>38108</v>
      </c>
      <c r="D34">
        <v>3.165</v>
      </c>
      <c r="E34" s="24">
        <v>0.315</v>
      </c>
      <c r="F34" s="23">
        <v>3.7717515784331003E-2</v>
      </c>
      <c r="G34" s="23">
        <v>-0.13</v>
      </c>
      <c r="H34" s="23">
        <v>-0.15</v>
      </c>
      <c r="I34" s="27">
        <v>-0.09</v>
      </c>
      <c r="J34" s="27">
        <v>-0.14000000000000001</v>
      </c>
      <c r="K34" s="23">
        <v>-0.09</v>
      </c>
      <c r="L34" s="23">
        <v>-6.5000000000000002E-2</v>
      </c>
      <c r="M34" s="23">
        <v>-0.1</v>
      </c>
      <c r="N34" s="23">
        <v>-0.12</v>
      </c>
      <c r="O34" s="23">
        <v>-0.12</v>
      </c>
      <c r="P34" s="23">
        <v>-0.13</v>
      </c>
      <c r="Q34" s="23">
        <v>-9.5000000000000001E-2</v>
      </c>
      <c r="R34" s="23">
        <v>-8.5000000000000006E-2</v>
      </c>
      <c r="S34" s="23">
        <v>0.125</v>
      </c>
      <c r="T34" s="23">
        <v>0.155</v>
      </c>
      <c r="U34" s="23">
        <v>0.04</v>
      </c>
      <c r="V34" s="23">
        <v>0.5</v>
      </c>
      <c r="W34" s="23">
        <v>0.125</v>
      </c>
      <c r="X34" s="23">
        <v>0.13500000000000001</v>
      </c>
      <c r="Y34" s="23">
        <v>-2.75E-2</v>
      </c>
      <c r="Z34" s="23">
        <v>-0.05</v>
      </c>
      <c r="AA34" s="23">
        <v>0.01</v>
      </c>
      <c r="AB34" s="23">
        <v>-1.4999999999999999E-2</v>
      </c>
      <c r="AC34" s="23">
        <v>2.5000000000000001E-3</v>
      </c>
      <c r="AD34" s="23">
        <v>-2.2499999999999999E-2</v>
      </c>
      <c r="AE34" s="23">
        <v>-7.2499999999999995E-2</v>
      </c>
      <c r="AF34" s="23">
        <v>-6.5000000000000002E-2</v>
      </c>
      <c r="AG34" s="23">
        <v>-8.7499999999999994E-2</v>
      </c>
      <c r="AH34" s="23">
        <v>-1.6500000000000001E-2</v>
      </c>
      <c r="AI34" s="23">
        <v>-7.2499999999999995E-2</v>
      </c>
      <c r="AJ34" s="23">
        <v>-0.105</v>
      </c>
      <c r="AK34" s="23">
        <v>-1.7500000000000002E-2</v>
      </c>
      <c r="AL34" s="23">
        <v>2.2499999999999999E-2</v>
      </c>
      <c r="AM34" s="23">
        <v>0.33</v>
      </c>
      <c r="AN34" s="23">
        <v>2.5000000000000001E-2</v>
      </c>
      <c r="AO34" s="23">
        <v>-0.51</v>
      </c>
      <c r="AP34" s="23">
        <v>-8.7499999999999994E-2</v>
      </c>
      <c r="AQ34" s="23">
        <v>-0.22</v>
      </c>
      <c r="AR34" s="23">
        <v>-0.3</v>
      </c>
      <c r="AS34" s="23">
        <v>-0.42</v>
      </c>
      <c r="AT34" s="23">
        <v>-0.51</v>
      </c>
      <c r="AU34" s="23">
        <v>0.21</v>
      </c>
      <c r="AV34" s="23">
        <v>-0.51</v>
      </c>
      <c r="AW34" s="23">
        <v>-0.19750000000000001</v>
      </c>
      <c r="AX34" s="23">
        <v>-7.0000000000000007E-2</v>
      </c>
      <c r="AY34" s="23">
        <v>-0.13750000000000001</v>
      </c>
      <c r="AZ34" s="23">
        <v>-6.5000000000000002E-2</v>
      </c>
      <c r="BA34" s="23">
        <v>-0.13</v>
      </c>
      <c r="BB34" s="23">
        <v>-2.1499999999999998E-2</v>
      </c>
      <c r="BC34" s="23">
        <v>-7.0000000000000007E-2</v>
      </c>
      <c r="BD34" s="23">
        <v>-5.0000000000000001E-3</v>
      </c>
      <c r="BE34" s="23">
        <v>-7.2499999999999995E-2</v>
      </c>
      <c r="BF34" s="23">
        <v>7.4999999999999997E-2</v>
      </c>
      <c r="BG34" s="23">
        <v>0.14499999999999999</v>
      </c>
      <c r="BH34" s="23">
        <v>0.155</v>
      </c>
      <c r="BI34" s="23">
        <v>0.125</v>
      </c>
      <c r="BJ34" s="23">
        <v>0.32500000000000001</v>
      </c>
      <c r="BK34" s="23">
        <v>0</v>
      </c>
      <c r="BL34" s="23">
        <v>-1.4999999999999999E-2</v>
      </c>
      <c r="BM34" s="23">
        <v>5.0000000000000001E-3</v>
      </c>
      <c r="BN34" s="23">
        <v>-0.01</v>
      </c>
      <c r="BO34" s="23">
        <v>0.02</v>
      </c>
      <c r="BP34" s="23">
        <v>5.0000000000000001E-3</v>
      </c>
      <c r="BQ34" s="23">
        <v>2.5000000000000001E-3</v>
      </c>
      <c r="BR34" s="23">
        <v>0.02</v>
      </c>
      <c r="BS34">
        <v>5.0000000000000001E-3</v>
      </c>
      <c r="BT34">
        <v>0.03</v>
      </c>
      <c r="BU34">
        <v>0.03</v>
      </c>
      <c r="BV34">
        <v>0.03</v>
      </c>
    </row>
    <row r="35" spans="1:74" x14ac:dyDescent="0.25">
      <c r="A35" s="24" t="e">
        <f>#REF!-B35</f>
        <v>#REF!</v>
      </c>
      <c r="B35" s="24">
        <v>3.5890000000000004</v>
      </c>
      <c r="C35" s="138">
        <f t="shared" si="3"/>
        <v>38139</v>
      </c>
      <c r="D35">
        <v>3.2</v>
      </c>
      <c r="E35" s="24">
        <v>0.315</v>
      </c>
      <c r="F35" s="23">
        <v>3.8437177597991E-2</v>
      </c>
      <c r="G35" s="23">
        <v>-0.13</v>
      </c>
      <c r="H35" s="23">
        <v>-0.15</v>
      </c>
      <c r="I35" s="27">
        <v>-0.09</v>
      </c>
      <c r="J35" s="27">
        <v>-0.14000000000000001</v>
      </c>
      <c r="K35" s="23">
        <v>-0.09</v>
      </c>
      <c r="L35" s="23">
        <v>-6.5000000000000002E-2</v>
      </c>
      <c r="M35" s="23">
        <v>-0.1</v>
      </c>
      <c r="N35" s="23">
        <v>-0.12</v>
      </c>
      <c r="O35" s="23">
        <v>-0.12</v>
      </c>
      <c r="P35" s="23">
        <v>-0.13</v>
      </c>
      <c r="Q35" s="23">
        <v>-9.5000000000000001E-2</v>
      </c>
      <c r="R35" s="23">
        <v>-8.5000000000000006E-2</v>
      </c>
      <c r="S35" s="23">
        <v>0.125</v>
      </c>
      <c r="T35" s="23">
        <v>0.155</v>
      </c>
      <c r="U35" s="23">
        <v>0.04</v>
      </c>
      <c r="V35" s="23">
        <v>0.5</v>
      </c>
      <c r="W35" s="23">
        <v>0.14499999999999999</v>
      </c>
      <c r="X35" s="23">
        <v>0.16500000000000001</v>
      </c>
      <c r="Y35" s="23">
        <v>-2.75E-2</v>
      </c>
      <c r="Z35" s="23">
        <v>-4.7500000000000001E-2</v>
      </c>
      <c r="AA35" s="23">
        <v>1.2500000000000001E-2</v>
      </c>
      <c r="AB35" s="23">
        <v>-1.2500000000000001E-2</v>
      </c>
      <c r="AC35" s="23">
        <v>2.5000000000000001E-3</v>
      </c>
      <c r="AD35" s="23">
        <v>-2.2499999999999999E-2</v>
      </c>
      <c r="AE35" s="23">
        <v>-7.2499999999999995E-2</v>
      </c>
      <c r="AF35" s="23">
        <v>-6.5000000000000002E-2</v>
      </c>
      <c r="AG35" s="23">
        <v>-8.7499999999999994E-2</v>
      </c>
      <c r="AH35" s="23">
        <v>-1.6500000000000001E-2</v>
      </c>
      <c r="AI35" s="23">
        <v>-7.2499999999999995E-2</v>
      </c>
      <c r="AJ35" s="23">
        <v>-0.105</v>
      </c>
      <c r="AK35" s="23">
        <v>-1.7500000000000002E-2</v>
      </c>
      <c r="AL35" s="23">
        <v>2.2499999999999999E-2</v>
      </c>
      <c r="AM35" s="23">
        <v>0.37</v>
      </c>
      <c r="AN35" s="23">
        <v>0.03</v>
      </c>
      <c r="AO35" s="23">
        <v>-0.51</v>
      </c>
      <c r="AP35" s="23">
        <v>-8.7499999999999994E-2</v>
      </c>
      <c r="AQ35" s="23">
        <v>-0.22</v>
      </c>
      <c r="AR35" s="23">
        <v>-0.3</v>
      </c>
      <c r="AS35" s="23">
        <v>-0.42</v>
      </c>
      <c r="AT35" s="23">
        <v>-0.51</v>
      </c>
      <c r="AU35" s="23">
        <v>0.21</v>
      </c>
      <c r="AV35" s="23">
        <v>-0.51</v>
      </c>
      <c r="AW35" s="23">
        <v>-0.14499999999999999</v>
      </c>
      <c r="AX35" s="23">
        <v>-7.0000000000000007E-2</v>
      </c>
      <c r="AY35" s="23">
        <v>-8.5000000000000006E-2</v>
      </c>
      <c r="AZ35" s="23">
        <v>-6.5000000000000002E-2</v>
      </c>
      <c r="BA35" s="23">
        <v>-8.7499999999999994E-2</v>
      </c>
      <c r="BB35" s="23">
        <v>-2.1499999999999998E-2</v>
      </c>
      <c r="BC35" s="23">
        <v>-7.0000000000000007E-2</v>
      </c>
      <c r="BD35" s="23">
        <v>0</v>
      </c>
      <c r="BE35" s="23">
        <v>-7.2499999999999995E-2</v>
      </c>
      <c r="BF35" s="23">
        <v>7.4999999999999997E-2</v>
      </c>
      <c r="BG35" s="23">
        <v>0.14499999999999999</v>
      </c>
      <c r="BH35" s="23">
        <v>0.155</v>
      </c>
      <c r="BI35" s="23">
        <v>0.125</v>
      </c>
      <c r="BJ35" s="23">
        <v>0.33500000000000002</v>
      </c>
      <c r="BK35" s="23">
        <v>0</v>
      </c>
      <c r="BL35" s="23">
        <v>-1.4999999999999999E-2</v>
      </c>
      <c r="BM35" s="23">
        <v>5.0000000000000001E-3</v>
      </c>
      <c r="BN35" s="23">
        <v>-0.01</v>
      </c>
      <c r="BO35" s="23">
        <v>0.02</v>
      </c>
      <c r="BP35" s="23">
        <v>5.0000000000000001E-3</v>
      </c>
      <c r="BQ35" s="23">
        <v>2.5000000000000001E-3</v>
      </c>
      <c r="BR35" s="23">
        <v>3.5000000000000003E-2</v>
      </c>
      <c r="BS35">
        <v>5.0000000000000001E-3</v>
      </c>
      <c r="BT35">
        <v>0.03</v>
      </c>
      <c r="BU35">
        <v>0.03</v>
      </c>
      <c r="BV35">
        <v>0.03</v>
      </c>
    </row>
    <row r="36" spans="1:74" x14ac:dyDescent="0.25">
      <c r="A36" s="24" t="e">
        <f>#REF!-B36</f>
        <v>#REF!</v>
      </c>
      <c r="B36" s="24">
        <v>3.6080000000000001</v>
      </c>
      <c r="C36" s="138">
        <f t="shared" si="3"/>
        <v>38169</v>
      </c>
      <c r="D36">
        <v>3.24</v>
      </c>
      <c r="E36" s="24">
        <v>0.315</v>
      </c>
      <c r="F36" s="23">
        <v>3.9098228026385802E-2</v>
      </c>
      <c r="G36" s="23">
        <v>-0.13</v>
      </c>
      <c r="H36" s="23">
        <v>-0.15</v>
      </c>
      <c r="I36" s="27">
        <v>-0.09</v>
      </c>
      <c r="J36" s="27">
        <v>-0.14000000000000001</v>
      </c>
      <c r="K36" s="23">
        <v>-0.09</v>
      </c>
      <c r="L36" s="23">
        <v>-6.5000000000000002E-2</v>
      </c>
      <c r="M36" s="23">
        <v>-0.1</v>
      </c>
      <c r="N36" s="23">
        <v>-0.12</v>
      </c>
      <c r="O36" s="23">
        <v>-0.12</v>
      </c>
      <c r="P36" s="23">
        <v>-0.13</v>
      </c>
      <c r="Q36" s="23">
        <v>-9.5000000000000001E-2</v>
      </c>
      <c r="R36" s="23">
        <v>-8.5000000000000006E-2</v>
      </c>
      <c r="S36" s="23">
        <v>0.125</v>
      </c>
      <c r="T36" s="23">
        <v>0.155</v>
      </c>
      <c r="U36" s="23">
        <v>0.04</v>
      </c>
      <c r="V36" s="23">
        <v>0.5</v>
      </c>
      <c r="W36" s="23">
        <v>0.15</v>
      </c>
      <c r="X36" s="23">
        <v>0.20499999999999999</v>
      </c>
      <c r="Y36" s="23">
        <v>-2.75E-2</v>
      </c>
      <c r="Z36" s="23">
        <v>-4.7500000000000001E-2</v>
      </c>
      <c r="AA36" s="23">
        <v>1.2500000000000001E-2</v>
      </c>
      <c r="AB36" s="23">
        <v>-1.2500000000000001E-2</v>
      </c>
      <c r="AC36" s="23">
        <v>2.5000000000000001E-3</v>
      </c>
      <c r="AD36" s="23">
        <v>-2.2499999999999999E-2</v>
      </c>
      <c r="AE36" s="23">
        <v>-7.2499999999999995E-2</v>
      </c>
      <c r="AF36" s="23">
        <v>-6.5000000000000002E-2</v>
      </c>
      <c r="AG36" s="23">
        <v>-8.7499999999999994E-2</v>
      </c>
      <c r="AH36" s="23">
        <v>-1.6500000000000001E-2</v>
      </c>
      <c r="AI36" s="23">
        <v>-7.2499999999999995E-2</v>
      </c>
      <c r="AJ36" s="23">
        <v>-0.105</v>
      </c>
      <c r="AK36" s="23">
        <v>-1.7500000000000002E-2</v>
      </c>
      <c r="AL36" s="23">
        <v>2.2499999999999999E-2</v>
      </c>
      <c r="AM36" s="23">
        <v>0.41</v>
      </c>
      <c r="AN36" s="23">
        <v>3.2500000000000001E-2</v>
      </c>
      <c r="AO36" s="23">
        <v>-0.51</v>
      </c>
      <c r="AP36" s="23">
        <v>-8.7499999999999994E-2</v>
      </c>
      <c r="AQ36" s="23">
        <v>-0.22</v>
      </c>
      <c r="AR36" s="23">
        <v>-0.3</v>
      </c>
      <c r="AS36" s="23">
        <v>-0.42</v>
      </c>
      <c r="AT36" s="23">
        <v>-0.51</v>
      </c>
      <c r="AU36" s="23">
        <v>0.21</v>
      </c>
      <c r="AV36" s="23">
        <v>-0.51</v>
      </c>
      <c r="AW36" s="23">
        <v>-0.155</v>
      </c>
      <c r="AX36" s="23">
        <v>-7.0000000000000007E-2</v>
      </c>
      <c r="AY36" s="23">
        <v>-9.5000000000000001E-2</v>
      </c>
      <c r="AZ36" s="23">
        <v>-6.5000000000000002E-2</v>
      </c>
      <c r="BA36" s="23">
        <v>-8.5000000000000006E-2</v>
      </c>
      <c r="BB36" s="23">
        <v>-2.1499999999999998E-2</v>
      </c>
      <c r="BC36" s="23">
        <v>-7.0000000000000007E-2</v>
      </c>
      <c r="BD36" s="23">
        <v>2.5000000000000001E-3</v>
      </c>
      <c r="BE36" s="23">
        <v>-7.2499999999999995E-2</v>
      </c>
      <c r="BF36" s="23">
        <v>7.4999999999999997E-2</v>
      </c>
      <c r="BG36" s="23">
        <v>0.14499999999999999</v>
      </c>
      <c r="BH36" s="23">
        <v>0.155</v>
      </c>
      <c r="BI36" s="23">
        <v>0.125</v>
      </c>
      <c r="BJ36" s="23">
        <v>0.35</v>
      </c>
      <c r="BK36" s="23">
        <v>0</v>
      </c>
      <c r="BL36" s="23">
        <v>-0.01</v>
      </c>
      <c r="BM36" s="23">
        <v>5.0000000000000001E-3</v>
      </c>
      <c r="BN36" s="23">
        <v>-0.01</v>
      </c>
      <c r="BO36" s="23">
        <v>0.02</v>
      </c>
      <c r="BP36" s="23">
        <v>5.0000000000000001E-3</v>
      </c>
      <c r="BQ36" s="23">
        <v>2.5000000000000001E-3</v>
      </c>
      <c r="BR36" s="23">
        <v>3.5000000000000003E-2</v>
      </c>
      <c r="BS36">
        <v>5.0000000000000001E-3</v>
      </c>
      <c r="BT36">
        <v>0.03</v>
      </c>
      <c r="BU36">
        <v>0.03</v>
      </c>
      <c r="BV36">
        <v>0.03</v>
      </c>
    </row>
    <row r="37" spans="1:74" x14ac:dyDescent="0.25">
      <c r="A37" s="24" t="e">
        <f>#REF!-B37</f>
        <v>#REF!</v>
      </c>
      <c r="B37" s="24">
        <v>3.4780000000000002</v>
      </c>
      <c r="C37" s="138">
        <f t="shared" si="3"/>
        <v>38200</v>
      </c>
      <c r="D37">
        <v>3.28</v>
      </c>
      <c r="E37" s="24">
        <v>0.315</v>
      </c>
      <c r="F37" s="23">
        <v>3.9742489332663701E-2</v>
      </c>
      <c r="G37" s="23">
        <v>-0.13</v>
      </c>
      <c r="H37" s="23">
        <v>-0.15</v>
      </c>
      <c r="I37" s="27">
        <v>-0.09</v>
      </c>
      <c r="J37" s="27">
        <v>-0.14000000000000001</v>
      </c>
      <c r="K37" s="23">
        <v>-0.09</v>
      </c>
      <c r="L37" s="23">
        <v>-6.5000000000000002E-2</v>
      </c>
      <c r="M37" s="23">
        <v>-0.1</v>
      </c>
      <c r="N37" s="23">
        <v>-0.12</v>
      </c>
      <c r="O37" s="23">
        <v>-0.12</v>
      </c>
      <c r="P37" s="23">
        <v>-0.13</v>
      </c>
      <c r="Q37" s="23">
        <v>-9.5000000000000001E-2</v>
      </c>
      <c r="R37" s="23">
        <v>-8.5000000000000006E-2</v>
      </c>
      <c r="S37" s="23">
        <v>0.125</v>
      </c>
      <c r="T37" s="23">
        <v>0.155</v>
      </c>
      <c r="U37" s="23">
        <v>0.04</v>
      </c>
      <c r="V37" s="23">
        <v>0.5</v>
      </c>
      <c r="W37" s="23">
        <v>0.15</v>
      </c>
      <c r="X37" s="23">
        <v>0.20499999999999999</v>
      </c>
      <c r="Y37" s="23">
        <v>-2.75E-2</v>
      </c>
      <c r="Z37" s="23">
        <v>-4.7500000000000001E-2</v>
      </c>
      <c r="AA37" s="23">
        <v>1.2500000000000001E-2</v>
      </c>
      <c r="AB37" s="23">
        <v>-1.2500000000000001E-2</v>
      </c>
      <c r="AC37" s="23">
        <v>2.5000000000000001E-3</v>
      </c>
      <c r="AD37" s="23">
        <v>-2.2499999999999999E-2</v>
      </c>
      <c r="AE37" s="23">
        <v>-7.2499999999999995E-2</v>
      </c>
      <c r="AF37" s="23">
        <v>-6.5000000000000002E-2</v>
      </c>
      <c r="AG37" s="23">
        <v>-8.7499999999999994E-2</v>
      </c>
      <c r="AH37" s="23">
        <v>-1.6500000000000001E-2</v>
      </c>
      <c r="AI37" s="23">
        <v>-7.2499999999999995E-2</v>
      </c>
      <c r="AJ37" s="23">
        <v>-0.105</v>
      </c>
      <c r="AK37" s="23">
        <v>-1.7500000000000002E-2</v>
      </c>
      <c r="AL37" s="23">
        <v>2.2499999999999999E-2</v>
      </c>
      <c r="AM37" s="23">
        <v>0.41</v>
      </c>
      <c r="AN37" s="23">
        <v>3.5000000000000003E-2</v>
      </c>
      <c r="AO37" s="23">
        <v>-0.51</v>
      </c>
      <c r="AP37" s="23">
        <v>-8.7499999999999994E-2</v>
      </c>
      <c r="AQ37" s="23">
        <v>-0.22</v>
      </c>
      <c r="AR37" s="23">
        <v>-0.3</v>
      </c>
      <c r="AS37" s="23">
        <v>-0.42</v>
      </c>
      <c r="AT37" s="23">
        <v>-0.51</v>
      </c>
      <c r="AU37" s="23">
        <v>0.21</v>
      </c>
      <c r="AV37" s="23">
        <v>-0.51</v>
      </c>
      <c r="AW37" s="23">
        <v>-0.15</v>
      </c>
      <c r="AX37" s="23">
        <v>-7.0000000000000007E-2</v>
      </c>
      <c r="AY37" s="23">
        <v>-0.09</v>
      </c>
      <c r="AZ37" s="23">
        <v>-6.5000000000000002E-2</v>
      </c>
      <c r="BA37" s="23">
        <v>-8.2500000000000004E-2</v>
      </c>
      <c r="BB37" s="23">
        <v>-2.1499999999999998E-2</v>
      </c>
      <c r="BC37" s="23">
        <v>-7.0000000000000007E-2</v>
      </c>
      <c r="BD37" s="23">
        <v>5.0000000000000001E-3</v>
      </c>
      <c r="BE37" s="23">
        <v>-7.2499999999999995E-2</v>
      </c>
      <c r="BF37" s="23">
        <v>7.4999999999999997E-2</v>
      </c>
      <c r="BG37" s="23">
        <v>0.14499999999999999</v>
      </c>
      <c r="BH37" s="23">
        <v>0.155</v>
      </c>
      <c r="BI37" s="23">
        <v>0.125</v>
      </c>
      <c r="BJ37" s="23">
        <v>0.35</v>
      </c>
      <c r="BK37" s="23">
        <v>0</v>
      </c>
      <c r="BL37" s="23">
        <v>-0.01</v>
      </c>
      <c r="BM37" s="23">
        <v>5.0000000000000001E-3</v>
      </c>
      <c r="BN37" s="23">
        <v>-0.01</v>
      </c>
      <c r="BO37" s="23">
        <v>0.02</v>
      </c>
      <c r="BP37" s="23">
        <v>5.0000000000000001E-3</v>
      </c>
      <c r="BQ37" s="23">
        <v>2.5000000000000001E-3</v>
      </c>
      <c r="BR37" s="23">
        <v>0.01</v>
      </c>
      <c r="BS37">
        <v>5.0000000000000001E-3</v>
      </c>
      <c r="BT37">
        <v>0.03</v>
      </c>
      <c r="BU37">
        <v>0.03</v>
      </c>
      <c r="BV37">
        <v>0.03</v>
      </c>
    </row>
    <row r="38" spans="1:74" x14ac:dyDescent="0.25">
      <c r="A38" s="24" t="e">
        <f>#REF!-B38</f>
        <v>#REF!</v>
      </c>
      <c r="B38" s="24">
        <v>3.3230000000000004</v>
      </c>
      <c r="C38" s="138">
        <f t="shared" si="3"/>
        <v>38231</v>
      </c>
      <c r="D38">
        <v>3.2749999999999999</v>
      </c>
      <c r="E38" s="24">
        <v>0.315</v>
      </c>
      <c r="F38" s="23">
        <v>4.0386750778223797E-2</v>
      </c>
      <c r="G38" s="23">
        <v>-0.13</v>
      </c>
      <c r="H38" s="23">
        <v>-0.15</v>
      </c>
      <c r="I38" s="27">
        <v>-0.09</v>
      </c>
      <c r="J38" s="27">
        <v>-0.14000000000000001</v>
      </c>
      <c r="K38" s="23">
        <v>-0.09</v>
      </c>
      <c r="L38" s="23">
        <v>-6.5000000000000002E-2</v>
      </c>
      <c r="M38" s="23">
        <v>-0.1</v>
      </c>
      <c r="N38" s="23">
        <v>-0.12</v>
      </c>
      <c r="O38" s="23">
        <v>-0.12</v>
      </c>
      <c r="P38" s="23">
        <v>-0.13</v>
      </c>
      <c r="Q38" s="23">
        <v>-9.5000000000000001E-2</v>
      </c>
      <c r="R38" s="23">
        <v>-8.5000000000000006E-2</v>
      </c>
      <c r="S38" s="23">
        <v>0.125</v>
      </c>
      <c r="T38" s="23">
        <v>0.155</v>
      </c>
      <c r="U38" s="23">
        <v>0.04</v>
      </c>
      <c r="V38" s="23">
        <v>0.5</v>
      </c>
      <c r="W38" s="23">
        <v>0.125</v>
      </c>
      <c r="X38" s="23">
        <v>0.14499999999999999</v>
      </c>
      <c r="Y38" s="23">
        <v>-2.75E-2</v>
      </c>
      <c r="Z38" s="23">
        <v>-5.2499999999999998E-2</v>
      </c>
      <c r="AA38" s="23">
        <v>7.4999999999999997E-3</v>
      </c>
      <c r="AB38" s="23">
        <v>-1.7500000000000002E-2</v>
      </c>
      <c r="AC38" s="23">
        <v>2.5000000000000001E-3</v>
      </c>
      <c r="AD38" s="23">
        <v>-2.2499999999999999E-2</v>
      </c>
      <c r="AE38" s="23">
        <v>-7.2499999999999995E-2</v>
      </c>
      <c r="AF38" s="23">
        <v>-6.5000000000000002E-2</v>
      </c>
      <c r="AG38" s="23">
        <v>-8.7499999999999994E-2</v>
      </c>
      <c r="AH38" s="23">
        <v>-1.6500000000000001E-2</v>
      </c>
      <c r="AI38" s="23">
        <v>-7.2499999999999995E-2</v>
      </c>
      <c r="AJ38" s="23">
        <v>-0.105</v>
      </c>
      <c r="AK38" s="23">
        <v>-1.7500000000000002E-2</v>
      </c>
      <c r="AL38" s="23">
        <v>2.2499999999999999E-2</v>
      </c>
      <c r="AM38" s="23">
        <v>0.36</v>
      </c>
      <c r="AN38" s="23">
        <v>2.75E-2</v>
      </c>
      <c r="AO38" s="23">
        <v>-0.51</v>
      </c>
      <c r="AP38" s="23">
        <v>-8.7499999999999994E-2</v>
      </c>
      <c r="AQ38" s="23">
        <v>-0.22</v>
      </c>
      <c r="AR38" s="23">
        <v>-0.3</v>
      </c>
      <c r="AS38" s="23">
        <v>-0.42</v>
      </c>
      <c r="AT38" s="23">
        <v>-0.51</v>
      </c>
      <c r="AU38" s="23">
        <v>0.21</v>
      </c>
      <c r="AV38" s="23">
        <v>-0.51</v>
      </c>
      <c r="AW38" s="23">
        <v>-0.16</v>
      </c>
      <c r="AX38" s="23">
        <v>-7.0000000000000007E-2</v>
      </c>
      <c r="AY38" s="23">
        <v>-0.1</v>
      </c>
      <c r="AZ38" s="23">
        <v>-6.5000000000000002E-2</v>
      </c>
      <c r="BA38" s="23">
        <v>-8.7499999999999994E-2</v>
      </c>
      <c r="BB38" s="23">
        <v>-2.1499999999999998E-2</v>
      </c>
      <c r="BC38" s="23">
        <v>-7.0000000000000007E-2</v>
      </c>
      <c r="BD38" s="23">
        <v>-2.5000000000000001E-3</v>
      </c>
      <c r="BE38" s="23">
        <v>-7.2499999999999995E-2</v>
      </c>
      <c r="BF38" s="23">
        <v>7.4999999999999997E-2</v>
      </c>
      <c r="BG38" s="23">
        <v>0.14499999999999999</v>
      </c>
      <c r="BH38" s="23">
        <v>0.155</v>
      </c>
      <c r="BI38" s="23">
        <v>0.125</v>
      </c>
      <c r="BJ38" s="23">
        <v>0.315</v>
      </c>
      <c r="BK38" s="23">
        <v>0</v>
      </c>
      <c r="BL38" s="23">
        <v>-0.01</v>
      </c>
      <c r="BM38" s="23">
        <v>5.0000000000000001E-3</v>
      </c>
      <c r="BN38" s="23">
        <v>-0.01</v>
      </c>
      <c r="BO38" s="23">
        <v>0.02</v>
      </c>
      <c r="BP38" s="23">
        <v>5.0000000000000001E-3</v>
      </c>
      <c r="BQ38" s="23">
        <v>2.5000000000000001E-3</v>
      </c>
      <c r="BR38" s="23">
        <v>0.01</v>
      </c>
      <c r="BS38">
        <v>5.0000000000000001E-3</v>
      </c>
      <c r="BT38">
        <v>0.03</v>
      </c>
      <c r="BU38">
        <v>0.03</v>
      </c>
      <c r="BV38">
        <v>0.03</v>
      </c>
    </row>
    <row r="39" spans="1:74" x14ac:dyDescent="0.25">
      <c r="A39" s="24" t="e">
        <f>#REF!-B39</f>
        <v>#REF!</v>
      </c>
      <c r="B39" s="24">
        <v>3.1680000000000001</v>
      </c>
      <c r="C39" s="138">
        <f t="shared" si="3"/>
        <v>38261</v>
      </c>
      <c r="D39">
        <v>3.3</v>
      </c>
      <c r="E39" s="24">
        <v>0.315</v>
      </c>
      <c r="F39" s="23">
        <v>4.0975446534947203E-2</v>
      </c>
      <c r="G39" s="23">
        <v>-0.13</v>
      </c>
      <c r="H39" s="23">
        <v>-0.15</v>
      </c>
      <c r="I39" s="27">
        <v>-0.09</v>
      </c>
      <c r="J39" s="27">
        <v>-0.14000000000000001</v>
      </c>
      <c r="K39" s="23">
        <v>-0.09</v>
      </c>
      <c r="L39" s="23">
        <v>-6.5000000000000002E-2</v>
      </c>
      <c r="M39" s="23">
        <v>-0.1</v>
      </c>
      <c r="N39" s="23">
        <v>-0.12</v>
      </c>
      <c r="O39" s="23">
        <v>-0.12</v>
      </c>
      <c r="P39" s="23">
        <v>-0.13</v>
      </c>
      <c r="Q39" s="23">
        <v>-9.5000000000000001E-2</v>
      </c>
      <c r="R39" s="23">
        <v>-8.5000000000000006E-2</v>
      </c>
      <c r="S39" s="23">
        <v>0.125</v>
      </c>
      <c r="T39" s="23">
        <v>0.155</v>
      </c>
      <c r="U39" s="23">
        <v>0.04</v>
      </c>
      <c r="V39" s="23">
        <v>0.5</v>
      </c>
      <c r="W39" s="23">
        <v>0.14499999999999999</v>
      </c>
      <c r="X39" s="23">
        <v>0.17499999999999999</v>
      </c>
      <c r="Y39" s="23">
        <v>-2.75E-2</v>
      </c>
      <c r="Z39" s="23">
        <v>-5.2499999999999998E-2</v>
      </c>
      <c r="AA39" s="23">
        <v>7.4999999999999997E-3</v>
      </c>
      <c r="AB39" s="23">
        <v>-1.7500000000000002E-2</v>
      </c>
      <c r="AC39" s="23">
        <v>2.5000000000000001E-3</v>
      </c>
      <c r="AD39" s="23">
        <v>-2.2499999999999999E-2</v>
      </c>
      <c r="AE39" s="23">
        <v>-7.2499999999999995E-2</v>
      </c>
      <c r="AF39" s="23">
        <v>-6.5000000000000002E-2</v>
      </c>
      <c r="AG39" s="23">
        <v>-8.7499999999999994E-2</v>
      </c>
      <c r="AH39" s="23">
        <v>-1.6500000000000001E-2</v>
      </c>
      <c r="AI39" s="23">
        <v>-7.2499999999999995E-2</v>
      </c>
      <c r="AJ39" s="23">
        <v>-0.105</v>
      </c>
      <c r="AK39" s="23">
        <v>-1.7500000000000002E-2</v>
      </c>
      <c r="AL39" s="23">
        <v>2.2499999999999999E-2</v>
      </c>
      <c r="AM39" s="23">
        <v>0.4</v>
      </c>
      <c r="AN39" s="23">
        <v>1.7500000000000002E-2</v>
      </c>
      <c r="AO39" s="23">
        <v>-0.51</v>
      </c>
      <c r="AP39" s="23">
        <v>-8.7499999999999994E-2</v>
      </c>
      <c r="AQ39" s="23">
        <v>-0.22</v>
      </c>
      <c r="AR39" s="23">
        <v>-0.3</v>
      </c>
      <c r="AS39" s="23">
        <v>-0.42</v>
      </c>
      <c r="AT39" s="23">
        <v>-0.51</v>
      </c>
      <c r="AU39" s="23">
        <v>0.21</v>
      </c>
      <c r="AV39" s="23">
        <v>-0.51</v>
      </c>
      <c r="AW39" s="23">
        <v>-0.14749999999999999</v>
      </c>
      <c r="AX39" s="23">
        <v>-7.0000000000000007E-2</v>
      </c>
      <c r="AY39" s="23">
        <v>-8.7499999999999994E-2</v>
      </c>
      <c r="AZ39" s="23">
        <v>-6.5000000000000002E-2</v>
      </c>
      <c r="BA39" s="23">
        <v>-0.09</v>
      </c>
      <c r="BB39" s="23">
        <v>-2.1499999999999998E-2</v>
      </c>
      <c r="BC39" s="23">
        <v>-7.0000000000000007E-2</v>
      </c>
      <c r="BD39" s="23">
        <v>-1.2500000000000001E-2</v>
      </c>
      <c r="BE39" s="23">
        <v>-7.2499999999999995E-2</v>
      </c>
      <c r="BF39" s="23">
        <v>7.4999999999999997E-2</v>
      </c>
      <c r="BG39" s="23">
        <v>0.14499999999999999</v>
      </c>
      <c r="BH39" s="23">
        <v>0.155</v>
      </c>
      <c r="BI39" s="23">
        <v>0.125</v>
      </c>
      <c r="BJ39" s="23">
        <v>0.36</v>
      </c>
      <c r="BK39" s="23">
        <v>0</v>
      </c>
      <c r="BL39" s="23">
        <v>-1.4999999999999999E-2</v>
      </c>
      <c r="BM39" s="23">
        <v>5.0000000000000001E-3</v>
      </c>
      <c r="BN39" s="23">
        <v>-0.01</v>
      </c>
      <c r="BO39" s="23">
        <v>0.02</v>
      </c>
      <c r="BP39" s="23">
        <v>5.0000000000000001E-3</v>
      </c>
      <c r="BQ39" s="23">
        <v>2.5000000000000001E-3</v>
      </c>
      <c r="BR39" s="23">
        <v>0.01</v>
      </c>
      <c r="BS39">
        <v>5.0000000000000001E-3</v>
      </c>
      <c r="BT39">
        <v>0.03</v>
      </c>
      <c r="BU39">
        <v>0.03</v>
      </c>
      <c r="BV39">
        <v>0.03</v>
      </c>
    </row>
    <row r="40" spans="1:74" x14ac:dyDescent="0.25">
      <c r="A40" s="24" t="e">
        <f>#REF!-B40</f>
        <v>#REF!</v>
      </c>
      <c r="B40" s="24">
        <v>3.14</v>
      </c>
      <c r="C40" s="138">
        <f t="shared" si="3"/>
        <v>38292</v>
      </c>
      <c r="D40">
        <v>3.452</v>
      </c>
      <c r="E40" s="24">
        <v>0.315</v>
      </c>
      <c r="F40" s="23">
        <v>4.1550342233317203E-2</v>
      </c>
      <c r="G40" s="23">
        <v>-0.13</v>
      </c>
      <c r="H40" s="23">
        <v>-0.15</v>
      </c>
      <c r="I40" s="27">
        <v>-0.01</v>
      </c>
      <c r="J40" s="27">
        <v>-0.13750000000000001</v>
      </c>
      <c r="K40" s="23">
        <v>0</v>
      </c>
      <c r="L40" s="23">
        <v>-5.2499999999999998E-2</v>
      </c>
      <c r="M40" s="23">
        <v>-0.1</v>
      </c>
      <c r="N40" s="23">
        <v>-0.12</v>
      </c>
      <c r="O40" s="23">
        <v>-0.12</v>
      </c>
      <c r="P40" s="23">
        <v>-0.13</v>
      </c>
      <c r="Q40" s="23">
        <v>-8.5000000000000006E-2</v>
      </c>
      <c r="R40" s="23">
        <v>-6.25E-2</v>
      </c>
      <c r="S40" s="23">
        <v>0.14499999999999999</v>
      </c>
      <c r="T40" s="23">
        <v>0.19500000000000001</v>
      </c>
      <c r="U40" s="23">
        <v>0.125</v>
      </c>
      <c r="V40" s="23">
        <v>0.5</v>
      </c>
      <c r="W40" s="23">
        <v>0.19500000000000001</v>
      </c>
      <c r="X40" s="23">
        <v>0.21</v>
      </c>
      <c r="Y40" s="23">
        <v>-2.5000000000000001E-2</v>
      </c>
      <c r="Z40" s="23">
        <v>-3.7499999999999999E-2</v>
      </c>
      <c r="AA40" s="23">
        <v>3.5000000000000001E-3</v>
      </c>
      <c r="AB40" s="23">
        <v>-1.9E-2</v>
      </c>
      <c r="AC40" s="23">
        <v>2.5000000000000001E-3</v>
      </c>
      <c r="AD40" s="23">
        <v>-2.2499999999999999E-2</v>
      </c>
      <c r="AE40" s="23">
        <v>-7.4999999999999997E-2</v>
      </c>
      <c r="AF40" s="23">
        <v>-6.7500000000000004E-2</v>
      </c>
      <c r="AG40" s="23">
        <v>-0.09</v>
      </c>
      <c r="AH40" s="23">
        <v>-1.7999999999999999E-2</v>
      </c>
      <c r="AI40" s="23">
        <v>-6.7500000000000004E-2</v>
      </c>
      <c r="AJ40" s="23">
        <v>-0.1075</v>
      </c>
      <c r="AK40" s="23">
        <v>-1.2500000000000001E-2</v>
      </c>
      <c r="AL40" s="23">
        <v>2.75E-2</v>
      </c>
      <c r="AM40" s="23">
        <v>0.64500000000000002</v>
      </c>
      <c r="AN40" s="23">
        <v>-2.5000000000000001E-2</v>
      </c>
      <c r="AO40" s="23">
        <v>-0.35</v>
      </c>
      <c r="AP40" s="23">
        <v>-8.5000000000000006E-2</v>
      </c>
      <c r="AQ40" s="23">
        <v>-0.13500000000000001</v>
      </c>
      <c r="AR40" s="23">
        <v>0.248</v>
      </c>
      <c r="AS40" s="23">
        <v>-0.27</v>
      </c>
      <c r="AT40" s="23">
        <v>-0.35</v>
      </c>
      <c r="AU40" s="23">
        <v>0.2</v>
      </c>
      <c r="AV40" s="23">
        <v>-0.35</v>
      </c>
      <c r="AW40" s="23">
        <v>-0.155</v>
      </c>
      <c r="AX40" s="23">
        <v>-6.7500000000000004E-2</v>
      </c>
      <c r="AY40" s="23">
        <v>-9.5000000000000001E-2</v>
      </c>
      <c r="AZ40" s="23">
        <v>-5.2499999999999998E-2</v>
      </c>
      <c r="BA40" s="23">
        <v>-8.5000000000000006E-2</v>
      </c>
      <c r="BB40" s="23">
        <v>-2.3E-2</v>
      </c>
      <c r="BC40" s="23">
        <v>-7.2499999999999995E-2</v>
      </c>
      <c r="BD40" s="23">
        <v>-5.5E-2</v>
      </c>
      <c r="BE40" s="23">
        <v>-7.4999999999999997E-2</v>
      </c>
      <c r="BF40" s="23">
        <v>0.15</v>
      </c>
      <c r="BG40" s="23">
        <v>0.23</v>
      </c>
      <c r="BH40" s="23">
        <v>0.19500000000000001</v>
      </c>
      <c r="BI40" s="23">
        <v>0.14499999999999999</v>
      </c>
      <c r="BJ40" s="23">
        <v>0.46</v>
      </c>
      <c r="BK40" s="23">
        <v>0</v>
      </c>
      <c r="BL40" s="23">
        <v>-0.02</v>
      </c>
      <c r="BM40" s="23">
        <v>5.0000000000000001E-3</v>
      </c>
      <c r="BN40" s="23">
        <v>0</v>
      </c>
      <c r="BO40" s="23">
        <v>3.5000000000000003E-2</v>
      </c>
      <c r="BP40" s="23">
        <v>5.0000000000000001E-3</v>
      </c>
      <c r="BQ40" s="23">
        <v>5.0000000000000001E-3</v>
      </c>
      <c r="BR40" s="23">
        <v>5.5E-2</v>
      </c>
      <c r="BS40">
        <v>0.02</v>
      </c>
      <c r="BT40">
        <v>0.03</v>
      </c>
      <c r="BU40">
        <v>0.03</v>
      </c>
      <c r="BV40">
        <v>0.04</v>
      </c>
    </row>
    <row r="41" spans="1:74" x14ac:dyDescent="0.25">
      <c r="A41" s="24" t="e">
        <f>#REF!-B41</f>
        <v>#REF!</v>
      </c>
      <c r="B41" s="24">
        <v>3.12</v>
      </c>
      <c r="C41" s="138">
        <f t="shared" si="3"/>
        <v>38322</v>
      </c>
      <c r="D41">
        <v>3.5950000000000002</v>
      </c>
      <c r="E41" s="24">
        <v>0.315</v>
      </c>
      <c r="F41" s="23">
        <v>4.2106693014662501E-2</v>
      </c>
      <c r="G41" s="23">
        <v>-0.13250000000000001</v>
      </c>
      <c r="H41" s="23">
        <v>-0.1525</v>
      </c>
      <c r="I41" s="27">
        <v>-5.0000000000000001E-3</v>
      </c>
      <c r="J41" s="27">
        <v>-0.13750000000000001</v>
      </c>
      <c r="K41" s="23">
        <v>5.0000000000000001E-3</v>
      </c>
      <c r="L41" s="23">
        <v>-5.2499999999999998E-2</v>
      </c>
      <c r="M41" s="23">
        <v>-0.10249999999999999</v>
      </c>
      <c r="N41" s="23">
        <v>-0.1225</v>
      </c>
      <c r="O41" s="23">
        <v>-0.1225</v>
      </c>
      <c r="P41" s="23">
        <v>-0.13250000000000001</v>
      </c>
      <c r="Q41" s="23">
        <v>-8.5000000000000006E-2</v>
      </c>
      <c r="R41" s="23">
        <v>-6.25E-2</v>
      </c>
      <c r="S41" s="23">
        <v>0.14499999999999999</v>
      </c>
      <c r="T41" s="23">
        <v>0.19500000000000001</v>
      </c>
      <c r="U41" s="23">
        <v>0.125</v>
      </c>
      <c r="V41" s="23">
        <v>0.5</v>
      </c>
      <c r="W41" s="23">
        <v>0.215</v>
      </c>
      <c r="X41" s="23">
        <v>0.28999999999999998</v>
      </c>
      <c r="Y41" s="23">
        <v>-2.5000000000000001E-2</v>
      </c>
      <c r="Z41" s="23">
        <v>-3.7499999999999999E-2</v>
      </c>
      <c r="AA41" s="23">
        <v>3.5000000000000001E-3</v>
      </c>
      <c r="AB41" s="23">
        <v>-1.9E-2</v>
      </c>
      <c r="AC41" s="23">
        <v>2.5000000000000001E-3</v>
      </c>
      <c r="AD41" s="23">
        <v>-2.2499999999999999E-2</v>
      </c>
      <c r="AE41" s="23">
        <v>-7.4999999999999997E-2</v>
      </c>
      <c r="AF41" s="23">
        <v>-6.7500000000000004E-2</v>
      </c>
      <c r="AG41" s="23">
        <v>-0.09</v>
      </c>
      <c r="AH41" s="23">
        <v>-1.55E-2</v>
      </c>
      <c r="AI41" s="23">
        <v>-6.7500000000000004E-2</v>
      </c>
      <c r="AJ41" s="23">
        <v>-0.1075</v>
      </c>
      <c r="AK41" s="23">
        <v>-1.2500000000000001E-2</v>
      </c>
      <c r="AL41" s="23">
        <v>2.75E-2</v>
      </c>
      <c r="AM41" s="23">
        <v>0.9</v>
      </c>
      <c r="AN41" s="23">
        <v>-4.7500000000000001E-2</v>
      </c>
      <c r="AO41" s="23">
        <v>-0.35</v>
      </c>
      <c r="AP41" s="23">
        <v>-8.5000000000000006E-2</v>
      </c>
      <c r="AQ41" s="23">
        <v>-0.13500000000000001</v>
      </c>
      <c r="AR41" s="23">
        <v>0.308</v>
      </c>
      <c r="AS41" s="23">
        <v>-0.27</v>
      </c>
      <c r="AT41" s="23">
        <v>-0.35</v>
      </c>
      <c r="AU41" s="23">
        <v>0.2</v>
      </c>
      <c r="AV41" s="23">
        <v>-0.35</v>
      </c>
      <c r="AW41" s="23">
        <v>-0.1825</v>
      </c>
      <c r="AX41" s="23">
        <v>-6.7500000000000004E-2</v>
      </c>
      <c r="AY41" s="23">
        <v>-0.1225</v>
      </c>
      <c r="AZ41" s="23">
        <v>-5.2499999999999998E-2</v>
      </c>
      <c r="BA41" s="23">
        <v>-0.1125</v>
      </c>
      <c r="BB41" s="23">
        <v>-2.0500000000000001E-2</v>
      </c>
      <c r="BC41" s="23">
        <v>-7.2499999999999995E-2</v>
      </c>
      <c r="BD41" s="23">
        <v>-7.7499999999999999E-2</v>
      </c>
      <c r="BE41" s="23">
        <v>-7.4999999999999997E-2</v>
      </c>
      <c r="BF41" s="23">
        <v>0.15</v>
      </c>
      <c r="BG41" s="23">
        <v>0.23</v>
      </c>
      <c r="BH41" s="23">
        <v>0.19500000000000001</v>
      </c>
      <c r="BI41" s="23">
        <v>0.14499999999999999</v>
      </c>
      <c r="BJ41" s="23">
        <v>0.77</v>
      </c>
      <c r="BK41" s="23">
        <v>0</v>
      </c>
      <c r="BL41" s="23">
        <v>-2.5000000000000001E-2</v>
      </c>
      <c r="BM41" s="23">
        <v>5.0000000000000001E-3</v>
      </c>
      <c r="BN41" s="23">
        <v>0</v>
      </c>
      <c r="BO41" s="23">
        <v>3.5000000000000003E-2</v>
      </c>
      <c r="BP41" s="23">
        <v>5.0000000000000001E-3</v>
      </c>
      <c r="BQ41" s="23">
        <v>5.0000000000000001E-3</v>
      </c>
      <c r="BR41" s="23">
        <v>0.25</v>
      </c>
      <c r="BS41">
        <v>0.02</v>
      </c>
      <c r="BT41">
        <v>0.03</v>
      </c>
      <c r="BU41">
        <v>0.03</v>
      </c>
      <c r="BV41">
        <v>0.04</v>
      </c>
    </row>
    <row r="42" spans="1:74" x14ac:dyDescent="0.25">
      <c r="A42" s="24" t="e">
        <f>#REF!-B42</f>
        <v>#REF!</v>
      </c>
      <c r="B42" s="24">
        <v>3.1850000000000001</v>
      </c>
      <c r="C42" s="138">
        <f t="shared" si="3"/>
        <v>38353</v>
      </c>
      <c r="D42">
        <v>3.6549999999999998</v>
      </c>
      <c r="E42" s="24">
        <v>0.315</v>
      </c>
      <c r="F42" s="23">
        <v>4.26576899474638E-2</v>
      </c>
      <c r="G42" s="23">
        <v>-0.13500000000000001</v>
      </c>
      <c r="H42" s="23">
        <v>-0.155</v>
      </c>
      <c r="I42" s="27">
        <v>1.4999999999999999E-2</v>
      </c>
      <c r="J42" s="27">
        <v>-0.13750000000000001</v>
      </c>
      <c r="K42" s="23">
        <v>2.5000000000000001E-2</v>
      </c>
      <c r="L42" s="23">
        <v>-5.2499999999999998E-2</v>
      </c>
      <c r="M42" s="23">
        <v>-0.105</v>
      </c>
      <c r="N42" s="23">
        <v>-0.125</v>
      </c>
      <c r="O42" s="23">
        <v>-0.125</v>
      </c>
      <c r="P42" s="23">
        <v>-0.13500000000000001</v>
      </c>
      <c r="Q42" s="23">
        <v>-8.5000000000000006E-2</v>
      </c>
      <c r="R42" s="23">
        <v>-6.25E-2</v>
      </c>
      <c r="S42" s="23">
        <v>0.14499999999999999</v>
      </c>
      <c r="T42" s="23">
        <v>0.19500000000000001</v>
      </c>
      <c r="U42" s="23">
        <v>0.125</v>
      </c>
      <c r="V42" s="23">
        <v>0.5</v>
      </c>
      <c r="W42" s="23">
        <v>0.23499999999999999</v>
      </c>
      <c r="X42" s="23">
        <v>0.34</v>
      </c>
      <c r="Y42" s="23">
        <v>-2.5000000000000001E-2</v>
      </c>
      <c r="Z42" s="23">
        <v>-3.7499999999999999E-2</v>
      </c>
      <c r="AA42" s="23">
        <v>3.5000000000000001E-3</v>
      </c>
      <c r="AB42" s="23">
        <v>-1.9E-2</v>
      </c>
      <c r="AC42" s="23">
        <v>2.5000000000000001E-3</v>
      </c>
      <c r="AD42" s="23">
        <v>-2.2499999999999999E-2</v>
      </c>
      <c r="AE42" s="23">
        <v>-7.4999999999999997E-2</v>
      </c>
      <c r="AF42" s="23">
        <v>-6.7500000000000004E-2</v>
      </c>
      <c r="AG42" s="23">
        <v>-0.09</v>
      </c>
      <c r="AH42" s="23">
        <v>-1.55E-2</v>
      </c>
      <c r="AI42" s="23">
        <v>-6.7500000000000004E-2</v>
      </c>
      <c r="AJ42" s="23">
        <v>-0.1075</v>
      </c>
      <c r="AK42" s="23">
        <v>-1.2500000000000001E-2</v>
      </c>
      <c r="AL42" s="23">
        <v>2.75E-2</v>
      </c>
      <c r="AM42" s="23">
        <v>1.5349999999999999</v>
      </c>
      <c r="AN42" s="23">
        <v>-0.05</v>
      </c>
      <c r="AO42" s="23">
        <v>-0.35</v>
      </c>
      <c r="AP42" s="23">
        <v>-8.5000000000000006E-2</v>
      </c>
      <c r="AQ42" s="23">
        <v>-0.13500000000000001</v>
      </c>
      <c r="AR42" s="23">
        <v>0.378</v>
      </c>
      <c r="AS42" s="23">
        <v>-0.27</v>
      </c>
      <c r="AT42" s="23">
        <v>-0.35</v>
      </c>
      <c r="AU42" s="23">
        <v>0.2</v>
      </c>
      <c r="AV42" s="23">
        <v>-0.35</v>
      </c>
      <c r="AW42" s="23">
        <v>-0.19750000000000001</v>
      </c>
      <c r="AX42" s="23">
        <v>-6.7500000000000004E-2</v>
      </c>
      <c r="AY42" s="23">
        <v>-0.13750000000000001</v>
      </c>
      <c r="AZ42" s="23">
        <v>-5.2499999999999998E-2</v>
      </c>
      <c r="BA42" s="23">
        <v>-0.113</v>
      </c>
      <c r="BB42" s="23">
        <v>-2.0500000000000001E-2</v>
      </c>
      <c r="BC42" s="23">
        <v>-7.2499999999999995E-2</v>
      </c>
      <c r="BD42" s="23">
        <v>-0.08</v>
      </c>
      <c r="BE42" s="23">
        <v>-7.4999999999999997E-2</v>
      </c>
      <c r="BF42" s="23">
        <v>0.15</v>
      </c>
      <c r="BG42" s="23">
        <v>0.23</v>
      </c>
      <c r="BH42" s="23">
        <v>0.19500000000000001</v>
      </c>
      <c r="BI42" s="23">
        <v>0.14499999999999999</v>
      </c>
      <c r="BJ42" s="23">
        <v>1.04</v>
      </c>
      <c r="BK42" s="23">
        <v>0</v>
      </c>
      <c r="BL42" s="23">
        <v>-2.5000000000000001E-2</v>
      </c>
      <c r="BM42" s="23">
        <v>5.0000000000000001E-3</v>
      </c>
      <c r="BN42" s="23">
        <v>0</v>
      </c>
      <c r="BO42" s="23">
        <v>3.5000000000000003E-2</v>
      </c>
      <c r="BP42" s="23">
        <v>5.0000000000000001E-3</v>
      </c>
      <c r="BQ42" s="23">
        <v>5.0000000000000001E-3</v>
      </c>
      <c r="BR42" s="23">
        <v>0.45</v>
      </c>
      <c r="BS42">
        <v>0.02</v>
      </c>
      <c r="BT42">
        <v>0.03</v>
      </c>
      <c r="BU42">
        <v>0.03</v>
      </c>
      <c r="BV42">
        <v>0.04</v>
      </c>
    </row>
    <row r="43" spans="1:74" x14ac:dyDescent="0.25">
      <c r="A43" s="24" t="e">
        <f>#REF!-B43</f>
        <v>#REF!</v>
      </c>
      <c r="B43" s="24">
        <v>3.18</v>
      </c>
      <c r="C43" s="138">
        <f t="shared" si="3"/>
        <v>38384</v>
      </c>
      <c r="D43">
        <v>3.57</v>
      </c>
      <c r="E43" s="24">
        <v>0.3125</v>
      </c>
      <c r="F43" s="23">
        <v>4.3189005462617398E-2</v>
      </c>
      <c r="G43" s="23">
        <v>-0.1275</v>
      </c>
      <c r="H43" s="23">
        <v>-0.14749999999999999</v>
      </c>
      <c r="I43" s="27">
        <v>0.01</v>
      </c>
      <c r="J43" s="27">
        <v>-0.13750000000000001</v>
      </c>
      <c r="K43" s="23">
        <v>0.02</v>
      </c>
      <c r="L43" s="23">
        <v>-5.2499999999999998E-2</v>
      </c>
      <c r="M43" s="23">
        <v>-9.7500000000000003E-2</v>
      </c>
      <c r="N43" s="23">
        <v>-0.11749999999999999</v>
      </c>
      <c r="O43" s="23">
        <v>-0.11749999999999999</v>
      </c>
      <c r="P43" s="23">
        <v>-0.1275</v>
      </c>
      <c r="Q43" s="23">
        <v>-8.5000000000000006E-2</v>
      </c>
      <c r="R43" s="23">
        <v>-6.25E-2</v>
      </c>
      <c r="S43" s="23">
        <v>0.14499999999999999</v>
      </c>
      <c r="T43" s="23">
        <v>0.19500000000000001</v>
      </c>
      <c r="U43" s="23">
        <v>0.125</v>
      </c>
      <c r="V43" s="23">
        <v>0.5</v>
      </c>
      <c r="W43" s="23">
        <v>0.23499999999999999</v>
      </c>
      <c r="X43" s="23">
        <v>0.34</v>
      </c>
      <c r="Y43" s="23">
        <v>-2.5000000000000001E-2</v>
      </c>
      <c r="Z43" s="23">
        <v>-3.7499999999999999E-2</v>
      </c>
      <c r="AA43" s="23">
        <v>3.5000000000000001E-3</v>
      </c>
      <c r="AB43" s="23">
        <v>-1.9E-2</v>
      </c>
      <c r="AC43" s="23">
        <v>2.5000000000000001E-3</v>
      </c>
      <c r="AD43" s="23">
        <v>-2.2499999999999999E-2</v>
      </c>
      <c r="AE43" s="23">
        <v>-7.4999999999999997E-2</v>
      </c>
      <c r="AF43" s="23">
        <v>-6.7500000000000004E-2</v>
      </c>
      <c r="AG43" s="23">
        <v>-0.09</v>
      </c>
      <c r="AH43" s="23">
        <v>-1.55E-2</v>
      </c>
      <c r="AI43" s="23">
        <v>-6.7500000000000004E-2</v>
      </c>
      <c r="AJ43" s="23">
        <v>-0.1075</v>
      </c>
      <c r="AK43" s="23">
        <v>-1.2500000000000001E-2</v>
      </c>
      <c r="AL43" s="23">
        <v>2.75E-2</v>
      </c>
      <c r="AM43" s="23">
        <v>1.5349999999999999</v>
      </c>
      <c r="AN43" s="23">
        <v>-3.2500000000000001E-2</v>
      </c>
      <c r="AO43" s="23">
        <v>-0.35</v>
      </c>
      <c r="AP43" s="23">
        <v>-8.5000000000000006E-2</v>
      </c>
      <c r="AQ43" s="23">
        <v>-0.13500000000000001</v>
      </c>
      <c r="AR43" s="23">
        <v>0.248</v>
      </c>
      <c r="AS43" s="23">
        <v>-0.27</v>
      </c>
      <c r="AT43" s="23">
        <v>-0.35</v>
      </c>
      <c r="AU43" s="23">
        <v>0.2</v>
      </c>
      <c r="AV43" s="23">
        <v>-0.35</v>
      </c>
      <c r="AW43" s="23">
        <v>-0.1875</v>
      </c>
      <c r="AX43" s="23">
        <v>-6.7500000000000004E-2</v>
      </c>
      <c r="AY43" s="23">
        <v>-0.1275</v>
      </c>
      <c r="AZ43" s="23">
        <v>-5.2499999999999998E-2</v>
      </c>
      <c r="BA43" s="23">
        <v>-0.113</v>
      </c>
      <c r="BB43" s="23">
        <v>-2.0500000000000001E-2</v>
      </c>
      <c r="BC43" s="23">
        <v>-7.2499999999999995E-2</v>
      </c>
      <c r="BD43" s="23">
        <v>-6.25E-2</v>
      </c>
      <c r="BE43" s="23">
        <v>-7.4999999999999997E-2</v>
      </c>
      <c r="BF43" s="23">
        <v>0.15</v>
      </c>
      <c r="BG43" s="23">
        <v>0.23</v>
      </c>
      <c r="BH43" s="23">
        <v>0.19500000000000001</v>
      </c>
      <c r="BI43" s="23">
        <v>0.14499999999999999</v>
      </c>
      <c r="BJ43" s="23">
        <v>1.04</v>
      </c>
      <c r="BK43" s="23">
        <v>0</v>
      </c>
      <c r="BL43" s="23">
        <v>-2.5000000000000001E-2</v>
      </c>
      <c r="BM43" s="23">
        <v>5.0000000000000001E-3</v>
      </c>
      <c r="BN43" s="23">
        <v>0</v>
      </c>
      <c r="BO43" s="23">
        <v>3.5000000000000003E-2</v>
      </c>
      <c r="BP43" s="23">
        <v>5.0000000000000001E-3</v>
      </c>
      <c r="BQ43" s="23">
        <v>5.0000000000000001E-3</v>
      </c>
      <c r="BR43" s="23">
        <v>0.45</v>
      </c>
      <c r="BS43">
        <v>0.02</v>
      </c>
      <c r="BT43">
        <v>0.03</v>
      </c>
      <c r="BU43">
        <v>0.03</v>
      </c>
      <c r="BV43">
        <v>0.04</v>
      </c>
    </row>
    <row r="44" spans="1:74" x14ac:dyDescent="0.25">
      <c r="A44" s="24" t="e">
        <f>#REF!-B44</f>
        <v>#REF!</v>
      </c>
      <c r="B44" s="24">
        <v>3.17</v>
      </c>
      <c r="C44" s="138">
        <f t="shared" si="3"/>
        <v>38412</v>
      </c>
      <c r="D44">
        <v>3.44</v>
      </c>
      <c r="E44" s="24">
        <v>0.30249999999999999</v>
      </c>
      <c r="F44" s="23">
        <v>4.3668903428556699E-2</v>
      </c>
      <c r="G44" s="23">
        <v>-0.125</v>
      </c>
      <c r="H44" s="23">
        <v>-0.14499999999999999</v>
      </c>
      <c r="I44" s="27">
        <v>-0.01</v>
      </c>
      <c r="J44" s="27">
        <v>-0.13750000000000001</v>
      </c>
      <c r="K44" s="23">
        <v>0</v>
      </c>
      <c r="L44" s="23">
        <v>-5.2499999999999998E-2</v>
      </c>
      <c r="M44" s="23">
        <v>-9.5000000000000001E-2</v>
      </c>
      <c r="N44" s="23">
        <v>-0.115</v>
      </c>
      <c r="O44" s="23">
        <v>-0.115</v>
      </c>
      <c r="P44" s="23">
        <v>-0.125</v>
      </c>
      <c r="Q44" s="23">
        <v>-8.5000000000000006E-2</v>
      </c>
      <c r="R44" s="23">
        <v>-6.25E-2</v>
      </c>
      <c r="S44" s="23">
        <v>0.14499999999999999</v>
      </c>
      <c r="T44" s="23">
        <v>0.19500000000000001</v>
      </c>
      <c r="U44" s="23">
        <v>0.125</v>
      </c>
      <c r="V44" s="23">
        <v>0.5</v>
      </c>
      <c r="W44" s="23">
        <v>0.19500000000000001</v>
      </c>
      <c r="X44" s="23">
        <v>0.28999999999999998</v>
      </c>
      <c r="Y44" s="23">
        <v>-2.5000000000000001E-2</v>
      </c>
      <c r="Z44" s="23">
        <v>-3.7499999999999999E-2</v>
      </c>
      <c r="AA44" s="23">
        <v>3.5000000000000001E-3</v>
      </c>
      <c r="AB44" s="23">
        <v>-1.9E-2</v>
      </c>
      <c r="AC44" s="23">
        <v>2.5000000000000001E-3</v>
      </c>
      <c r="AD44" s="23">
        <v>-2.2499999999999999E-2</v>
      </c>
      <c r="AE44" s="23">
        <v>-7.4999999999999997E-2</v>
      </c>
      <c r="AF44" s="23">
        <v>-6.7500000000000004E-2</v>
      </c>
      <c r="AG44" s="23">
        <v>-0.09</v>
      </c>
      <c r="AH44" s="23">
        <v>-1.55E-2</v>
      </c>
      <c r="AI44" s="23">
        <v>-6.7500000000000004E-2</v>
      </c>
      <c r="AJ44" s="23">
        <v>-0.1075</v>
      </c>
      <c r="AK44" s="23">
        <v>-1.2500000000000001E-2</v>
      </c>
      <c r="AL44" s="23">
        <v>2.75E-2</v>
      </c>
      <c r="AM44" s="23">
        <v>0.63500000000000001</v>
      </c>
      <c r="AN44" s="23">
        <v>-0.02</v>
      </c>
      <c r="AO44" s="23">
        <v>-0.35</v>
      </c>
      <c r="AP44" s="23">
        <v>-8.5000000000000006E-2</v>
      </c>
      <c r="AQ44" s="23">
        <v>-0.13500000000000001</v>
      </c>
      <c r="AR44" s="23">
        <v>6.8000000000000005E-2</v>
      </c>
      <c r="AS44" s="23">
        <v>-0.27</v>
      </c>
      <c r="AT44" s="23">
        <v>-0.35</v>
      </c>
      <c r="AU44" s="23">
        <v>0.2</v>
      </c>
      <c r="AV44" s="23">
        <v>-0.35</v>
      </c>
      <c r="AW44" s="23">
        <v>-0.17749999999999999</v>
      </c>
      <c r="AX44" s="23">
        <v>-6.7500000000000004E-2</v>
      </c>
      <c r="AY44" s="23">
        <v>-0.11749999999999999</v>
      </c>
      <c r="AZ44" s="23">
        <v>-5.2499999999999998E-2</v>
      </c>
      <c r="BA44" s="23">
        <v>-0.113</v>
      </c>
      <c r="BB44" s="23">
        <v>-2.0500000000000001E-2</v>
      </c>
      <c r="BC44" s="23">
        <v>-7.2499999999999995E-2</v>
      </c>
      <c r="BD44" s="23">
        <v>-0.05</v>
      </c>
      <c r="BE44" s="23">
        <v>-7.4999999999999997E-2</v>
      </c>
      <c r="BF44" s="23">
        <v>0.15</v>
      </c>
      <c r="BG44" s="23">
        <v>0.23</v>
      </c>
      <c r="BH44" s="23">
        <v>0.19500000000000001</v>
      </c>
      <c r="BI44" s="23">
        <v>0.14499999999999999</v>
      </c>
      <c r="BJ44" s="23">
        <v>0.54</v>
      </c>
      <c r="BK44" s="23">
        <v>0</v>
      </c>
      <c r="BL44" s="23">
        <v>-0.02</v>
      </c>
      <c r="BM44" s="23">
        <v>5.0000000000000001E-3</v>
      </c>
      <c r="BN44" s="23">
        <v>0</v>
      </c>
      <c r="BO44" s="23">
        <v>3.5000000000000003E-2</v>
      </c>
      <c r="BP44" s="23">
        <v>5.0000000000000001E-3</v>
      </c>
      <c r="BQ44" s="23">
        <v>5.0000000000000001E-3</v>
      </c>
      <c r="BR44" s="23">
        <v>0.1</v>
      </c>
      <c r="BS44">
        <v>0.02</v>
      </c>
      <c r="BT44">
        <v>0.03</v>
      </c>
      <c r="BU44">
        <v>0.03</v>
      </c>
      <c r="BV44">
        <v>0.04</v>
      </c>
    </row>
    <row r="45" spans="1:74" x14ac:dyDescent="0.25">
      <c r="A45" s="24" t="e">
        <f>#REF!-B45</f>
        <v>#REF!</v>
      </c>
      <c r="B45" s="24">
        <v>3.1880000000000002</v>
      </c>
      <c r="C45" s="138">
        <f t="shared" si="3"/>
        <v>38443</v>
      </c>
      <c r="D45">
        <v>3.2549999999999999</v>
      </c>
      <c r="E45" s="24">
        <v>0.29249999999999998</v>
      </c>
      <c r="F45" s="23">
        <v>4.4162985915453798E-2</v>
      </c>
      <c r="G45" s="23">
        <v>-0.13</v>
      </c>
      <c r="H45" s="23">
        <v>-0.15</v>
      </c>
      <c r="I45" s="27">
        <v>-0.09</v>
      </c>
      <c r="J45" s="27">
        <v>-0.13750000000000001</v>
      </c>
      <c r="K45" s="23">
        <v>-0.09</v>
      </c>
      <c r="L45" s="23">
        <v>-6.25E-2</v>
      </c>
      <c r="M45" s="23">
        <v>-0.1</v>
      </c>
      <c r="N45" s="23">
        <v>-0.12</v>
      </c>
      <c r="O45" s="23">
        <v>-0.12</v>
      </c>
      <c r="P45" s="23">
        <v>-0.13</v>
      </c>
      <c r="Q45" s="23">
        <v>-8.7499999999999994E-2</v>
      </c>
      <c r="R45" s="23">
        <v>-7.2499999999999995E-2</v>
      </c>
      <c r="S45" s="23">
        <v>0.115</v>
      </c>
      <c r="T45" s="23">
        <v>0.14499999999999999</v>
      </c>
      <c r="U45" s="23">
        <v>0.04</v>
      </c>
      <c r="V45" s="23">
        <v>0.5</v>
      </c>
      <c r="W45" s="23">
        <v>0.14499999999999999</v>
      </c>
      <c r="X45" s="23">
        <v>0.19500000000000001</v>
      </c>
      <c r="Y45" s="23">
        <v>-2.75E-2</v>
      </c>
      <c r="Z45" s="23">
        <v>-0.05</v>
      </c>
      <c r="AA45" s="23">
        <v>1.0999999999999999E-2</v>
      </c>
      <c r="AB45" s="23">
        <v>-1.15E-2</v>
      </c>
      <c r="AC45" s="23">
        <v>2.5000000000000001E-3</v>
      </c>
      <c r="AD45" s="23">
        <v>-2.2499999999999999E-2</v>
      </c>
      <c r="AE45" s="23">
        <v>-7.2499999999999995E-2</v>
      </c>
      <c r="AF45" s="23">
        <v>-6.5000000000000002E-2</v>
      </c>
      <c r="AG45" s="23">
        <v>-8.7499999999999994E-2</v>
      </c>
      <c r="AH45" s="23">
        <v>-1.55E-2</v>
      </c>
      <c r="AI45" s="23">
        <v>-7.2499999999999995E-2</v>
      </c>
      <c r="AJ45" s="23">
        <v>-0.10249999999999999</v>
      </c>
      <c r="AK45" s="23">
        <v>-1.7500000000000002E-2</v>
      </c>
      <c r="AL45" s="23">
        <v>2.2499999999999999E-2</v>
      </c>
      <c r="AM45" s="23">
        <v>0.38</v>
      </c>
      <c r="AN45" s="23">
        <v>1.7500000000000002E-2</v>
      </c>
      <c r="AO45" s="23">
        <v>-0.5</v>
      </c>
      <c r="AP45" s="23">
        <v>-8.5000000000000006E-2</v>
      </c>
      <c r="AQ45" s="23">
        <v>-0.2</v>
      </c>
      <c r="AR45" s="23">
        <v>-0.25</v>
      </c>
      <c r="AS45" s="23">
        <v>-0.42</v>
      </c>
      <c r="AT45" s="23">
        <v>-0.5</v>
      </c>
      <c r="AU45" s="23">
        <v>0.23</v>
      </c>
      <c r="AV45" s="23">
        <v>-0.5</v>
      </c>
      <c r="AW45" s="23">
        <v>-0.218</v>
      </c>
      <c r="AX45" s="23">
        <v>-6.7500000000000004E-2</v>
      </c>
      <c r="AY45" s="23">
        <v>-0.158</v>
      </c>
      <c r="AZ45" s="23">
        <v>-6.25E-2</v>
      </c>
      <c r="BA45" s="23">
        <v>-0.13550000000000001</v>
      </c>
      <c r="BB45" s="23">
        <v>-2.0500000000000001E-2</v>
      </c>
      <c r="BC45" s="23">
        <v>-6.7500000000000004E-2</v>
      </c>
      <c r="BD45" s="23">
        <v>-1.2500000000000001E-2</v>
      </c>
      <c r="BE45" s="23">
        <v>-7.2499999999999995E-2</v>
      </c>
      <c r="BF45" s="23">
        <v>0.06</v>
      </c>
      <c r="BG45" s="23">
        <v>0.14000000000000001</v>
      </c>
      <c r="BH45" s="23">
        <v>0.14499999999999999</v>
      </c>
      <c r="BI45" s="23">
        <v>0.115</v>
      </c>
      <c r="BJ45" s="23">
        <v>0.36</v>
      </c>
      <c r="BK45" s="23">
        <v>0</v>
      </c>
      <c r="BL45" s="23">
        <v>-1.4999999999999999E-2</v>
      </c>
      <c r="BM45" s="23">
        <v>5.0000000000000001E-3</v>
      </c>
      <c r="BN45" s="23">
        <v>-0.01</v>
      </c>
      <c r="BO45" s="23">
        <v>0.02</v>
      </c>
      <c r="BP45" s="23">
        <v>5.0000000000000001E-3</v>
      </c>
      <c r="BQ45" s="23">
        <v>2.5000000000000001E-3</v>
      </c>
      <c r="BR45" s="23">
        <v>0.02</v>
      </c>
      <c r="BS45">
        <v>5.0000000000000001E-3</v>
      </c>
      <c r="BT45">
        <v>0.03</v>
      </c>
      <c r="BU45">
        <v>0.03</v>
      </c>
      <c r="BV45">
        <v>0.03</v>
      </c>
    </row>
    <row r="46" spans="1:74" x14ac:dyDescent="0.25">
      <c r="A46" s="24" t="e">
        <f>#REF!-B46</f>
        <v>#REF!</v>
      </c>
      <c r="B46" s="24">
        <v>3.3</v>
      </c>
      <c r="C46" s="138">
        <f t="shared" si="3"/>
        <v>38473</v>
      </c>
      <c r="D46">
        <v>3.25</v>
      </c>
      <c r="E46" s="24">
        <v>0.28499999999999998</v>
      </c>
      <c r="F46" s="23">
        <v>4.4608713967775299E-2</v>
      </c>
      <c r="G46" s="23">
        <v>-0.13</v>
      </c>
      <c r="H46" s="23">
        <v>-0.15</v>
      </c>
      <c r="I46" s="27">
        <v>-0.09</v>
      </c>
      <c r="J46" s="27">
        <v>-0.13750000000000001</v>
      </c>
      <c r="K46" s="23">
        <v>-0.09</v>
      </c>
      <c r="L46" s="23">
        <v>-6.25E-2</v>
      </c>
      <c r="M46" s="23">
        <v>-0.1</v>
      </c>
      <c r="N46" s="23">
        <v>-0.12</v>
      </c>
      <c r="O46" s="23">
        <v>-0.12</v>
      </c>
      <c r="P46" s="23">
        <v>-0.13</v>
      </c>
      <c r="Q46" s="23">
        <v>-8.7499999999999994E-2</v>
      </c>
      <c r="R46" s="23">
        <v>-7.2499999999999995E-2</v>
      </c>
      <c r="S46" s="23">
        <v>0.115</v>
      </c>
      <c r="T46" s="23">
        <v>0.14499999999999999</v>
      </c>
      <c r="U46" s="23">
        <v>0.04</v>
      </c>
      <c r="V46" s="23">
        <v>0.5</v>
      </c>
      <c r="W46" s="23">
        <v>0.125</v>
      </c>
      <c r="X46" s="23">
        <v>0.13500000000000001</v>
      </c>
      <c r="Y46" s="23">
        <v>-2.75E-2</v>
      </c>
      <c r="Z46" s="23">
        <v>-0.05</v>
      </c>
      <c r="AA46" s="23">
        <v>1.0999999999999999E-2</v>
      </c>
      <c r="AB46" s="23">
        <v>-1.15E-2</v>
      </c>
      <c r="AC46" s="23">
        <v>2.5000000000000001E-3</v>
      </c>
      <c r="AD46" s="23">
        <v>-2.2499999999999999E-2</v>
      </c>
      <c r="AE46" s="23">
        <v>-7.2499999999999995E-2</v>
      </c>
      <c r="AF46" s="23">
        <v>-6.5000000000000002E-2</v>
      </c>
      <c r="AG46" s="23">
        <v>-8.7499999999999994E-2</v>
      </c>
      <c r="AH46" s="23">
        <v>-1.55E-2</v>
      </c>
      <c r="AI46" s="23">
        <v>-7.2499999999999995E-2</v>
      </c>
      <c r="AJ46" s="23">
        <v>-0.10249999999999999</v>
      </c>
      <c r="AK46" s="23">
        <v>-1.7500000000000002E-2</v>
      </c>
      <c r="AL46" s="23">
        <v>2.2499999999999999E-2</v>
      </c>
      <c r="AM46" s="23">
        <v>0.33</v>
      </c>
      <c r="AN46" s="23">
        <v>1.7500000000000002E-2</v>
      </c>
      <c r="AO46" s="23">
        <v>-0.5</v>
      </c>
      <c r="AP46" s="23">
        <v>-8.5000000000000006E-2</v>
      </c>
      <c r="AQ46" s="23">
        <v>-0.2</v>
      </c>
      <c r="AR46" s="23">
        <v>-0.25</v>
      </c>
      <c r="AS46" s="23">
        <v>-0.42</v>
      </c>
      <c r="AT46" s="23">
        <v>-0.5</v>
      </c>
      <c r="AU46" s="23">
        <v>0.23</v>
      </c>
      <c r="AV46" s="23">
        <v>-0.5</v>
      </c>
      <c r="AW46" s="23">
        <v>-0.19550000000000001</v>
      </c>
      <c r="AX46" s="23">
        <v>-6.7500000000000004E-2</v>
      </c>
      <c r="AY46" s="23">
        <v>-0.13550000000000001</v>
      </c>
      <c r="AZ46" s="23">
        <v>-6.25E-2</v>
      </c>
      <c r="BA46" s="23">
        <v>-0.128</v>
      </c>
      <c r="BB46" s="23">
        <v>-2.0500000000000001E-2</v>
      </c>
      <c r="BC46" s="23">
        <v>-6.7500000000000004E-2</v>
      </c>
      <c r="BD46" s="23">
        <v>-1.2500000000000001E-2</v>
      </c>
      <c r="BE46" s="23">
        <v>-7.2499999999999995E-2</v>
      </c>
      <c r="BF46" s="23">
        <v>0.06</v>
      </c>
      <c r="BG46" s="23">
        <v>0.14000000000000001</v>
      </c>
      <c r="BH46" s="23">
        <v>0.14499999999999999</v>
      </c>
      <c r="BI46" s="23">
        <v>0.115</v>
      </c>
      <c r="BJ46" s="23">
        <v>0.32500000000000001</v>
      </c>
      <c r="BK46" s="23">
        <v>0</v>
      </c>
      <c r="BL46" s="23">
        <v>-1.4999999999999999E-2</v>
      </c>
      <c r="BM46" s="23">
        <v>5.0000000000000001E-3</v>
      </c>
      <c r="BN46" s="23">
        <v>-0.01</v>
      </c>
      <c r="BO46" s="23">
        <v>0.02</v>
      </c>
      <c r="BP46" s="23">
        <v>5.0000000000000001E-3</v>
      </c>
      <c r="BQ46" s="23">
        <v>2.5000000000000001E-3</v>
      </c>
      <c r="BR46" s="23">
        <v>0.02</v>
      </c>
      <c r="BS46">
        <v>5.0000000000000001E-3</v>
      </c>
      <c r="BT46">
        <v>0.03</v>
      </c>
      <c r="BU46">
        <v>0.03</v>
      </c>
      <c r="BV46">
        <v>0.03</v>
      </c>
    </row>
    <row r="47" spans="1:74" x14ac:dyDescent="0.25">
      <c r="A47" s="24" t="e">
        <f>#REF!-B47</f>
        <v>#REF!</v>
      </c>
      <c r="B47" s="24">
        <v>3.4090000000000003</v>
      </c>
      <c r="C47" s="138">
        <f t="shared" si="3"/>
        <v>38504</v>
      </c>
      <c r="D47">
        <v>3.2850000000000001</v>
      </c>
      <c r="E47" s="24">
        <v>0.28499999999999998</v>
      </c>
      <c r="F47" s="23">
        <v>4.5069299691712597E-2</v>
      </c>
      <c r="G47" s="23">
        <v>-0.13</v>
      </c>
      <c r="H47" s="23">
        <v>-0.15</v>
      </c>
      <c r="I47" s="27">
        <v>-0.09</v>
      </c>
      <c r="J47" s="27">
        <v>-0.13750000000000001</v>
      </c>
      <c r="K47" s="23">
        <v>-0.09</v>
      </c>
      <c r="L47" s="23">
        <v>-6.25E-2</v>
      </c>
      <c r="M47" s="23">
        <v>-0.1</v>
      </c>
      <c r="N47" s="23">
        <v>-0.12</v>
      </c>
      <c r="O47" s="23">
        <v>-0.12</v>
      </c>
      <c r="P47" s="23">
        <v>-0.13</v>
      </c>
      <c r="Q47" s="23">
        <v>-8.7499999999999994E-2</v>
      </c>
      <c r="R47" s="23">
        <v>-7.2499999999999995E-2</v>
      </c>
      <c r="S47" s="23">
        <v>0.115</v>
      </c>
      <c r="T47" s="23">
        <v>0.14499999999999999</v>
      </c>
      <c r="U47" s="23">
        <v>0.04</v>
      </c>
      <c r="V47" s="23">
        <v>0.5</v>
      </c>
      <c r="W47" s="23">
        <v>0.14499999999999999</v>
      </c>
      <c r="X47" s="23">
        <v>0.16500000000000001</v>
      </c>
      <c r="Y47" s="23">
        <v>-2.75E-2</v>
      </c>
      <c r="Z47" s="23">
        <v>-4.7500000000000001E-2</v>
      </c>
      <c r="AA47" s="23">
        <v>1.35E-2</v>
      </c>
      <c r="AB47" s="23">
        <v>-8.9999999999999993E-3</v>
      </c>
      <c r="AC47" s="23">
        <v>2.5000000000000001E-3</v>
      </c>
      <c r="AD47" s="23">
        <v>-2.2499999999999999E-2</v>
      </c>
      <c r="AE47" s="23">
        <v>-7.2499999999999995E-2</v>
      </c>
      <c r="AF47" s="23">
        <v>-6.5000000000000002E-2</v>
      </c>
      <c r="AG47" s="23">
        <v>-8.7499999999999994E-2</v>
      </c>
      <c r="AH47" s="23">
        <v>-1.55E-2</v>
      </c>
      <c r="AI47" s="23">
        <v>-7.2499999999999995E-2</v>
      </c>
      <c r="AJ47" s="23">
        <v>-0.10249999999999999</v>
      </c>
      <c r="AK47" s="23">
        <v>-1.7500000000000002E-2</v>
      </c>
      <c r="AL47" s="23">
        <v>2.2499999999999999E-2</v>
      </c>
      <c r="AM47" s="23">
        <v>0.37</v>
      </c>
      <c r="AN47" s="23">
        <v>2.2499999999999999E-2</v>
      </c>
      <c r="AO47" s="23">
        <v>-0.5</v>
      </c>
      <c r="AP47" s="23">
        <v>-8.5000000000000006E-2</v>
      </c>
      <c r="AQ47" s="23">
        <v>-0.2</v>
      </c>
      <c r="AR47" s="23">
        <v>-0.25</v>
      </c>
      <c r="AS47" s="23">
        <v>-0.42</v>
      </c>
      <c r="AT47" s="23">
        <v>-0.5</v>
      </c>
      <c r="AU47" s="23">
        <v>0.23</v>
      </c>
      <c r="AV47" s="23">
        <v>-0.5</v>
      </c>
      <c r="AW47" s="23">
        <v>-0.14299999999999999</v>
      </c>
      <c r="AX47" s="23">
        <v>-6.7500000000000004E-2</v>
      </c>
      <c r="AY47" s="23">
        <v>-8.3000000000000004E-2</v>
      </c>
      <c r="AZ47" s="23">
        <v>-6.25E-2</v>
      </c>
      <c r="BA47" s="23">
        <v>-8.5500000000000007E-2</v>
      </c>
      <c r="BB47" s="23">
        <v>-2.0500000000000001E-2</v>
      </c>
      <c r="BC47" s="23">
        <v>-6.7500000000000004E-2</v>
      </c>
      <c r="BD47" s="23">
        <v>-7.4999999999999997E-3</v>
      </c>
      <c r="BE47" s="23">
        <v>-7.2499999999999995E-2</v>
      </c>
      <c r="BF47" s="23">
        <v>0.06</v>
      </c>
      <c r="BG47" s="23">
        <v>0.14000000000000001</v>
      </c>
      <c r="BH47" s="23">
        <v>0.14499999999999999</v>
      </c>
      <c r="BI47" s="23">
        <v>0.115</v>
      </c>
      <c r="BJ47" s="23">
        <v>0.33500000000000002</v>
      </c>
      <c r="BK47" s="23">
        <v>0</v>
      </c>
      <c r="BL47" s="23">
        <v>-1.4999999999999999E-2</v>
      </c>
      <c r="BM47" s="23">
        <v>5.0000000000000001E-3</v>
      </c>
      <c r="BN47" s="23">
        <v>-0.01</v>
      </c>
      <c r="BO47" s="23">
        <v>0.02</v>
      </c>
      <c r="BP47" s="23">
        <v>5.0000000000000001E-3</v>
      </c>
      <c r="BQ47" s="23">
        <v>2.5000000000000001E-3</v>
      </c>
      <c r="BR47" s="23">
        <v>3.5000000000000003E-2</v>
      </c>
      <c r="BS47">
        <v>5.0000000000000001E-3</v>
      </c>
      <c r="BT47">
        <v>0.03</v>
      </c>
      <c r="BU47">
        <v>0.03</v>
      </c>
      <c r="BV47">
        <v>0.03</v>
      </c>
    </row>
    <row r="48" spans="1:74" x14ac:dyDescent="0.25">
      <c r="A48" s="24" t="e">
        <f>#REF!-B48</f>
        <v>#REF!</v>
      </c>
      <c r="B48" s="24">
        <v>3.5449999999999999</v>
      </c>
      <c r="C48" s="138">
        <f t="shared" si="3"/>
        <v>38534</v>
      </c>
      <c r="D48">
        <v>3.3250000000000002</v>
      </c>
      <c r="E48" s="24">
        <v>0.28000000000000003</v>
      </c>
      <c r="F48" s="23">
        <v>4.54931128840683E-2</v>
      </c>
      <c r="G48" s="23">
        <v>-0.13</v>
      </c>
      <c r="H48" s="23">
        <v>-0.15</v>
      </c>
      <c r="I48" s="27">
        <v>-0.09</v>
      </c>
      <c r="J48" s="27">
        <v>-0.13750000000000001</v>
      </c>
      <c r="K48" s="23">
        <v>-0.09</v>
      </c>
      <c r="L48" s="23">
        <v>-6.25E-2</v>
      </c>
      <c r="M48" s="23">
        <v>-0.1</v>
      </c>
      <c r="N48" s="23">
        <v>-0.12</v>
      </c>
      <c r="O48" s="23">
        <v>-0.12</v>
      </c>
      <c r="P48" s="23">
        <v>-0.13</v>
      </c>
      <c r="Q48" s="23">
        <v>-8.7499999999999994E-2</v>
      </c>
      <c r="R48" s="23">
        <v>-7.2499999999999995E-2</v>
      </c>
      <c r="S48" s="23">
        <v>0.115</v>
      </c>
      <c r="T48" s="23">
        <v>0.14499999999999999</v>
      </c>
      <c r="U48" s="23">
        <v>0.04</v>
      </c>
      <c r="V48" s="23">
        <v>0.5</v>
      </c>
      <c r="W48" s="23">
        <v>0.15</v>
      </c>
      <c r="X48" s="23">
        <v>0.20499999999999999</v>
      </c>
      <c r="Y48" s="23">
        <v>-2.75E-2</v>
      </c>
      <c r="Z48" s="23">
        <v>-4.7500000000000001E-2</v>
      </c>
      <c r="AA48" s="23">
        <v>1.35E-2</v>
      </c>
      <c r="AB48" s="23">
        <v>-8.9999999999999993E-3</v>
      </c>
      <c r="AC48" s="23">
        <v>2.5000000000000001E-3</v>
      </c>
      <c r="AD48" s="23">
        <v>-2.2499999999999999E-2</v>
      </c>
      <c r="AE48" s="23">
        <v>-7.2499999999999995E-2</v>
      </c>
      <c r="AF48" s="23">
        <v>-6.5000000000000002E-2</v>
      </c>
      <c r="AG48" s="23">
        <v>-8.7499999999999994E-2</v>
      </c>
      <c r="AH48" s="23">
        <v>-1.55E-2</v>
      </c>
      <c r="AI48" s="23">
        <v>-7.2499999999999995E-2</v>
      </c>
      <c r="AJ48" s="23">
        <v>-0.10249999999999999</v>
      </c>
      <c r="AK48" s="23">
        <v>-1.7500000000000002E-2</v>
      </c>
      <c r="AL48" s="23">
        <v>2.2499999999999999E-2</v>
      </c>
      <c r="AM48" s="23">
        <v>0.41</v>
      </c>
      <c r="AN48" s="23">
        <v>2.5000000000000001E-2</v>
      </c>
      <c r="AO48" s="23">
        <v>-0.5</v>
      </c>
      <c r="AP48" s="23">
        <v>-8.5000000000000006E-2</v>
      </c>
      <c r="AQ48" s="23">
        <v>-0.2</v>
      </c>
      <c r="AR48" s="23">
        <v>-0.25</v>
      </c>
      <c r="AS48" s="23">
        <v>-0.42</v>
      </c>
      <c r="AT48" s="23">
        <v>-0.5</v>
      </c>
      <c r="AU48" s="23">
        <v>0.23</v>
      </c>
      <c r="AV48" s="23">
        <v>-0.5</v>
      </c>
      <c r="AW48" s="23">
        <v>-0.153</v>
      </c>
      <c r="AX48" s="23">
        <v>-6.7500000000000004E-2</v>
      </c>
      <c r="AY48" s="23">
        <v>-9.2999999999999999E-2</v>
      </c>
      <c r="AZ48" s="23">
        <v>-6.25E-2</v>
      </c>
      <c r="BA48" s="23">
        <v>-8.3000000000000004E-2</v>
      </c>
      <c r="BB48" s="23">
        <v>-2.0500000000000001E-2</v>
      </c>
      <c r="BC48" s="23">
        <v>-6.7500000000000004E-2</v>
      </c>
      <c r="BD48" s="23">
        <v>-5.0000000000000001E-3</v>
      </c>
      <c r="BE48" s="23">
        <v>-7.2499999999999995E-2</v>
      </c>
      <c r="BF48" s="23">
        <v>0.06</v>
      </c>
      <c r="BG48" s="23">
        <v>0.14000000000000001</v>
      </c>
      <c r="BH48" s="23">
        <v>0.14499999999999999</v>
      </c>
      <c r="BI48" s="23">
        <v>0.115</v>
      </c>
      <c r="BJ48" s="23">
        <v>0.35</v>
      </c>
      <c r="BK48" s="23">
        <v>0</v>
      </c>
      <c r="BL48" s="23">
        <v>-0.01</v>
      </c>
      <c r="BM48" s="23">
        <v>5.0000000000000001E-3</v>
      </c>
      <c r="BN48" s="23">
        <v>-0.01</v>
      </c>
      <c r="BO48" s="23">
        <v>0.02</v>
      </c>
      <c r="BP48" s="23">
        <v>5.0000000000000001E-3</v>
      </c>
      <c r="BQ48" s="23">
        <v>2.5000000000000001E-3</v>
      </c>
      <c r="BR48" s="23">
        <v>3.5000000000000003E-2</v>
      </c>
      <c r="BS48">
        <v>5.0000000000000001E-3</v>
      </c>
      <c r="BT48">
        <v>0.03</v>
      </c>
      <c r="BU48">
        <v>0.03</v>
      </c>
      <c r="BV48">
        <v>0.03</v>
      </c>
    </row>
    <row r="49" spans="1:74" x14ac:dyDescent="0.25">
      <c r="A49" s="24" t="e">
        <f>#REF!-B49</f>
        <v>#REF!</v>
      </c>
      <c r="B49" s="24">
        <v>3.4220000000000002</v>
      </c>
      <c r="C49" s="138">
        <f t="shared" si="3"/>
        <v>38565</v>
      </c>
      <c r="D49">
        <v>3.3650000000000002</v>
      </c>
      <c r="E49" s="24">
        <v>0.28000000000000003</v>
      </c>
      <c r="F49" s="23">
        <v>4.5909969215756997E-2</v>
      </c>
      <c r="G49" s="23">
        <v>-0.13</v>
      </c>
      <c r="H49" s="23">
        <v>-0.15</v>
      </c>
      <c r="I49" s="27">
        <v>-0.09</v>
      </c>
      <c r="J49" s="27">
        <v>-0.13750000000000001</v>
      </c>
      <c r="K49" s="23">
        <v>-0.09</v>
      </c>
      <c r="L49" s="23">
        <v>-6.25E-2</v>
      </c>
      <c r="M49" s="23">
        <v>-0.1</v>
      </c>
      <c r="N49" s="23">
        <v>-0.12</v>
      </c>
      <c r="O49" s="23">
        <v>-0.12</v>
      </c>
      <c r="P49" s="23">
        <v>-0.13</v>
      </c>
      <c r="Q49" s="23">
        <v>-8.7499999999999994E-2</v>
      </c>
      <c r="R49" s="23">
        <v>-7.2499999999999995E-2</v>
      </c>
      <c r="S49" s="23">
        <v>0.115</v>
      </c>
      <c r="T49" s="23">
        <v>0.14499999999999999</v>
      </c>
      <c r="U49" s="23">
        <v>0.04</v>
      </c>
      <c r="V49" s="23">
        <v>0.5</v>
      </c>
      <c r="W49" s="23">
        <v>0.15</v>
      </c>
      <c r="X49" s="23">
        <v>0.20499999999999999</v>
      </c>
      <c r="Y49" s="23">
        <v>-2.75E-2</v>
      </c>
      <c r="Z49" s="23">
        <v>-4.7500000000000001E-2</v>
      </c>
      <c r="AA49" s="23">
        <v>1.35E-2</v>
      </c>
      <c r="AB49" s="23">
        <v>-8.9999999999999993E-3</v>
      </c>
      <c r="AC49" s="23">
        <v>2.5000000000000001E-3</v>
      </c>
      <c r="AD49" s="23">
        <v>-2.2499999999999999E-2</v>
      </c>
      <c r="AE49" s="23">
        <v>-7.2499999999999995E-2</v>
      </c>
      <c r="AF49" s="23">
        <v>-6.5000000000000002E-2</v>
      </c>
      <c r="AG49" s="23">
        <v>-8.7499999999999994E-2</v>
      </c>
      <c r="AH49" s="23">
        <v>-1.55E-2</v>
      </c>
      <c r="AI49" s="23">
        <v>-7.2499999999999995E-2</v>
      </c>
      <c r="AJ49" s="23">
        <v>-0.10249999999999999</v>
      </c>
      <c r="AK49" s="23">
        <v>-1.7500000000000002E-2</v>
      </c>
      <c r="AL49" s="23">
        <v>2.2499999999999999E-2</v>
      </c>
      <c r="AM49" s="23">
        <v>0.41</v>
      </c>
      <c r="AN49" s="23">
        <v>2.75E-2</v>
      </c>
      <c r="AO49" s="23">
        <v>-0.5</v>
      </c>
      <c r="AP49" s="23">
        <v>-8.5000000000000006E-2</v>
      </c>
      <c r="AQ49" s="23">
        <v>-0.2</v>
      </c>
      <c r="AR49" s="23">
        <v>-0.25</v>
      </c>
      <c r="AS49" s="23">
        <v>-0.42</v>
      </c>
      <c r="AT49" s="23">
        <v>-0.5</v>
      </c>
      <c r="AU49" s="23">
        <v>0.23</v>
      </c>
      <c r="AV49" s="23">
        <v>-0.5</v>
      </c>
      <c r="AW49" s="23">
        <v>-0.14799999999999999</v>
      </c>
      <c r="AX49" s="23">
        <v>-6.7500000000000004E-2</v>
      </c>
      <c r="AY49" s="23">
        <v>-8.7999999999999995E-2</v>
      </c>
      <c r="AZ49" s="23">
        <v>-6.25E-2</v>
      </c>
      <c r="BA49" s="23">
        <v>-8.0500000000000002E-2</v>
      </c>
      <c r="BB49" s="23">
        <v>-2.0500000000000001E-2</v>
      </c>
      <c r="BC49" s="23">
        <v>-6.7500000000000004E-2</v>
      </c>
      <c r="BD49" s="23">
        <v>-2.5000000000000001E-3</v>
      </c>
      <c r="BE49" s="23">
        <v>-7.2499999999999995E-2</v>
      </c>
      <c r="BF49" s="23">
        <v>0.06</v>
      </c>
      <c r="BG49" s="23">
        <v>0.14000000000000001</v>
      </c>
      <c r="BH49" s="23">
        <v>0.14499999999999999</v>
      </c>
      <c r="BI49" s="23">
        <v>0.115</v>
      </c>
      <c r="BJ49" s="23">
        <v>0.35</v>
      </c>
      <c r="BK49" s="23">
        <v>0</v>
      </c>
      <c r="BL49" s="23">
        <v>-0.01</v>
      </c>
      <c r="BM49" s="23">
        <v>5.0000000000000001E-3</v>
      </c>
      <c r="BN49" s="23">
        <v>-0.01</v>
      </c>
      <c r="BO49" s="23">
        <v>0.02</v>
      </c>
      <c r="BP49" s="23">
        <v>5.0000000000000001E-3</v>
      </c>
      <c r="BQ49" s="23">
        <v>2.5000000000000001E-3</v>
      </c>
      <c r="BR49" s="23">
        <v>0.01</v>
      </c>
      <c r="BS49">
        <v>5.0000000000000001E-3</v>
      </c>
      <c r="BT49">
        <v>0.03</v>
      </c>
      <c r="BU49">
        <v>0.03</v>
      </c>
      <c r="BV49">
        <v>0.03</v>
      </c>
    </row>
    <row r="50" spans="1:74" x14ac:dyDescent="0.25">
      <c r="A50" s="24" t="e">
        <f>#REF!-B50</f>
        <v>#REF!</v>
      </c>
      <c r="B50" s="24">
        <v>3.2669999999999999</v>
      </c>
      <c r="C50" s="138">
        <f t="shared" si="3"/>
        <v>38596</v>
      </c>
      <c r="D50">
        <v>3.36</v>
      </c>
      <c r="E50" s="24">
        <v>0.28000000000000003</v>
      </c>
      <c r="F50" s="23">
        <v>4.6326825605579998E-2</v>
      </c>
      <c r="G50" s="23">
        <v>-0.13</v>
      </c>
      <c r="H50" s="23">
        <v>-0.15</v>
      </c>
      <c r="I50" s="27">
        <v>-0.09</v>
      </c>
      <c r="J50" s="27">
        <v>-0.13750000000000001</v>
      </c>
      <c r="K50" s="23">
        <v>-0.09</v>
      </c>
      <c r="L50" s="23">
        <v>-6.25E-2</v>
      </c>
      <c r="M50" s="23">
        <v>-0.1</v>
      </c>
      <c r="N50" s="23">
        <v>-0.12</v>
      </c>
      <c r="O50" s="23">
        <v>-0.12</v>
      </c>
      <c r="P50" s="23">
        <v>-0.13</v>
      </c>
      <c r="Q50" s="23">
        <v>-8.7499999999999994E-2</v>
      </c>
      <c r="R50" s="23">
        <v>-7.2499999999999995E-2</v>
      </c>
      <c r="S50" s="23">
        <v>0.115</v>
      </c>
      <c r="T50" s="23">
        <v>0.14499999999999999</v>
      </c>
      <c r="U50" s="23">
        <v>0.04</v>
      </c>
      <c r="V50" s="23">
        <v>0.5</v>
      </c>
      <c r="W50" s="23">
        <v>0.125</v>
      </c>
      <c r="X50" s="23">
        <v>0.14499999999999999</v>
      </c>
      <c r="Y50" s="23">
        <v>-2.75E-2</v>
      </c>
      <c r="Z50" s="23">
        <v>-5.2499999999999998E-2</v>
      </c>
      <c r="AA50" s="23">
        <v>8.5000000000000006E-3</v>
      </c>
      <c r="AB50" s="23">
        <v>-1.4E-2</v>
      </c>
      <c r="AC50" s="23">
        <v>2.5000000000000001E-3</v>
      </c>
      <c r="AD50" s="23">
        <v>-2.2499999999999999E-2</v>
      </c>
      <c r="AE50" s="23">
        <v>-7.2499999999999995E-2</v>
      </c>
      <c r="AF50" s="23">
        <v>-6.5000000000000002E-2</v>
      </c>
      <c r="AG50" s="23">
        <v>-8.7499999999999994E-2</v>
      </c>
      <c r="AH50" s="23">
        <v>-1.55E-2</v>
      </c>
      <c r="AI50" s="23">
        <v>-7.2499999999999995E-2</v>
      </c>
      <c r="AJ50" s="23">
        <v>-0.10249999999999999</v>
      </c>
      <c r="AK50" s="23">
        <v>-1.7500000000000002E-2</v>
      </c>
      <c r="AL50" s="23">
        <v>2.2499999999999999E-2</v>
      </c>
      <c r="AM50" s="23">
        <v>0.36</v>
      </c>
      <c r="AN50" s="23">
        <v>0.02</v>
      </c>
      <c r="AO50" s="23">
        <v>-0.5</v>
      </c>
      <c r="AP50" s="23">
        <v>-8.5000000000000006E-2</v>
      </c>
      <c r="AQ50" s="23">
        <v>-0.2</v>
      </c>
      <c r="AR50" s="23">
        <v>-0.25</v>
      </c>
      <c r="AS50" s="23">
        <v>-0.42</v>
      </c>
      <c r="AT50" s="23">
        <v>-0.5</v>
      </c>
      <c r="AU50" s="23">
        <v>0.23</v>
      </c>
      <c r="AV50" s="23">
        <v>-0.5</v>
      </c>
      <c r="AW50" s="23">
        <v>-0.158</v>
      </c>
      <c r="AX50" s="23">
        <v>-6.7500000000000004E-2</v>
      </c>
      <c r="AY50" s="23">
        <v>-9.8000000000000004E-2</v>
      </c>
      <c r="AZ50" s="23">
        <v>-6.25E-2</v>
      </c>
      <c r="BA50" s="23">
        <v>-8.5500000000000007E-2</v>
      </c>
      <c r="BB50" s="23">
        <v>-2.0500000000000001E-2</v>
      </c>
      <c r="BC50" s="23">
        <v>-6.7500000000000004E-2</v>
      </c>
      <c r="BD50" s="23">
        <v>-0.01</v>
      </c>
      <c r="BE50" s="23">
        <v>-7.2499999999999995E-2</v>
      </c>
      <c r="BF50" s="23">
        <v>0.06</v>
      </c>
      <c r="BG50" s="23">
        <v>0.14000000000000001</v>
      </c>
      <c r="BH50" s="23">
        <v>0.14499999999999999</v>
      </c>
      <c r="BI50" s="23">
        <v>0.115</v>
      </c>
      <c r="BJ50" s="23">
        <v>0.315</v>
      </c>
      <c r="BK50" s="23">
        <v>0</v>
      </c>
      <c r="BL50" s="23">
        <v>-0.01</v>
      </c>
      <c r="BM50" s="23">
        <v>5.0000000000000001E-3</v>
      </c>
      <c r="BN50" s="23">
        <v>-0.01</v>
      </c>
      <c r="BO50" s="23">
        <v>0.02</v>
      </c>
      <c r="BP50" s="23">
        <v>5.0000000000000001E-3</v>
      </c>
      <c r="BQ50" s="23">
        <v>2.5000000000000001E-3</v>
      </c>
      <c r="BR50" s="23">
        <v>0.01</v>
      </c>
      <c r="BS50">
        <v>5.0000000000000001E-3</v>
      </c>
      <c r="BT50">
        <v>0.03</v>
      </c>
      <c r="BU50">
        <v>0.03</v>
      </c>
      <c r="BV50">
        <v>0.03</v>
      </c>
    </row>
    <row r="51" spans="1:74" x14ac:dyDescent="0.25">
      <c r="A51" s="24" t="e">
        <f>#REF!-B51</f>
        <v>#REF!</v>
      </c>
      <c r="B51" s="24">
        <v>3.1150000000000002</v>
      </c>
      <c r="C51" s="138">
        <f t="shared" si="3"/>
        <v>38626</v>
      </c>
      <c r="D51">
        <v>3.3849999999999998</v>
      </c>
      <c r="E51" s="24">
        <v>0.28000000000000003</v>
      </c>
      <c r="F51" s="23">
        <v>4.6716549265346498E-2</v>
      </c>
      <c r="G51" s="23">
        <v>-0.13</v>
      </c>
      <c r="H51" s="23">
        <v>-0.15</v>
      </c>
      <c r="I51" s="27">
        <v>-0.09</v>
      </c>
      <c r="J51" s="27">
        <v>-0.13750000000000001</v>
      </c>
      <c r="K51" s="23">
        <v>-0.09</v>
      </c>
      <c r="L51" s="23">
        <v>-6.25E-2</v>
      </c>
      <c r="M51" s="23">
        <v>-0.1</v>
      </c>
      <c r="N51" s="23">
        <v>-0.12</v>
      </c>
      <c r="O51" s="23">
        <v>-0.12</v>
      </c>
      <c r="P51" s="23">
        <v>-0.13</v>
      </c>
      <c r="Q51" s="23">
        <v>-8.7499999999999994E-2</v>
      </c>
      <c r="R51" s="23">
        <v>-7.2499999999999995E-2</v>
      </c>
      <c r="S51" s="23">
        <v>0.115</v>
      </c>
      <c r="T51" s="23">
        <v>0.14499999999999999</v>
      </c>
      <c r="U51" s="23">
        <v>0.04</v>
      </c>
      <c r="V51" s="23">
        <v>0.5</v>
      </c>
      <c r="W51" s="23">
        <v>0.14499999999999999</v>
      </c>
      <c r="X51" s="23">
        <v>0.17499999999999999</v>
      </c>
      <c r="Y51" s="23">
        <v>-2.75E-2</v>
      </c>
      <c r="Z51" s="23">
        <v>-5.2499999999999998E-2</v>
      </c>
      <c r="AA51" s="23">
        <v>8.5000000000000006E-3</v>
      </c>
      <c r="AB51" s="23">
        <v>-1.4E-2</v>
      </c>
      <c r="AC51" s="23">
        <v>2.5000000000000001E-3</v>
      </c>
      <c r="AD51" s="23">
        <v>-2.2499999999999999E-2</v>
      </c>
      <c r="AE51" s="23">
        <v>-7.2499999999999995E-2</v>
      </c>
      <c r="AF51" s="23">
        <v>-6.5000000000000002E-2</v>
      </c>
      <c r="AG51" s="23">
        <v>-8.7499999999999994E-2</v>
      </c>
      <c r="AH51" s="23">
        <v>-1.55E-2</v>
      </c>
      <c r="AI51" s="23">
        <v>-7.2499999999999995E-2</v>
      </c>
      <c r="AJ51" s="23">
        <v>-0.10249999999999999</v>
      </c>
      <c r="AK51" s="23">
        <v>-1.7500000000000002E-2</v>
      </c>
      <c r="AL51" s="23">
        <v>2.2499999999999999E-2</v>
      </c>
      <c r="AM51" s="23">
        <v>0.4</v>
      </c>
      <c r="AN51" s="23">
        <v>0.01</v>
      </c>
      <c r="AO51" s="23">
        <v>-0.5</v>
      </c>
      <c r="AP51" s="23">
        <v>-8.5000000000000006E-2</v>
      </c>
      <c r="AQ51" s="23">
        <v>-0.2</v>
      </c>
      <c r="AR51" s="23">
        <v>-0.25</v>
      </c>
      <c r="AS51" s="23">
        <v>-0.42</v>
      </c>
      <c r="AT51" s="23">
        <v>-0.5</v>
      </c>
      <c r="AU51" s="23">
        <v>0.23</v>
      </c>
      <c r="AV51" s="23">
        <v>-0.5</v>
      </c>
      <c r="AW51" s="23">
        <v>-0.14549999999999999</v>
      </c>
      <c r="AX51" s="23">
        <v>-6.7500000000000004E-2</v>
      </c>
      <c r="AY51" s="23">
        <v>-8.5500000000000007E-2</v>
      </c>
      <c r="AZ51" s="23">
        <v>-6.25E-2</v>
      </c>
      <c r="BA51" s="23">
        <v>-8.7999999999999995E-2</v>
      </c>
      <c r="BB51" s="23">
        <v>-2.0500000000000001E-2</v>
      </c>
      <c r="BC51" s="23">
        <v>-6.7500000000000004E-2</v>
      </c>
      <c r="BD51" s="23">
        <v>-0.02</v>
      </c>
      <c r="BE51" s="23">
        <v>-7.2499999999999995E-2</v>
      </c>
      <c r="BF51" s="23">
        <v>0.06</v>
      </c>
      <c r="BG51" s="23">
        <v>0.14000000000000001</v>
      </c>
      <c r="BH51" s="23">
        <v>0.14499999999999999</v>
      </c>
      <c r="BI51" s="23">
        <v>0.115</v>
      </c>
      <c r="BJ51" s="23">
        <v>0.36</v>
      </c>
      <c r="BK51" s="23">
        <v>0</v>
      </c>
      <c r="BL51" s="23">
        <v>-1.4999999999999999E-2</v>
      </c>
      <c r="BM51" s="23">
        <v>5.0000000000000001E-3</v>
      </c>
      <c r="BN51" s="23">
        <v>-0.01</v>
      </c>
      <c r="BO51" s="23">
        <v>0.02</v>
      </c>
      <c r="BP51" s="23">
        <v>5.0000000000000001E-3</v>
      </c>
      <c r="BQ51" s="23">
        <v>2.5000000000000001E-3</v>
      </c>
      <c r="BR51" s="23">
        <v>0.01</v>
      </c>
      <c r="BS51">
        <v>5.0000000000000001E-3</v>
      </c>
      <c r="BT51">
        <v>0.03</v>
      </c>
      <c r="BU51">
        <v>0.03</v>
      </c>
      <c r="BV51">
        <v>0.03</v>
      </c>
    </row>
    <row r="52" spans="1:74" x14ac:dyDescent="0.25">
      <c r="A52" s="24" t="e">
        <f>#REF!-B52</f>
        <v>#REF!</v>
      </c>
      <c r="B52" s="24">
        <v>3.0880000000000001</v>
      </c>
      <c r="C52" s="138">
        <f t="shared" si="3"/>
        <v>38657</v>
      </c>
      <c r="D52">
        <v>3.5369999999999999</v>
      </c>
      <c r="E52" s="24">
        <v>0.28000000000000003</v>
      </c>
      <c r="F52" s="23">
        <v>4.70928800068173E-2</v>
      </c>
      <c r="G52" s="23">
        <v>-0.13</v>
      </c>
      <c r="H52" s="23">
        <v>-0.15</v>
      </c>
      <c r="I52" s="27">
        <v>-0.01</v>
      </c>
      <c r="J52" s="27">
        <v>-0.13750000000000001</v>
      </c>
      <c r="K52" s="23">
        <v>0</v>
      </c>
      <c r="L52" s="23">
        <v>-0.06</v>
      </c>
      <c r="M52" s="23">
        <v>-0.1</v>
      </c>
      <c r="N52" s="23">
        <v>-0.12</v>
      </c>
      <c r="O52" s="23">
        <v>-0.12</v>
      </c>
      <c r="P52" s="23">
        <v>-0.13</v>
      </c>
      <c r="Q52" s="23">
        <v>-9.2499999999999999E-2</v>
      </c>
      <c r="R52" s="23">
        <v>-7.0000000000000007E-2</v>
      </c>
      <c r="S52" s="23">
        <v>0.155</v>
      </c>
      <c r="T52" s="23">
        <v>0.20499999999999999</v>
      </c>
      <c r="U52" s="23">
        <v>0.125</v>
      </c>
      <c r="V52" s="23">
        <v>0.5</v>
      </c>
      <c r="W52" s="23">
        <v>0.19500000000000001</v>
      </c>
      <c r="X52" s="23">
        <v>0.21</v>
      </c>
      <c r="Y52" s="23">
        <v>-2.5000000000000001E-2</v>
      </c>
      <c r="Z52" s="23">
        <v>-3.7499999999999999E-2</v>
      </c>
      <c r="AA52" s="23">
        <v>3.5000000000000001E-3</v>
      </c>
      <c r="AB52" s="23">
        <v>-1.9E-2</v>
      </c>
      <c r="AC52" s="23">
        <v>2.5000000000000001E-3</v>
      </c>
      <c r="AD52" s="23">
        <v>-2.2499999999999999E-2</v>
      </c>
      <c r="AE52" s="23">
        <v>-7.4999999999999997E-2</v>
      </c>
      <c r="AF52" s="23">
        <v>-6.7500000000000004E-2</v>
      </c>
      <c r="AG52" s="23">
        <v>-0.09</v>
      </c>
      <c r="AH52" s="23">
        <v>-1.7000000000000001E-2</v>
      </c>
      <c r="AI52" s="23">
        <v>-6.6500000000000004E-2</v>
      </c>
      <c r="AJ52" s="23">
        <v>-0.115</v>
      </c>
      <c r="AK52" s="23">
        <v>-1.15E-2</v>
      </c>
      <c r="AL52" s="23">
        <v>2.8500000000000001E-2</v>
      </c>
      <c r="AM52" s="23">
        <v>0.65</v>
      </c>
      <c r="AN52" s="23">
        <v>-2.2499999999999999E-2</v>
      </c>
      <c r="AO52" s="23">
        <v>-0.34</v>
      </c>
      <c r="AP52" s="23">
        <v>-8.5000000000000006E-2</v>
      </c>
      <c r="AQ52" s="23">
        <v>-0.13</v>
      </c>
      <c r="AR52" s="23">
        <v>0.248</v>
      </c>
      <c r="AS52" s="23">
        <v>-0.26</v>
      </c>
      <c r="AT52" s="23">
        <v>-0.34</v>
      </c>
      <c r="AU52" s="23">
        <v>0.24</v>
      </c>
      <c r="AV52" s="23">
        <v>-0.34</v>
      </c>
      <c r="AW52" s="23">
        <v>-0.153</v>
      </c>
      <c r="AX52" s="23">
        <v>-6.7500000000000004E-2</v>
      </c>
      <c r="AY52" s="23">
        <v>-9.2999999999999999E-2</v>
      </c>
      <c r="AZ52" s="23">
        <v>-0.06</v>
      </c>
      <c r="BA52" s="23">
        <v>-8.3000000000000004E-2</v>
      </c>
      <c r="BB52" s="23">
        <v>-2.1999999999999999E-2</v>
      </c>
      <c r="BC52" s="23">
        <v>-0.08</v>
      </c>
      <c r="BD52" s="23">
        <v>-5.2499999999999998E-2</v>
      </c>
      <c r="BE52" s="23">
        <v>-7.4999999999999997E-2</v>
      </c>
      <c r="BF52" s="23">
        <v>0.15</v>
      </c>
      <c r="BG52" s="23">
        <v>0.23</v>
      </c>
      <c r="BH52" s="23">
        <v>0.20499999999999999</v>
      </c>
      <c r="BI52" s="23">
        <v>0.155</v>
      </c>
      <c r="BJ52" s="23">
        <v>0.46</v>
      </c>
      <c r="BK52" s="23">
        <v>0</v>
      </c>
      <c r="BL52" s="23">
        <v>-0.02</v>
      </c>
      <c r="BM52" s="23">
        <v>5.0000000000000001E-3</v>
      </c>
      <c r="BN52" s="23">
        <v>0</v>
      </c>
      <c r="BO52" s="23">
        <v>3.5000000000000003E-2</v>
      </c>
      <c r="BP52" s="23">
        <v>5.0000000000000001E-3</v>
      </c>
      <c r="BQ52" s="23">
        <v>5.0000000000000001E-3</v>
      </c>
      <c r="BR52" s="23">
        <v>5.5E-2</v>
      </c>
      <c r="BS52">
        <v>0.02</v>
      </c>
      <c r="BT52">
        <v>3.2000000000000001E-2</v>
      </c>
      <c r="BU52">
        <v>3.2000000000000001E-2</v>
      </c>
      <c r="BV52">
        <v>0.03</v>
      </c>
    </row>
    <row r="53" spans="1:74" x14ac:dyDescent="0.25">
      <c r="A53" s="24" t="e">
        <f>#REF!-B53</f>
        <v>#REF!</v>
      </c>
      <c r="B53" s="24">
        <v>3.0690000000000004</v>
      </c>
      <c r="C53" s="138">
        <f t="shared" si="3"/>
        <v>38687</v>
      </c>
      <c r="D53">
        <v>3.68</v>
      </c>
      <c r="E53" s="24">
        <v>0.28000000000000003</v>
      </c>
      <c r="F53" s="23">
        <v>4.7457071092037201E-2</v>
      </c>
      <c r="G53" s="23">
        <v>-0.13250000000000001</v>
      </c>
      <c r="H53" s="23">
        <v>-0.1525</v>
      </c>
      <c r="I53" s="27">
        <v>-5.0000000000000001E-3</v>
      </c>
      <c r="J53" s="27">
        <v>-0.13750000000000001</v>
      </c>
      <c r="K53" s="23">
        <v>5.0000000000000001E-3</v>
      </c>
      <c r="L53" s="23">
        <v>-0.06</v>
      </c>
      <c r="M53" s="23">
        <v>-0.10249999999999999</v>
      </c>
      <c r="N53" s="23">
        <v>-0.1225</v>
      </c>
      <c r="O53" s="23">
        <v>-0.1225</v>
      </c>
      <c r="P53" s="23">
        <v>-0.13250000000000001</v>
      </c>
      <c r="Q53" s="23">
        <v>-9.2499999999999999E-2</v>
      </c>
      <c r="R53" s="23">
        <v>-7.0000000000000007E-2</v>
      </c>
      <c r="S53" s="23">
        <v>0.155</v>
      </c>
      <c r="T53" s="23">
        <v>0.20499999999999999</v>
      </c>
      <c r="U53" s="23">
        <v>0.125</v>
      </c>
      <c r="V53" s="23">
        <v>0.5</v>
      </c>
      <c r="W53" s="23">
        <v>0.215</v>
      </c>
      <c r="X53" s="23">
        <v>0.28999999999999998</v>
      </c>
      <c r="Y53" s="23">
        <v>-2.5000000000000001E-2</v>
      </c>
      <c r="Z53" s="23">
        <v>-3.7499999999999999E-2</v>
      </c>
      <c r="AA53" s="23">
        <v>3.5000000000000001E-3</v>
      </c>
      <c r="AB53" s="23">
        <v>-1.9E-2</v>
      </c>
      <c r="AC53" s="23">
        <v>2.5000000000000001E-3</v>
      </c>
      <c r="AD53" s="23">
        <v>-2.2499999999999999E-2</v>
      </c>
      <c r="AE53" s="23">
        <v>-7.4999999999999997E-2</v>
      </c>
      <c r="AF53" s="23">
        <v>-6.7500000000000004E-2</v>
      </c>
      <c r="AG53" s="23">
        <v>-0.09</v>
      </c>
      <c r="AH53" s="23">
        <v>-1.4500000000000001E-2</v>
      </c>
      <c r="AI53" s="23">
        <v>-6.6500000000000004E-2</v>
      </c>
      <c r="AJ53" s="23">
        <v>-0.115</v>
      </c>
      <c r="AK53" s="23">
        <v>-1.15E-2</v>
      </c>
      <c r="AL53" s="23">
        <v>2.8500000000000001E-2</v>
      </c>
      <c r="AM53" s="23">
        <v>0.98</v>
      </c>
      <c r="AN53" s="23">
        <v>-4.4999999999999998E-2</v>
      </c>
      <c r="AO53" s="23">
        <v>-0.34</v>
      </c>
      <c r="AP53" s="23">
        <v>-8.5000000000000006E-2</v>
      </c>
      <c r="AQ53" s="23">
        <v>-0.13</v>
      </c>
      <c r="AR53" s="23">
        <v>0.308</v>
      </c>
      <c r="AS53" s="23">
        <v>-0.26</v>
      </c>
      <c r="AT53" s="23">
        <v>-0.34</v>
      </c>
      <c r="AU53" s="23">
        <v>0.24</v>
      </c>
      <c r="AV53" s="23">
        <v>-0.34</v>
      </c>
      <c r="AW53" s="23">
        <v>-0.18049999999999999</v>
      </c>
      <c r="AX53" s="23">
        <v>-6.7500000000000004E-2</v>
      </c>
      <c r="AY53" s="23">
        <v>-0.1205</v>
      </c>
      <c r="AZ53" s="23">
        <v>-0.06</v>
      </c>
      <c r="BA53" s="23">
        <v>-0.1105</v>
      </c>
      <c r="BB53" s="23">
        <v>-1.95E-2</v>
      </c>
      <c r="BC53" s="23">
        <v>-0.08</v>
      </c>
      <c r="BD53" s="23">
        <v>-7.4999999999999997E-2</v>
      </c>
      <c r="BE53" s="23">
        <v>-7.4999999999999997E-2</v>
      </c>
      <c r="BF53" s="23">
        <v>0.15</v>
      </c>
      <c r="BG53" s="23">
        <v>0.23</v>
      </c>
      <c r="BH53" s="23">
        <v>0.20499999999999999</v>
      </c>
      <c r="BI53" s="23">
        <v>0.155</v>
      </c>
      <c r="BJ53" s="23">
        <v>0.77</v>
      </c>
      <c r="BK53" s="23">
        <v>0</v>
      </c>
      <c r="BL53" s="23">
        <v>-2.5000000000000001E-2</v>
      </c>
      <c r="BM53" s="23">
        <v>5.0000000000000001E-3</v>
      </c>
      <c r="BN53" s="23">
        <v>0</v>
      </c>
      <c r="BO53" s="23">
        <v>3.5000000000000003E-2</v>
      </c>
      <c r="BP53" s="23">
        <v>5.0000000000000001E-3</v>
      </c>
      <c r="BQ53" s="23">
        <v>5.0000000000000001E-3</v>
      </c>
      <c r="BR53" s="23">
        <v>0.25</v>
      </c>
      <c r="BS53">
        <v>0.02</v>
      </c>
      <c r="BT53">
        <v>3.2000000000000001E-2</v>
      </c>
      <c r="BU53">
        <v>3.2000000000000001E-2</v>
      </c>
      <c r="BV53">
        <v>0.03</v>
      </c>
    </row>
    <row r="54" spans="1:74" x14ac:dyDescent="0.25">
      <c r="A54" s="24" t="e">
        <f>#REF!-B54</f>
        <v>#REF!</v>
      </c>
      <c r="B54" s="24">
        <v>3.1340000000000003</v>
      </c>
      <c r="C54" s="138">
        <f t="shared" si="3"/>
        <v>38718</v>
      </c>
      <c r="D54">
        <v>3.7349999999999999</v>
      </c>
      <c r="E54" s="24">
        <v>0.28499999999999998</v>
      </c>
      <c r="F54" s="23">
        <v>4.7810067825002203E-2</v>
      </c>
      <c r="G54" s="23">
        <v>-0.13500000000000001</v>
      </c>
      <c r="H54" s="23">
        <v>-0.155</v>
      </c>
      <c r="I54" s="27">
        <v>1.4999999999999999E-2</v>
      </c>
      <c r="J54" s="27">
        <v>-0.13500000000000001</v>
      </c>
      <c r="K54" s="23">
        <v>2.5000000000000001E-2</v>
      </c>
      <c r="L54" s="23">
        <v>-0.06</v>
      </c>
      <c r="M54" s="23">
        <v>-0.105</v>
      </c>
      <c r="N54" s="23">
        <v>-0.125</v>
      </c>
      <c r="O54" s="23">
        <v>-0.125</v>
      </c>
      <c r="P54" s="23">
        <v>-0.13500000000000001</v>
      </c>
      <c r="Q54" s="23">
        <v>-9.2499999999999999E-2</v>
      </c>
      <c r="R54" s="23">
        <v>-7.0000000000000007E-2</v>
      </c>
      <c r="S54" s="23">
        <v>0.155</v>
      </c>
      <c r="T54" s="23">
        <v>0.20499999999999999</v>
      </c>
      <c r="U54" s="23">
        <v>0.125</v>
      </c>
      <c r="V54" s="23">
        <v>0.5</v>
      </c>
      <c r="W54" s="23">
        <v>0.23499999999999999</v>
      </c>
      <c r="X54" s="23">
        <v>0.34</v>
      </c>
      <c r="Y54" s="23">
        <v>-2.3E-2</v>
      </c>
      <c r="Z54" s="23">
        <v>-3.7499999999999999E-2</v>
      </c>
      <c r="AA54" s="23">
        <v>3.5000000000000001E-3</v>
      </c>
      <c r="AB54" s="23">
        <v>-1.9E-2</v>
      </c>
      <c r="AC54" s="23">
        <v>2.5000000000000001E-3</v>
      </c>
      <c r="AD54" s="23">
        <v>-2.2499999999999999E-2</v>
      </c>
      <c r="AE54" s="23">
        <v>-7.4999999999999997E-2</v>
      </c>
      <c r="AF54" s="23">
        <v>-6.7500000000000004E-2</v>
      </c>
      <c r="AG54" s="23">
        <v>-0.09</v>
      </c>
      <c r="AH54" s="23">
        <v>-1.4500000000000001E-2</v>
      </c>
      <c r="AI54" s="23">
        <v>-6.6500000000000004E-2</v>
      </c>
      <c r="AJ54" s="23">
        <v>-0.115</v>
      </c>
      <c r="AK54" s="23">
        <v>-1.15E-2</v>
      </c>
      <c r="AL54" s="23">
        <v>2.8500000000000001E-2</v>
      </c>
      <c r="AM54" s="23">
        <v>1.6</v>
      </c>
      <c r="AN54" s="23">
        <v>-4.7500000000000001E-2</v>
      </c>
      <c r="AO54" s="23">
        <v>-0.34</v>
      </c>
      <c r="AP54" s="23">
        <v>-7.4999999999999997E-2</v>
      </c>
      <c r="AQ54" s="23">
        <v>-0.13</v>
      </c>
      <c r="AR54" s="23">
        <v>0.378</v>
      </c>
      <c r="AS54" s="23">
        <v>-0.26</v>
      </c>
      <c r="AT54" s="23">
        <v>-0.34</v>
      </c>
      <c r="AU54" s="23">
        <v>0.24</v>
      </c>
      <c r="AV54" s="23">
        <v>-0.34</v>
      </c>
      <c r="AW54" s="23">
        <v>-0.19550000000000001</v>
      </c>
      <c r="AX54" s="23">
        <v>-6.5000000000000002E-2</v>
      </c>
      <c r="AY54" s="23">
        <v>-0.13550000000000001</v>
      </c>
      <c r="AZ54" s="23">
        <v>-0.06</v>
      </c>
      <c r="BA54" s="23">
        <v>-0.111</v>
      </c>
      <c r="BB54" s="23">
        <v>-1.95E-2</v>
      </c>
      <c r="BC54" s="23">
        <v>-0.08</v>
      </c>
      <c r="BD54" s="23">
        <v>-7.7499999999999999E-2</v>
      </c>
      <c r="BE54" s="23">
        <v>-7.4999999999999997E-2</v>
      </c>
      <c r="BF54" s="23">
        <v>0.15</v>
      </c>
      <c r="BG54" s="23">
        <v>0.23</v>
      </c>
      <c r="BH54" s="23">
        <v>0.20499999999999999</v>
      </c>
      <c r="BI54" s="23">
        <v>0.155</v>
      </c>
      <c r="BJ54" s="23">
        <v>1.04</v>
      </c>
      <c r="BK54" s="23">
        <v>0</v>
      </c>
      <c r="BL54" s="23">
        <v>-2.5000000000000001E-2</v>
      </c>
      <c r="BM54" s="23">
        <v>5.0000000000000001E-3</v>
      </c>
      <c r="BN54" s="23">
        <v>0</v>
      </c>
      <c r="BO54" s="23">
        <v>3.5000000000000003E-2</v>
      </c>
      <c r="BP54" s="23">
        <v>5.0000000000000001E-3</v>
      </c>
      <c r="BQ54" s="23">
        <v>5.0000000000000001E-3</v>
      </c>
      <c r="BR54" s="23">
        <v>0.45</v>
      </c>
      <c r="BS54">
        <v>0.02</v>
      </c>
      <c r="BT54">
        <v>3.2000000000000001E-2</v>
      </c>
      <c r="BU54">
        <v>3.2000000000000001E-2</v>
      </c>
      <c r="BV54">
        <v>0.03</v>
      </c>
    </row>
    <row r="55" spans="1:74" x14ac:dyDescent="0.25">
      <c r="A55" s="24" t="e">
        <f>#REF!-B55</f>
        <v>#REF!</v>
      </c>
      <c r="B55" s="24">
        <v>3.1290000000000004</v>
      </c>
      <c r="C55" s="138">
        <f t="shared" si="3"/>
        <v>38749</v>
      </c>
      <c r="D55">
        <v>3.65</v>
      </c>
      <c r="E55" s="24">
        <v>0.28000000000000003</v>
      </c>
      <c r="F55" s="23">
        <v>4.8120638955663403E-2</v>
      </c>
      <c r="G55" s="23">
        <v>-0.1275</v>
      </c>
      <c r="H55" s="23">
        <v>-0.14749999999999999</v>
      </c>
      <c r="I55" s="27">
        <v>0.01</v>
      </c>
      <c r="J55" s="27">
        <v>-0.13500000000000001</v>
      </c>
      <c r="K55" s="23">
        <v>0.02</v>
      </c>
      <c r="L55" s="23">
        <v>-0.06</v>
      </c>
      <c r="M55" s="23">
        <v>-9.7500000000000003E-2</v>
      </c>
      <c r="N55" s="23">
        <v>-0.11749999999999999</v>
      </c>
      <c r="O55" s="23">
        <v>-0.11749999999999999</v>
      </c>
      <c r="P55" s="23">
        <v>-0.1275</v>
      </c>
      <c r="Q55" s="23">
        <v>-9.2499999999999999E-2</v>
      </c>
      <c r="R55" s="23">
        <v>-7.0000000000000007E-2</v>
      </c>
      <c r="S55" s="23">
        <v>0.155</v>
      </c>
      <c r="T55" s="23">
        <v>0.20499999999999999</v>
      </c>
      <c r="U55" s="23">
        <v>0.125</v>
      </c>
      <c r="V55" s="23">
        <v>0.5</v>
      </c>
      <c r="W55" s="23">
        <v>0.23499999999999999</v>
      </c>
      <c r="X55" s="23">
        <v>0.34</v>
      </c>
      <c r="Y55" s="23">
        <v>-2.3E-2</v>
      </c>
      <c r="Z55" s="23">
        <v>-3.7499999999999999E-2</v>
      </c>
      <c r="AA55" s="23">
        <v>3.5000000000000001E-3</v>
      </c>
      <c r="AB55" s="23">
        <v>-1.9E-2</v>
      </c>
      <c r="AC55" s="23">
        <v>2.5000000000000001E-3</v>
      </c>
      <c r="AD55" s="23">
        <v>-2.2499999999999999E-2</v>
      </c>
      <c r="AE55" s="23">
        <v>-7.4999999999999997E-2</v>
      </c>
      <c r="AF55" s="23">
        <v>-6.7500000000000004E-2</v>
      </c>
      <c r="AG55" s="23">
        <v>-0.09</v>
      </c>
      <c r="AH55" s="23">
        <v>-1.4500000000000001E-2</v>
      </c>
      <c r="AI55" s="23">
        <v>-6.6500000000000004E-2</v>
      </c>
      <c r="AJ55" s="23">
        <v>-0.115</v>
      </c>
      <c r="AK55" s="23">
        <v>-1.15E-2</v>
      </c>
      <c r="AL55" s="23">
        <v>2.8500000000000001E-2</v>
      </c>
      <c r="AM55" s="23">
        <v>1.6</v>
      </c>
      <c r="AN55" s="23">
        <v>-0.03</v>
      </c>
      <c r="AO55" s="23">
        <v>-0.34</v>
      </c>
      <c r="AP55" s="23">
        <v>-7.4999999999999997E-2</v>
      </c>
      <c r="AQ55" s="23">
        <v>-0.13</v>
      </c>
      <c r="AR55" s="23">
        <v>0.248</v>
      </c>
      <c r="AS55" s="23">
        <v>-0.26</v>
      </c>
      <c r="AT55" s="23">
        <v>-0.34</v>
      </c>
      <c r="AU55" s="23">
        <v>0.24</v>
      </c>
      <c r="AV55" s="23">
        <v>-0.34</v>
      </c>
      <c r="AW55" s="23">
        <v>-0.1855</v>
      </c>
      <c r="AX55" s="23">
        <v>-6.5000000000000002E-2</v>
      </c>
      <c r="AY55" s="23">
        <v>-0.1255</v>
      </c>
      <c r="AZ55" s="23">
        <v>-0.06</v>
      </c>
      <c r="BA55" s="23">
        <v>-0.111</v>
      </c>
      <c r="BB55" s="23">
        <v>-1.95E-2</v>
      </c>
      <c r="BC55" s="23">
        <v>-0.08</v>
      </c>
      <c r="BD55" s="23">
        <v>-0.06</v>
      </c>
      <c r="BE55" s="23">
        <v>-7.4999999999999997E-2</v>
      </c>
      <c r="BF55" s="23">
        <v>0.15</v>
      </c>
      <c r="BG55" s="23">
        <v>0.23</v>
      </c>
      <c r="BH55" s="23">
        <v>0.20499999999999999</v>
      </c>
      <c r="BI55" s="23">
        <v>0.155</v>
      </c>
      <c r="BJ55" s="23">
        <v>1.04</v>
      </c>
      <c r="BK55" s="23">
        <v>0</v>
      </c>
      <c r="BL55" s="23">
        <v>-2.5000000000000001E-2</v>
      </c>
      <c r="BM55" s="23">
        <v>5.0000000000000001E-3</v>
      </c>
      <c r="BN55" s="23">
        <v>0</v>
      </c>
      <c r="BO55" s="23">
        <v>3.5000000000000003E-2</v>
      </c>
      <c r="BP55" s="23">
        <v>5.0000000000000001E-3</v>
      </c>
      <c r="BQ55" s="23">
        <v>5.0000000000000001E-3</v>
      </c>
      <c r="BR55" s="23">
        <v>0.45</v>
      </c>
      <c r="BS55">
        <v>0.02</v>
      </c>
      <c r="BT55">
        <v>3.2000000000000001E-2</v>
      </c>
      <c r="BU55">
        <v>3.2000000000000001E-2</v>
      </c>
      <c r="BV55">
        <v>0.03</v>
      </c>
    </row>
    <row r="56" spans="1:74" x14ac:dyDescent="0.25">
      <c r="A56" s="24" t="e">
        <f>#REF!-B56</f>
        <v>#REF!</v>
      </c>
      <c r="B56" s="24">
        <v>3.1180000000000003</v>
      </c>
      <c r="C56" s="138">
        <f t="shared" si="3"/>
        <v>38777</v>
      </c>
      <c r="D56">
        <v>3.52</v>
      </c>
      <c r="E56" s="24">
        <v>0.27</v>
      </c>
      <c r="F56" s="23">
        <v>4.84011548433219E-2</v>
      </c>
      <c r="G56" s="23">
        <v>-0.125</v>
      </c>
      <c r="H56" s="23">
        <v>-0.14499999999999999</v>
      </c>
      <c r="I56" s="27">
        <v>-0.01</v>
      </c>
      <c r="J56" s="27">
        <v>-0.13500000000000001</v>
      </c>
      <c r="K56" s="23">
        <v>0</v>
      </c>
      <c r="L56" s="23">
        <v>-0.06</v>
      </c>
      <c r="M56" s="23">
        <v>-9.5000000000000001E-2</v>
      </c>
      <c r="N56" s="23">
        <v>-0.115</v>
      </c>
      <c r="O56" s="23">
        <v>-0.115</v>
      </c>
      <c r="P56" s="23">
        <v>-0.125</v>
      </c>
      <c r="Q56" s="23">
        <v>-9.2499999999999999E-2</v>
      </c>
      <c r="R56" s="23">
        <v>-7.0000000000000007E-2</v>
      </c>
      <c r="S56" s="23">
        <v>0.155</v>
      </c>
      <c r="T56" s="23">
        <v>0.20499999999999999</v>
      </c>
      <c r="U56" s="23">
        <v>0.125</v>
      </c>
      <c r="V56" s="23">
        <v>0.5</v>
      </c>
      <c r="W56" s="23">
        <v>0.19500000000000001</v>
      </c>
      <c r="X56" s="23">
        <v>0.28999999999999998</v>
      </c>
      <c r="Y56" s="23">
        <v>-2.3E-2</v>
      </c>
      <c r="Z56" s="23">
        <v>-3.7499999999999999E-2</v>
      </c>
      <c r="AA56" s="23">
        <v>1.0999999999999999E-2</v>
      </c>
      <c r="AB56" s="23">
        <v>-1.15E-2</v>
      </c>
      <c r="AC56" s="23">
        <v>2.5000000000000001E-3</v>
      </c>
      <c r="AD56" s="23">
        <v>-2.2499999999999999E-2</v>
      </c>
      <c r="AE56" s="23">
        <v>-7.4999999999999997E-2</v>
      </c>
      <c r="AF56" s="23">
        <v>-6.7500000000000004E-2</v>
      </c>
      <c r="AG56" s="23">
        <v>-0.09</v>
      </c>
      <c r="AH56" s="23">
        <v>-1.4500000000000001E-2</v>
      </c>
      <c r="AI56" s="23">
        <v>-6.6500000000000004E-2</v>
      </c>
      <c r="AJ56" s="23">
        <v>-0.115</v>
      </c>
      <c r="AK56" s="23">
        <v>-1.15E-2</v>
      </c>
      <c r="AL56" s="23">
        <v>2.8500000000000001E-2</v>
      </c>
      <c r="AM56" s="23">
        <v>0.64</v>
      </c>
      <c r="AN56" s="23">
        <v>-1.7500000000000002E-2</v>
      </c>
      <c r="AO56" s="23">
        <v>-0.34</v>
      </c>
      <c r="AP56" s="23">
        <v>-7.4999999999999997E-2</v>
      </c>
      <c r="AQ56" s="23">
        <v>-0.13</v>
      </c>
      <c r="AR56" s="23">
        <v>6.8000000000000005E-2</v>
      </c>
      <c r="AS56" s="23">
        <v>-0.26</v>
      </c>
      <c r="AT56" s="23">
        <v>-0.34</v>
      </c>
      <c r="AU56" s="23">
        <v>0.24</v>
      </c>
      <c r="AV56" s="23">
        <v>-0.34</v>
      </c>
      <c r="AW56" s="23">
        <v>-0.17549999999999999</v>
      </c>
      <c r="AX56" s="23">
        <v>-6.5000000000000002E-2</v>
      </c>
      <c r="AY56" s="23">
        <v>-0.11550000000000001</v>
      </c>
      <c r="AZ56" s="23">
        <v>-0.06</v>
      </c>
      <c r="BA56" s="23">
        <v>-0.111</v>
      </c>
      <c r="BB56" s="23">
        <v>-1.95E-2</v>
      </c>
      <c r="BC56" s="23">
        <v>-0.08</v>
      </c>
      <c r="BD56" s="23">
        <v>-4.7500000000000001E-2</v>
      </c>
      <c r="BE56" s="23">
        <v>-7.4999999999999997E-2</v>
      </c>
      <c r="BF56" s="23">
        <v>0.15</v>
      </c>
      <c r="BG56" s="23">
        <v>0.23</v>
      </c>
      <c r="BH56" s="23">
        <v>0.20499999999999999</v>
      </c>
      <c r="BI56" s="23">
        <v>0.155</v>
      </c>
      <c r="BJ56" s="23">
        <v>0.54</v>
      </c>
      <c r="BK56" s="23">
        <v>0</v>
      </c>
      <c r="BL56" s="23">
        <v>-0.02</v>
      </c>
      <c r="BM56" s="23">
        <v>5.0000000000000001E-3</v>
      </c>
      <c r="BN56" s="23">
        <v>0</v>
      </c>
      <c r="BO56" s="23">
        <v>3.5000000000000003E-2</v>
      </c>
      <c r="BP56" s="23">
        <v>5.0000000000000001E-3</v>
      </c>
      <c r="BQ56" s="23">
        <v>5.0000000000000001E-3</v>
      </c>
      <c r="BR56" s="23">
        <v>0.1</v>
      </c>
      <c r="BS56">
        <v>0.02</v>
      </c>
      <c r="BT56">
        <v>3.2000000000000001E-2</v>
      </c>
      <c r="BU56">
        <v>3.2000000000000001E-2</v>
      </c>
      <c r="BV56">
        <v>0.03</v>
      </c>
    </row>
    <row r="57" spans="1:74" x14ac:dyDescent="0.25">
      <c r="A57" s="24" t="e">
        <f>#REF!-B57</f>
        <v>#REF!</v>
      </c>
      <c r="B57" s="24">
        <v>3.1349999999999998</v>
      </c>
      <c r="C57" s="138">
        <f t="shared" si="3"/>
        <v>38808</v>
      </c>
      <c r="D57">
        <v>3.335</v>
      </c>
      <c r="E57" s="24">
        <v>0.25</v>
      </c>
      <c r="F57" s="23">
        <v>4.8711726035327398E-2</v>
      </c>
      <c r="G57" s="23">
        <v>-0.13</v>
      </c>
      <c r="H57" s="23">
        <v>-0.15</v>
      </c>
      <c r="I57" s="27">
        <v>-0.09</v>
      </c>
      <c r="J57" s="27">
        <v>-0.13500000000000001</v>
      </c>
      <c r="K57" s="23">
        <v>-0.09</v>
      </c>
      <c r="L57" s="23">
        <v>-5.7500000000000002E-2</v>
      </c>
      <c r="M57" s="23">
        <v>-0.1</v>
      </c>
      <c r="N57" s="23">
        <v>-0.12</v>
      </c>
      <c r="O57" s="23">
        <v>-0.12</v>
      </c>
      <c r="P57" s="23">
        <v>-0.13</v>
      </c>
      <c r="Q57" s="23">
        <v>-8.2500000000000004E-2</v>
      </c>
      <c r="R57" s="23">
        <v>-6.7500000000000004E-2</v>
      </c>
      <c r="S57" s="23">
        <v>0.125</v>
      </c>
      <c r="T57" s="23">
        <v>0.155</v>
      </c>
      <c r="U57" s="23">
        <v>0.04</v>
      </c>
      <c r="V57" s="23">
        <v>0.5</v>
      </c>
      <c r="W57" s="23">
        <v>0.14499999999999999</v>
      </c>
      <c r="X57" s="23">
        <v>0.19500000000000001</v>
      </c>
      <c r="Y57" s="23">
        <v>-2.5499999999999998E-2</v>
      </c>
      <c r="Z57" s="23">
        <v>-0.05</v>
      </c>
      <c r="AA57" s="23">
        <v>1.0999999999999999E-2</v>
      </c>
      <c r="AB57" s="23">
        <v>-1.15E-2</v>
      </c>
      <c r="AC57" s="23">
        <v>2.5000000000000001E-3</v>
      </c>
      <c r="AD57" s="23">
        <v>-2.2499999999999999E-2</v>
      </c>
      <c r="AE57" s="23">
        <v>-7.2499999999999995E-2</v>
      </c>
      <c r="AF57" s="23">
        <v>-6.5000000000000002E-2</v>
      </c>
      <c r="AG57" s="23">
        <v>-8.7499999999999994E-2</v>
      </c>
      <c r="AH57" s="23">
        <v>-1.95E-2</v>
      </c>
      <c r="AI57" s="23">
        <v>-7.1999999999999995E-2</v>
      </c>
      <c r="AJ57" s="23">
        <v>-9.7500000000000003E-2</v>
      </c>
      <c r="AK57" s="23">
        <v>-1.7000000000000001E-2</v>
      </c>
      <c r="AL57" s="23">
        <v>2.3E-2</v>
      </c>
      <c r="AM57" s="23">
        <v>0.38</v>
      </c>
      <c r="AN57" s="23">
        <v>0.02</v>
      </c>
      <c r="AO57" s="23">
        <v>-0.47</v>
      </c>
      <c r="AP57" s="23">
        <v>-7.4999999999999997E-2</v>
      </c>
      <c r="AQ57" s="23">
        <v>-0.19500000000000001</v>
      </c>
      <c r="AR57" s="23">
        <v>-0.25</v>
      </c>
      <c r="AS57" s="23">
        <v>-0.39</v>
      </c>
      <c r="AT57" s="23">
        <v>-0.47</v>
      </c>
      <c r="AU57" s="23">
        <v>0.26</v>
      </c>
      <c r="AV57" s="23">
        <v>-0.47</v>
      </c>
      <c r="AW57" s="23">
        <v>-0.216</v>
      </c>
      <c r="AX57" s="23">
        <v>-6.5000000000000002E-2</v>
      </c>
      <c r="AY57" s="23">
        <v>-0.156</v>
      </c>
      <c r="AZ57" s="23">
        <v>-5.7500000000000002E-2</v>
      </c>
      <c r="BA57" s="23">
        <v>-0.13350000000000001</v>
      </c>
      <c r="BB57" s="23">
        <v>-1.95E-2</v>
      </c>
      <c r="BC57" s="23">
        <v>-6.25E-2</v>
      </c>
      <c r="BD57" s="23">
        <v>-0.01</v>
      </c>
      <c r="BE57" s="23">
        <v>-7.2499999999999995E-2</v>
      </c>
      <c r="BF57" s="23">
        <v>0.06</v>
      </c>
      <c r="BG57" s="23">
        <v>0.14499999999999999</v>
      </c>
      <c r="BH57" s="23">
        <v>0.155</v>
      </c>
      <c r="BI57" s="23">
        <v>0.125</v>
      </c>
      <c r="BJ57" s="23">
        <v>0.36</v>
      </c>
      <c r="BK57" s="23">
        <v>0</v>
      </c>
      <c r="BL57" s="23">
        <v>-1.4999999999999999E-2</v>
      </c>
      <c r="BM57" s="23">
        <v>5.0000000000000001E-3</v>
      </c>
      <c r="BN57" s="23">
        <v>-0.01</v>
      </c>
      <c r="BO57" s="23">
        <v>0.02</v>
      </c>
      <c r="BP57" s="23">
        <v>5.0000000000000001E-3</v>
      </c>
      <c r="BQ57" s="23">
        <v>2.5000000000000001E-3</v>
      </c>
      <c r="BR57" s="23">
        <v>0.02</v>
      </c>
      <c r="BS57">
        <v>5.0000000000000001E-3</v>
      </c>
      <c r="BT57">
        <v>3.2000000000000001E-2</v>
      </c>
      <c r="BU57">
        <v>3.2000000000000001E-2</v>
      </c>
      <c r="BV57">
        <v>0.03</v>
      </c>
    </row>
    <row r="58" spans="1:74" x14ac:dyDescent="0.25">
      <c r="A58" s="24" t="e">
        <f>#REF!-B58</f>
        <v>#REF!</v>
      </c>
      <c r="B58" s="24">
        <v>3.242</v>
      </c>
      <c r="C58" s="138">
        <f t="shared" si="3"/>
        <v>38838</v>
      </c>
      <c r="D58">
        <v>3.33</v>
      </c>
      <c r="E58" s="24">
        <v>0.245</v>
      </c>
      <c r="F58" s="23">
        <v>4.9012278832467601E-2</v>
      </c>
      <c r="G58" s="23">
        <v>-0.13</v>
      </c>
      <c r="H58" s="23">
        <v>-0.15</v>
      </c>
      <c r="I58" s="27">
        <v>-0.09</v>
      </c>
      <c r="J58" s="27">
        <v>-0.13500000000000001</v>
      </c>
      <c r="K58" s="23">
        <v>-0.09</v>
      </c>
      <c r="L58" s="23">
        <v>-5.7500000000000002E-2</v>
      </c>
      <c r="M58" s="23">
        <v>-0.1</v>
      </c>
      <c r="N58" s="23">
        <v>-0.12</v>
      </c>
      <c r="O58" s="23">
        <v>-0.12</v>
      </c>
      <c r="P58" s="23">
        <v>-0.13</v>
      </c>
      <c r="Q58" s="23">
        <v>-8.2500000000000004E-2</v>
      </c>
      <c r="R58" s="23">
        <v>-6.7500000000000004E-2</v>
      </c>
      <c r="S58" s="23">
        <v>0.125</v>
      </c>
      <c r="T58" s="23">
        <v>0.155</v>
      </c>
      <c r="U58" s="23">
        <v>0.04</v>
      </c>
      <c r="V58" s="23">
        <v>0.5</v>
      </c>
      <c r="W58" s="23">
        <v>0.125</v>
      </c>
      <c r="X58" s="23">
        <v>0.13500000000000001</v>
      </c>
      <c r="Y58" s="23">
        <v>-2.5499999999999998E-2</v>
      </c>
      <c r="Z58" s="23">
        <v>-0.05</v>
      </c>
      <c r="AA58" s="23">
        <v>1.35E-2</v>
      </c>
      <c r="AB58" s="23">
        <v>-8.9999999999999993E-3</v>
      </c>
      <c r="AC58" s="23">
        <v>2.5000000000000001E-3</v>
      </c>
      <c r="AD58" s="23">
        <v>-2.2499999999999999E-2</v>
      </c>
      <c r="AE58" s="23">
        <v>-7.2499999999999995E-2</v>
      </c>
      <c r="AF58" s="23">
        <v>-6.5000000000000002E-2</v>
      </c>
      <c r="AG58" s="23">
        <v>-8.7499999999999994E-2</v>
      </c>
      <c r="AH58" s="23">
        <v>-1.95E-2</v>
      </c>
      <c r="AI58" s="23">
        <v>-7.1999999999999995E-2</v>
      </c>
      <c r="AJ58" s="23">
        <v>-9.7500000000000003E-2</v>
      </c>
      <c r="AK58" s="23">
        <v>-1.7000000000000001E-2</v>
      </c>
      <c r="AL58" s="23">
        <v>2.3E-2</v>
      </c>
      <c r="AM58" s="23">
        <v>0.33</v>
      </c>
      <c r="AN58" s="23">
        <v>0.02</v>
      </c>
      <c r="AO58" s="23">
        <v>-0.47</v>
      </c>
      <c r="AP58" s="23">
        <v>-7.4999999999999997E-2</v>
      </c>
      <c r="AQ58" s="23">
        <v>-0.19500000000000001</v>
      </c>
      <c r="AR58" s="23">
        <v>-0.25</v>
      </c>
      <c r="AS58" s="23">
        <v>-0.39</v>
      </c>
      <c r="AT58" s="23">
        <v>-0.47</v>
      </c>
      <c r="AU58" s="23">
        <v>0.26</v>
      </c>
      <c r="AV58" s="23">
        <v>-0.47</v>
      </c>
      <c r="AW58" s="23">
        <v>-0.19350000000000001</v>
      </c>
      <c r="AX58" s="23">
        <v>-6.5000000000000002E-2</v>
      </c>
      <c r="AY58" s="23">
        <v>-0.13350000000000001</v>
      </c>
      <c r="AZ58" s="23">
        <v>-5.7500000000000002E-2</v>
      </c>
      <c r="BA58" s="23">
        <v>-0.126</v>
      </c>
      <c r="BB58" s="23">
        <v>-1.95E-2</v>
      </c>
      <c r="BC58" s="23">
        <v>-6.25E-2</v>
      </c>
      <c r="BD58" s="23">
        <v>-0.01</v>
      </c>
      <c r="BE58" s="23">
        <v>-7.2499999999999995E-2</v>
      </c>
      <c r="BF58" s="23">
        <v>0.06</v>
      </c>
      <c r="BG58" s="23">
        <v>0.14499999999999999</v>
      </c>
      <c r="BH58" s="23">
        <v>0.155</v>
      </c>
      <c r="BI58" s="23">
        <v>0.125</v>
      </c>
      <c r="BJ58" s="23">
        <v>0.32500000000000001</v>
      </c>
      <c r="BK58" s="23">
        <v>0</v>
      </c>
      <c r="BL58" s="23">
        <v>-1.4999999999999999E-2</v>
      </c>
      <c r="BM58" s="23">
        <v>5.0000000000000001E-3</v>
      </c>
      <c r="BN58" s="23">
        <v>-0.01</v>
      </c>
      <c r="BO58" s="23">
        <v>0.02</v>
      </c>
      <c r="BP58" s="23">
        <v>5.0000000000000001E-3</v>
      </c>
      <c r="BQ58" s="23">
        <v>2.5000000000000001E-3</v>
      </c>
      <c r="BR58" s="23">
        <v>0.02</v>
      </c>
      <c r="BS58">
        <v>5.0000000000000001E-3</v>
      </c>
      <c r="BT58">
        <v>3.2000000000000001E-2</v>
      </c>
      <c r="BU58">
        <v>3.2000000000000001E-2</v>
      </c>
      <c r="BV58">
        <v>0.03</v>
      </c>
    </row>
    <row r="59" spans="1:74" x14ac:dyDescent="0.25">
      <c r="A59" s="24" t="e">
        <f>#REF!-B59</f>
        <v>#REF!</v>
      </c>
      <c r="B59" s="24">
        <v>3.3480000000000003</v>
      </c>
      <c r="C59" s="138">
        <f t="shared" si="3"/>
        <v>38869</v>
      </c>
      <c r="D59">
        <v>3.3650000000000002</v>
      </c>
      <c r="E59" s="24">
        <v>0.2475</v>
      </c>
      <c r="F59" s="23">
        <v>4.9322850087879302E-2</v>
      </c>
      <c r="G59" s="23">
        <v>-0.13</v>
      </c>
      <c r="H59" s="23">
        <v>-0.15</v>
      </c>
      <c r="I59" s="27">
        <v>-0.09</v>
      </c>
      <c r="J59" s="27">
        <v>-0.13500000000000001</v>
      </c>
      <c r="K59" s="23">
        <v>-0.09</v>
      </c>
      <c r="L59" s="23">
        <v>-5.7500000000000002E-2</v>
      </c>
      <c r="M59" s="23">
        <v>-0.1</v>
      </c>
      <c r="N59" s="23">
        <v>-0.12</v>
      </c>
      <c r="O59" s="23">
        <v>-0.12</v>
      </c>
      <c r="P59" s="23">
        <v>-0.13</v>
      </c>
      <c r="Q59" s="23">
        <v>-8.2500000000000004E-2</v>
      </c>
      <c r="R59" s="23">
        <v>-6.7500000000000004E-2</v>
      </c>
      <c r="S59" s="23">
        <v>0.125</v>
      </c>
      <c r="T59" s="23">
        <v>0.155</v>
      </c>
      <c r="U59" s="23">
        <v>0.04</v>
      </c>
      <c r="V59" s="23">
        <v>0.5</v>
      </c>
      <c r="W59" s="23">
        <v>0.14499999999999999</v>
      </c>
      <c r="X59" s="23">
        <v>0.16500000000000001</v>
      </c>
      <c r="Y59" s="23">
        <v>-2.5499999999999998E-2</v>
      </c>
      <c r="Z59" s="23">
        <v>-4.7500000000000001E-2</v>
      </c>
      <c r="AA59" s="23">
        <v>1.35E-2</v>
      </c>
      <c r="AB59" s="23">
        <v>-8.9999999999999993E-3</v>
      </c>
      <c r="AC59" s="23">
        <v>2.5000000000000001E-3</v>
      </c>
      <c r="AD59" s="23">
        <v>-2.2499999999999999E-2</v>
      </c>
      <c r="AE59" s="23">
        <v>-7.2499999999999995E-2</v>
      </c>
      <c r="AF59" s="23">
        <v>-6.5000000000000002E-2</v>
      </c>
      <c r="AG59" s="23">
        <v>-8.7499999999999994E-2</v>
      </c>
      <c r="AH59" s="23">
        <v>-1.95E-2</v>
      </c>
      <c r="AI59" s="23">
        <v>-7.1999999999999995E-2</v>
      </c>
      <c r="AJ59" s="23">
        <v>-9.7500000000000003E-2</v>
      </c>
      <c r="AK59" s="23">
        <v>-1.7000000000000001E-2</v>
      </c>
      <c r="AL59" s="23">
        <v>2.3E-2</v>
      </c>
      <c r="AM59" s="23">
        <v>0.37</v>
      </c>
      <c r="AN59" s="23">
        <v>2.5000000000000001E-2</v>
      </c>
      <c r="AO59" s="23">
        <v>-0.47</v>
      </c>
      <c r="AP59" s="23">
        <v>-7.4999999999999997E-2</v>
      </c>
      <c r="AQ59" s="23">
        <v>-0.19500000000000001</v>
      </c>
      <c r="AR59" s="23">
        <v>-0.25</v>
      </c>
      <c r="AS59" s="23">
        <v>-0.39</v>
      </c>
      <c r="AT59" s="23">
        <v>-0.47</v>
      </c>
      <c r="AU59" s="23">
        <v>0.26</v>
      </c>
      <c r="AV59" s="23">
        <v>-0.47</v>
      </c>
      <c r="AW59" s="23">
        <v>-0.14099999999999999</v>
      </c>
      <c r="AX59" s="23">
        <v>-6.5000000000000002E-2</v>
      </c>
      <c r="AY59" s="23">
        <v>-8.1000000000000003E-2</v>
      </c>
      <c r="AZ59" s="23">
        <v>-5.7500000000000002E-2</v>
      </c>
      <c r="BA59" s="23">
        <v>-8.3500000000000005E-2</v>
      </c>
      <c r="BB59" s="23">
        <v>-1.95E-2</v>
      </c>
      <c r="BC59" s="23">
        <v>-6.25E-2</v>
      </c>
      <c r="BD59" s="23">
        <v>-5.0000000000000001E-3</v>
      </c>
      <c r="BE59" s="23">
        <v>-7.2499999999999995E-2</v>
      </c>
      <c r="BF59" s="23">
        <v>0.06</v>
      </c>
      <c r="BG59" s="23">
        <v>0.14499999999999999</v>
      </c>
      <c r="BH59" s="23">
        <v>0.155</v>
      </c>
      <c r="BI59" s="23">
        <v>0.125</v>
      </c>
      <c r="BJ59" s="23">
        <v>0.33500000000000002</v>
      </c>
      <c r="BK59" s="23">
        <v>0</v>
      </c>
      <c r="BL59" s="23">
        <v>-1.4999999999999999E-2</v>
      </c>
      <c r="BM59" s="23">
        <v>5.0000000000000001E-3</v>
      </c>
      <c r="BN59" s="23">
        <v>-0.01</v>
      </c>
      <c r="BO59" s="23">
        <v>0.02</v>
      </c>
      <c r="BP59" s="23">
        <v>5.0000000000000001E-3</v>
      </c>
      <c r="BQ59" s="23">
        <v>2.5000000000000001E-3</v>
      </c>
      <c r="BR59" s="23">
        <v>3.5000000000000003E-2</v>
      </c>
      <c r="BS59">
        <v>5.0000000000000001E-3</v>
      </c>
      <c r="BT59">
        <v>3.2000000000000001E-2</v>
      </c>
      <c r="BU59">
        <v>3.2000000000000001E-2</v>
      </c>
      <c r="BV59">
        <v>0.03</v>
      </c>
    </row>
    <row r="60" spans="1:74" x14ac:dyDescent="0.25">
      <c r="A60" s="24" t="e">
        <f>#REF!-B60</f>
        <v>#REF!</v>
      </c>
      <c r="B60" s="24">
        <v>3.5369999999999999</v>
      </c>
      <c r="C60" s="138">
        <f t="shared" si="3"/>
        <v>38899</v>
      </c>
      <c r="D60">
        <v>3.4049999999999998</v>
      </c>
      <c r="E60" s="24">
        <v>0.2475</v>
      </c>
      <c r="F60" s="23">
        <v>4.962340294637E-2</v>
      </c>
      <c r="G60" s="23">
        <v>-0.13</v>
      </c>
      <c r="H60" s="23">
        <v>-0.15</v>
      </c>
      <c r="I60" s="27">
        <v>-0.09</v>
      </c>
      <c r="J60" s="27">
        <v>-0.13500000000000001</v>
      </c>
      <c r="K60" s="23">
        <v>-0.09</v>
      </c>
      <c r="L60" s="23">
        <v>-5.7500000000000002E-2</v>
      </c>
      <c r="M60" s="23">
        <v>-0.1</v>
      </c>
      <c r="N60" s="23">
        <v>-0.12</v>
      </c>
      <c r="O60" s="23">
        <v>-0.12</v>
      </c>
      <c r="P60" s="23">
        <v>-0.13</v>
      </c>
      <c r="Q60" s="23">
        <v>-8.2500000000000004E-2</v>
      </c>
      <c r="R60" s="23">
        <v>-6.7500000000000004E-2</v>
      </c>
      <c r="S60" s="23">
        <v>0.125</v>
      </c>
      <c r="T60" s="23">
        <v>0.155</v>
      </c>
      <c r="U60" s="23">
        <v>0.04</v>
      </c>
      <c r="V60" s="23">
        <v>0.5</v>
      </c>
      <c r="W60" s="23">
        <v>0.15</v>
      </c>
      <c r="X60" s="23">
        <v>0.20499999999999999</v>
      </c>
      <c r="Y60" s="23">
        <v>-2.5499999999999998E-2</v>
      </c>
      <c r="Z60" s="23">
        <v>-4.7500000000000001E-2</v>
      </c>
      <c r="AA60" s="23">
        <v>1.35E-2</v>
      </c>
      <c r="AB60" s="23">
        <v>-8.9999999999999993E-3</v>
      </c>
      <c r="AC60" s="23">
        <v>2.5000000000000001E-3</v>
      </c>
      <c r="AD60" s="23">
        <v>-2.2499999999999999E-2</v>
      </c>
      <c r="AE60" s="23">
        <v>-7.2499999999999995E-2</v>
      </c>
      <c r="AF60" s="23">
        <v>-6.5000000000000002E-2</v>
      </c>
      <c r="AG60" s="23">
        <v>-8.7499999999999994E-2</v>
      </c>
      <c r="AH60" s="23">
        <v>-1.95E-2</v>
      </c>
      <c r="AI60" s="23">
        <v>-7.1999999999999995E-2</v>
      </c>
      <c r="AJ60" s="23">
        <v>-9.7500000000000003E-2</v>
      </c>
      <c r="AK60" s="23">
        <v>-1.7000000000000001E-2</v>
      </c>
      <c r="AL60" s="23">
        <v>2.3E-2</v>
      </c>
      <c r="AM60" s="23">
        <v>0.41</v>
      </c>
      <c r="AN60" s="23">
        <v>2.75E-2</v>
      </c>
      <c r="AO60" s="23">
        <v>-0.47</v>
      </c>
      <c r="AP60" s="23">
        <v>-7.4999999999999997E-2</v>
      </c>
      <c r="AQ60" s="23">
        <v>-0.19500000000000001</v>
      </c>
      <c r="AR60" s="23">
        <v>-0.25</v>
      </c>
      <c r="AS60" s="23">
        <v>-0.39</v>
      </c>
      <c r="AT60" s="23">
        <v>-0.47</v>
      </c>
      <c r="AU60" s="23">
        <v>0.26</v>
      </c>
      <c r="AV60" s="23">
        <v>-0.47</v>
      </c>
      <c r="AW60" s="23">
        <v>-0.151</v>
      </c>
      <c r="AX60" s="23">
        <v>-6.5000000000000002E-2</v>
      </c>
      <c r="AY60" s="23">
        <v>-9.0999999999999998E-2</v>
      </c>
      <c r="AZ60" s="23">
        <v>-5.7500000000000002E-2</v>
      </c>
      <c r="BA60" s="23">
        <v>-8.1000000000000003E-2</v>
      </c>
      <c r="BB60" s="23">
        <v>-1.95E-2</v>
      </c>
      <c r="BC60" s="23">
        <v>-6.25E-2</v>
      </c>
      <c r="BD60" s="23">
        <v>-2.5000000000000001E-3</v>
      </c>
      <c r="BE60" s="23">
        <v>-7.2499999999999995E-2</v>
      </c>
      <c r="BF60" s="23">
        <v>0.06</v>
      </c>
      <c r="BG60" s="23">
        <v>0.14499999999999999</v>
      </c>
      <c r="BH60" s="23">
        <v>0.155</v>
      </c>
      <c r="BI60" s="23">
        <v>0.125</v>
      </c>
      <c r="BJ60" s="23">
        <v>0.35</v>
      </c>
      <c r="BK60" s="23">
        <v>0</v>
      </c>
      <c r="BL60" s="23">
        <v>-0.01</v>
      </c>
      <c r="BM60" s="23">
        <v>5.0000000000000001E-3</v>
      </c>
      <c r="BN60" s="23">
        <v>-0.01</v>
      </c>
      <c r="BO60" s="23">
        <v>0.02</v>
      </c>
      <c r="BP60" s="23">
        <v>5.0000000000000001E-3</v>
      </c>
      <c r="BQ60" s="23">
        <v>2.5000000000000001E-3</v>
      </c>
      <c r="BR60" s="23">
        <v>3.5000000000000003E-2</v>
      </c>
      <c r="BS60">
        <v>5.0000000000000001E-3</v>
      </c>
      <c r="BT60">
        <v>3.2000000000000001E-2</v>
      </c>
      <c r="BU60">
        <v>3.2000000000000001E-2</v>
      </c>
      <c r="BV60">
        <v>0.03</v>
      </c>
    </row>
    <row r="61" spans="1:74" x14ac:dyDescent="0.25">
      <c r="A61" s="24" t="e">
        <f>#REF!-B61</f>
        <v>#REF!</v>
      </c>
      <c r="B61" s="24">
        <v>3.4180000000000001</v>
      </c>
      <c r="C61" s="138">
        <f t="shared" si="3"/>
        <v>38930</v>
      </c>
      <c r="D61">
        <v>3.4449999999999998</v>
      </c>
      <c r="E61" s="24">
        <v>0.2475</v>
      </c>
      <c r="F61" s="23">
        <v>4.9933974265168303E-2</v>
      </c>
      <c r="G61" s="23">
        <v>-0.13</v>
      </c>
      <c r="H61" s="23">
        <v>-0.15</v>
      </c>
      <c r="I61" s="27">
        <v>-0.09</v>
      </c>
      <c r="J61" s="27">
        <v>-0.13500000000000001</v>
      </c>
      <c r="K61" s="23">
        <v>-0.09</v>
      </c>
      <c r="L61" s="23">
        <v>-5.7500000000000002E-2</v>
      </c>
      <c r="M61" s="23">
        <v>-0.1</v>
      </c>
      <c r="N61" s="23">
        <v>-0.12</v>
      </c>
      <c r="O61" s="23">
        <v>-0.12</v>
      </c>
      <c r="P61" s="23">
        <v>-0.13</v>
      </c>
      <c r="Q61" s="23">
        <v>-8.2500000000000004E-2</v>
      </c>
      <c r="R61" s="23">
        <v>-6.7500000000000004E-2</v>
      </c>
      <c r="S61" s="23">
        <v>0.125</v>
      </c>
      <c r="T61" s="23">
        <v>0.155</v>
      </c>
      <c r="U61" s="23">
        <v>0.04</v>
      </c>
      <c r="V61" s="23">
        <v>0.5</v>
      </c>
      <c r="W61" s="23">
        <v>0.15</v>
      </c>
      <c r="X61" s="23">
        <v>0.20499999999999999</v>
      </c>
      <c r="Y61" s="23">
        <v>-2.5499999999999998E-2</v>
      </c>
      <c r="Z61" s="23">
        <v>-4.7500000000000001E-2</v>
      </c>
      <c r="AA61" s="23">
        <v>8.5000000000000006E-3</v>
      </c>
      <c r="AB61" s="23">
        <v>-1.4E-2</v>
      </c>
      <c r="AC61" s="23">
        <v>2.5000000000000001E-3</v>
      </c>
      <c r="AD61" s="23">
        <v>-2.2499999999999999E-2</v>
      </c>
      <c r="AE61" s="23">
        <v>-7.2499999999999995E-2</v>
      </c>
      <c r="AF61" s="23">
        <v>-6.5000000000000002E-2</v>
      </c>
      <c r="AG61" s="23">
        <v>-8.7499999999999994E-2</v>
      </c>
      <c r="AH61" s="23">
        <v>-1.95E-2</v>
      </c>
      <c r="AI61" s="23">
        <v>-7.1999999999999995E-2</v>
      </c>
      <c r="AJ61" s="23">
        <v>-9.7500000000000003E-2</v>
      </c>
      <c r="AK61" s="23">
        <v>-1.7000000000000001E-2</v>
      </c>
      <c r="AL61" s="23">
        <v>2.3E-2</v>
      </c>
      <c r="AM61" s="23">
        <v>0.41</v>
      </c>
      <c r="AN61" s="23">
        <v>0.03</v>
      </c>
      <c r="AO61" s="23">
        <v>-0.47</v>
      </c>
      <c r="AP61" s="23">
        <v>-7.4999999999999997E-2</v>
      </c>
      <c r="AQ61" s="23">
        <v>-0.19500000000000001</v>
      </c>
      <c r="AR61" s="23">
        <v>-0.25</v>
      </c>
      <c r="AS61" s="23">
        <v>-0.39</v>
      </c>
      <c r="AT61" s="23">
        <v>-0.47</v>
      </c>
      <c r="AU61" s="23">
        <v>0.26</v>
      </c>
      <c r="AV61" s="23">
        <v>-0.47</v>
      </c>
      <c r="AW61" s="23">
        <v>-0.14599999999999999</v>
      </c>
      <c r="AX61" s="23">
        <v>-6.5000000000000002E-2</v>
      </c>
      <c r="AY61" s="23">
        <v>-8.5999999999999993E-2</v>
      </c>
      <c r="AZ61" s="23">
        <v>-5.7500000000000002E-2</v>
      </c>
      <c r="BA61" s="23">
        <v>-7.85E-2</v>
      </c>
      <c r="BB61" s="23">
        <v>-1.95E-2</v>
      </c>
      <c r="BC61" s="23">
        <v>-6.25E-2</v>
      </c>
      <c r="BD61" s="23">
        <v>0</v>
      </c>
      <c r="BE61" s="23">
        <v>-7.2499999999999995E-2</v>
      </c>
      <c r="BF61" s="23">
        <v>0.06</v>
      </c>
      <c r="BG61" s="23">
        <v>0.14499999999999999</v>
      </c>
      <c r="BH61" s="23">
        <v>0.155</v>
      </c>
      <c r="BI61" s="23">
        <v>0.125</v>
      </c>
      <c r="BJ61" s="23">
        <v>0.35</v>
      </c>
      <c r="BK61" s="23">
        <v>0</v>
      </c>
      <c r="BL61" s="23">
        <v>-0.01</v>
      </c>
      <c r="BM61" s="23">
        <v>5.0000000000000001E-3</v>
      </c>
      <c r="BN61" s="23">
        <v>-0.01</v>
      </c>
      <c r="BO61" s="23">
        <v>0.02</v>
      </c>
      <c r="BP61" s="23">
        <v>5.0000000000000001E-3</v>
      </c>
      <c r="BQ61" s="23">
        <v>2.5000000000000001E-3</v>
      </c>
      <c r="BR61" s="23">
        <v>0.01</v>
      </c>
      <c r="BS61">
        <v>5.0000000000000001E-3</v>
      </c>
      <c r="BT61">
        <v>3.2000000000000001E-2</v>
      </c>
      <c r="BU61">
        <v>3.2000000000000001E-2</v>
      </c>
      <c r="BV61">
        <v>0.03</v>
      </c>
    </row>
    <row r="62" spans="1:74" x14ac:dyDescent="0.25">
      <c r="A62" s="24" t="e">
        <f>#REF!-B62</f>
        <v>#REF!</v>
      </c>
      <c r="B62" s="24">
        <v>3.2660000000000005</v>
      </c>
      <c r="C62" s="138">
        <f t="shared" si="3"/>
        <v>38961</v>
      </c>
      <c r="D62">
        <v>3.44</v>
      </c>
      <c r="E62" s="24">
        <v>0.2475</v>
      </c>
      <c r="F62" s="23">
        <v>5.0244545616172399E-2</v>
      </c>
      <c r="G62" s="23">
        <v>-0.13</v>
      </c>
      <c r="H62" s="23">
        <v>-0.15</v>
      </c>
      <c r="I62" s="27">
        <v>-0.09</v>
      </c>
      <c r="J62" s="27">
        <v>-0.13500000000000001</v>
      </c>
      <c r="K62" s="23">
        <v>-0.09</v>
      </c>
      <c r="L62" s="23">
        <v>-5.7500000000000002E-2</v>
      </c>
      <c r="M62" s="23">
        <v>-0.1</v>
      </c>
      <c r="N62" s="23">
        <v>-0.12</v>
      </c>
      <c r="O62" s="23">
        <v>-0.12</v>
      </c>
      <c r="P62" s="23">
        <v>-0.13</v>
      </c>
      <c r="Q62" s="23">
        <v>-8.2500000000000004E-2</v>
      </c>
      <c r="R62" s="23">
        <v>-6.7500000000000004E-2</v>
      </c>
      <c r="S62" s="23">
        <v>0.125</v>
      </c>
      <c r="T62" s="23">
        <v>0.155</v>
      </c>
      <c r="U62" s="23">
        <v>0.04</v>
      </c>
      <c r="V62" s="23">
        <v>0.5</v>
      </c>
      <c r="W62" s="23">
        <v>0.125</v>
      </c>
      <c r="X62" s="23">
        <v>0.14499999999999999</v>
      </c>
      <c r="Y62" s="23">
        <v>-2.5499999999999998E-2</v>
      </c>
      <c r="Z62" s="23">
        <v>-5.2499999999999998E-2</v>
      </c>
      <c r="AA62" s="23">
        <v>8.5000000000000006E-3</v>
      </c>
      <c r="AB62" s="23">
        <v>-1.4E-2</v>
      </c>
      <c r="AC62" s="23">
        <v>2.5000000000000001E-3</v>
      </c>
      <c r="AD62" s="23">
        <v>-2.2499999999999999E-2</v>
      </c>
      <c r="AE62" s="23">
        <v>-7.2499999999999995E-2</v>
      </c>
      <c r="AF62" s="23">
        <v>-6.5000000000000002E-2</v>
      </c>
      <c r="AG62" s="23">
        <v>-8.7499999999999994E-2</v>
      </c>
      <c r="AH62" s="23">
        <v>-1.95E-2</v>
      </c>
      <c r="AI62" s="23">
        <v>-7.1999999999999995E-2</v>
      </c>
      <c r="AJ62" s="23">
        <v>-9.7500000000000003E-2</v>
      </c>
      <c r="AK62" s="23">
        <v>-1.7000000000000001E-2</v>
      </c>
      <c r="AL62" s="23">
        <v>2.3E-2</v>
      </c>
      <c r="AM62" s="23">
        <v>0.36</v>
      </c>
      <c r="AN62" s="23">
        <v>2.2499999999999999E-2</v>
      </c>
      <c r="AO62" s="23">
        <v>-0.47</v>
      </c>
      <c r="AP62" s="23">
        <v>-7.4999999999999997E-2</v>
      </c>
      <c r="AQ62" s="23">
        <v>-0.19500000000000001</v>
      </c>
      <c r="AR62" s="23">
        <v>-0.25</v>
      </c>
      <c r="AS62" s="23">
        <v>-0.39</v>
      </c>
      <c r="AT62" s="23">
        <v>-0.47</v>
      </c>
      <c r="AU62" s="23">
        <v>0.26</v>
      </c>
      <c r="AV62" s="23">
        <v>-0.47</v>
      </c>
      <c r="AW62" s="23">
        <v>-0.156</v>
      </c>
      <c r="AX62" s="23">
        <v>-6.5000000000000002E-2</v>
      </c>
      <c r="AY62" s="23">
        <v>-9.6000000000000002E-2</v>
      </c>
      <c r="AZ62" s="23">
        <v>-5.7500000000000002E-2</v>
      </c>
      <c r="BA62" s="23">
        <v>-8.3500000000000005E-2</v>
      </c>
      <c r="BB62" s="23">
        <v>-1.95E-2</v>
      </c>
      <c r="BC62" s="23">
        <v>-6.25E-2</v>
      </c>
      <c r="BD62" s="23">
        <v>-7.4999999999999997E-3</v>
      </c>
      <c r="BE62" s="23">
        <v>-7.2499999999999995E-2</v>
      </c>
      <c r="BF62" s="23">
        <v>0.06</v>
      </c>
      <c r="BG62" s="23">
        <v>0.14499999999999999</v>
      </c>
      <c r="BH62" s="23">
        <v>0.155</v>
      </c>
      <c r="BI62" s="23">
        <v>0.125</v>
      </c>
      <c r="BJ62" s="23">
        <v>0.315</v>
      </c>
      <c r="BK62" s="23">
        <v>0</v>
      </c>
      <c r="BL62" s="23">
        <v>-0.01</v>
      </c>
      <c r="BM62" s="23">
        <v>5.0000000000000001E-3</v>
      </c>
      <c r="BN62" s="23">
        <v>-0.01</v>
      </c>
      <c r="BO62" s="23">
        <v>0.02</v>
      </c>
      <c r="BP62" s="23">
        <v>5.0000000000000001E-3</v>
      </c>
      <c r="BQ62" s="23">
        <v>2.5000000000000001E-3</v>
      </c>
      <c r="BR62" s="23">
        <v>0.01</v>
      </c>
      <c r="BS62">
        <v>5.0000000000000001E-3</v>
      </c>
      <c r="BT62">
        <v>3.2000000000000001E-2</v>
      </c>
      <c r="BU62">
        <v>3.2000000000000001E-2</v>
      </c>
      <c r="BV62">
        <v>0.03</v>
      </c>
    </row>
    <row r="63" spans="1:74" x14ac:dyDescent="0.25">
      <c r="A63" s="24" t="e">
        <f>#REF!-B63</f>
        <v>#REF!</v>
      </c>
      <c r="B63" s="24">
        <v>3.117</v>
      </c>
      <c r="C63" s="138">
        <f t="shared" si="3"/>
        <v>38991</v>
      </c>
      <c r="D63">
        <v>3.4649999999999999</v>
      </c>
      <c r="E63" s="24">
        <v>0.2475</v>
      </c>
      <c r="F63" s="23">
        <v>5.0545098567158497E-2</v>
      </c>
      <c r="G63" s="23">
        <v>-0.13</v>
      </c>
      <c r="H63" s="23">
        <v>-0.15</v>
      </c>
      <c r="I63" s="27">
        <v>-0.09</v>
      </c>
      <c r="J63" s="27">
        <v>-0.13500000000000001</v>
      </c>
      <c r="K63" s="23">
        <v>-0.09</v>
      </c>
      <c r="L63" s="23">
        <v>-5.7500000000000002E-2</v>
      </c>
      <c r="M63" s="23">
        <v>-0.1</v>
      </c>
      <c r="N63" s="23">
        <v>-0.12</v>
      </c>
      <c r="O63" s="23">
        <v>-0.12</v>
      </c>
      <c r="P63" s="23">
        <v>-0.13</v>
      </c>
      <c r="Q63" s="23">
        <v>-8.2500000000000004E-2</v>
      </c>
      <c r="R63" s="23">
        <v>-6.7500000000000004E-2</v>
      </c>
      <c r="S63" s="23">
        <v>0.125</v>
      </c>
      <c r="T63" s="23">
        <v>0.155</v>
      </c>
      <c r="U63" s="23">
        <v>0.04</v>
      </c>
      <c r="V63" s="23">
        <v>0.5</v>
      </c>
      <c r="W63" s="23">
        <v>0.14499999999999999</v>
      </c>
      <c r="X63" s="23">
        <v>0.17499999999999999</v>
      </c>
      <c r="Y63" s="23">
        <v>-2.5499999999999998E-2</v>
      </c>
      <c r="Z63" s="23">
        <v>-5.2499999999999998E-2</v>
      </c>
      <c r="AA63" s="23">
        <v>3.5000000000000001E-3</v>
      </c>
      <c r="AB63" s="23">
        <v>-1.9E-2</v>
      </c>
      <c r="AC63" s="23">
        <v>2.5000000000000001E-3</v>
      </c>
      <c r="AD63" s="23">
        <v>-2.2499999999999999E-2</v>
      </c>
      <c r="AE63" s="23">
        <v>-7.2499999999999995E-2</v>
      </c>
      <c r="AF63" s="23">
        <v>-6.5000000000000002E-2</v>
      </c>
      <c r="AG63" s="23">
        <v>-8.7499999999999994E-2</v>
      </c>
      <c r="AH63" s="23">
        <v>-1.95E-2</v>
      </c>
      <c r="AI63" s="23">
        <v>-7.1999999999999995E-2</v>
      </c>
      <c r="AJ63" s="23">
        <v>-9.7500000000000003E-2</v>
      </c>
      <c r="AK63" s="23">
        <v>-1.7000000000000001E-2</v>
      </c>
      <c r="AL63" s="23">
        <v>2.3E-2</v>
      </c>
      <c r="AM63" s="23">
        <v>0.4</v>
      </c>
      <c r="AN63" s="23">
        <v>1.2500000000000001E-2</v>
      </c>
      <c r="AO63" s="23">
        <v>-0.47</v>
      </c>
      <c r="AP63" s="23">
        <v>-7.4999999999999997E-2</v>
      </c>
      <c r="AQ63" s="23">
        <v>-0.19500000000000001</v>
      </c>
      <c r="AR63" s="23">
        <v>-0.25</v>
      </c>
      <c r="AS63" s="23">
        <v>-0.39</v>
      </c>
      <c r="AT63" s="23">
        <v>-0.47</v>
      </c>
      <c r="AU63" s="23">
        <v>0.26</v>
      </c>
      <c r="AV63" s="23">
        <v>-0.47</v>
      </c>
      <c r="AW63" s="23">
        <v>-0.14349999999999999</v>
      </c>
      <c r="AX63" s="23">
        <v>-6.5000000000000002E-2</v>
      </c>
      <c r="AY63" s="23">
        <v>-8.3500000000000005E-2</v>
      </c>
      <c r="AZ63" s="23">
        <v>-5.7500000000000002E-2</v>
      </c>
      <c r="BA63" s="23">
        <v>-8.5999999999999993E-2</v>
      </c>
      <c r="BB63" s="23">
        <v>-1.95E-2</v>
      </c>
      <c r="BC63" s="23">
        <v>-6.25E-2</v>
      </c>
      <c r="BD63" s="23">
        <v>-1.7500000000000002E-2</v>
      </c>
      <c r="BE63" s="23">
        <v>-7.2499999999999995E-2</v>
      </c>
      <c r="BF63" s="23">
        <v>0.06</v>
      </c>
      <c r="BG63" s="23">
        <v>0.14499999999999999</v>
      </c>
      <c r="BH63" s="23">
        <v>0.155</v>
      </c>
      <c r="BI63" s="23">
        <v>0.125</v>
      </c>
      <c r="BJ63" s="23">
        <v>0.36</v>
      </c>
      <c r="BK63" s="23">
        <v>0</v>
      </c>
      <c r="BL63" s="23">
        <v>-1.4999999999999999E-2</v>
      </c>
      <c r="BM63" s="23">
        <v>5.0000000000000001E-3</v>
      </c>
      <c r="BN63" s="23">
        <v>-0.01</v>
      </c>
      <c r="BO63" s="23">
        <v>0.02</v>
      </c>
      <c r="BP63" s="23">
        <v>5.0000000000000001E-3</v>
      </c>
      <c r="BQ63" s="23">
        <v>2.5000000000000001E-3</v>
      </c>
      <c r="BR63" s="23">
        <v>0.01</v>
      </c>
      <c r="BS63">
        <v>5.0000000000000001E-3</v>
      </c>
      <c r="BT63">
        <v>3.2000000000000001E-2</v>
      </c>
      <c r="BU63">
        <v>3.2000000000000001E-2</v>
      </c>
      <c r="BV63">
        <v>0.03</v>
      </c>
    </row>
    <row r="64" spans="1:74" x14ac:dyDescent="0.25">
      <c r="A64" s="24" t="e">
        <f>#REF!-B64</f>
        <v>#REF!</v>
      </c>
      <c r="B64" s="24">
        <v>3.0910000000000002</v>
      </c>
      <c r="C64" s="138">
        <f t="shared" si="3"/>
        <v>39022</v>
      </c>
      <c r="D64">
        <v>3.617</v>
      </c>
      <c r="E64" s="24">
        <v>0.2475</v>
      </c>
      <c r="F64" s="23">
        <v>5.0855669981520801E-2</v>
      </c>
      <c r="G64" s="23">
        <v>-0.13</v>
      </c>
      <c r="H64" s="23">
        <v>-0.15</v>
      </c>
      <c r="I64" s="27">
        <v>-0.01</v>
      </c>
      <c r="J64" s="27">
        <v>-0.13500000000000001</v>
      </c>
      <c r="K64" s="23">
        <v>0</v>
      </c>
      <c r="L64" s="23">
        <v>-5.7500000000000002E-2</v>
      </c>
      <c r="M64" s="23">
        <v>-0.1</v>
      </c>
      <c r="N64" s="23">
        <v>-0.12</v>
      </c>
      <c r="O64" s="23">
        <v>-0.12</v>
      </c>
      <c r="P64" s="23">
        <v>-0.13</v>
      </c>
      <c r="Q64" s="23">
        <v>-0.09</v>
      </c>
      <c r="R64" s="23">
        <v>-6.7500000000000004E-2</v>
      </c>
      <c r="S64" s="23">
        <v>0.155</v>
      </c>
      <c r="T64" s="23">
        <v>0.20499999999999999</v>
      </c>
      <c r="U64" s="23">
        <v>0.13</v>
      </c>
      <c r="V64" s="23">
        <v>0.5</v>
      </c>
      <c r="W64" s="23">
        <v>0.19500000000000001</v>
      </c>
      <c r="X64" s="23">
        <v>0.21</v>
      </c>
      <c r="Y64" s="23">
        <v>-2.3E-2</v>
      </c>
      <c r="Z64" s="23">
        <v>-3.5000000000000003E-2</v>
      </c>
      <c r="AA64" s="23">
        <v>4.4999999999999997E-3</v>
      </c>
      <c r="AB64" s="23">
        <v>-1.55E-2</v>
      </c>
      <c r="AC64" s="23">
        <v>2.5000000000000001E-3</v>
      </c>
      <c r="AD64" s="23">
        <v>-2.2499999999999999E-2</v>
      </c>
      <c r="AE64" s="23">
        <v>-7.4999999999999997E-2</v>
      </c>
      <c r="AF64" s="23">
        <v>-6.7500000000000004E-2</v>
      </c>
      <c r="AG64" s="23">
        <v>-0.09</v>
      </c>
      <c r="AH64" s="23">
        <v>-1.6E-2</v>
      </c>
      <c r="AI64" s="23">
        <v>-6.6000000000000003E-2</v>
      </c>
      <c r="AJ64" s="23">
        <v>-0.1125</v>
      </c>
      <c r="AK64" s="23">
        <v>-1.0999999999999999E-2</v>
      </c>
      <c r="AL64" s="23">
        <v>2.9000000000000001E-2</v>
      </c>
      <c r="AM64" s="23">
        <v>0.65</v>
      </c>
      <c r="AN64" s="23">
        <v>-2.2499999999999999E-2</v>
      </c>
      <c r="AO64" s="23">
        <v>-0.34</v>
      </c>
      <c r="AP64" s="23">
        <v>-7.4999999999999997E-2</v>
      </c>
      <c r="AQ64" s="23">
        <v>-0.13</v>
      </c>
      <c r="AR64" s="23">
        <v>0.248</v>
      </c>
      <c r="AS64" s="23">
        <v>-0.26</v>
      </c>
      <c r="AT64" s="23">
        <v>-0.34</v>
      </c>
      <c r="AU64" s="23">
        <v>0.24</v>
      </c>
      <c r="AV64" s="23">
        <v>-0.34</v>
      </c>
      <c r="AW64" s="23">
        <v>-0.151</v>
      </c>
      <c r="AX64" s="23">
        <v>-6.5000000000000002E-2</v>
      </c>
      <c r="AY64" s="23">
        <v>-9.0999999999999998E-2</v>
      </c>
      <c r="AZ64" s="23">
        <v>-5.7500000000000002E-2</v>
      </c>
      <c r="BA64" s="23">
        <v>-8.1000000000000003E-2</v>
      </c>
      <c r="BB64" s="23">
        <v>-2.1000000000000001E-2</v>
      </c>
      <c r="BC64" s="23">
        <v>-7.7499999999999999E-2</v>
      </c>
      <c r="BD64" s="23">
        <v>-5.2499999999999998E-2</v>
      </c>
      <c r="BE64" s="23">
        <v>-7.4999999999999997E-2</v>
      </c>
      <c r="BF64" s="23">
        <v>0.15</v>
      </c>
      <c r="BG64" s="23">
        <v>0.23499999999999999</v>
      </c>
      <c r="BH64" s="23">
        <v>0.20499999999999999</v>
      </c>
      <c r="BI64" s="23">
        <v>0.155</v>
      </c>
      <c r="BJ64" s="23">
        <v>0.46</v>
      </c>
      <c r="BK64" s="23">
        <v>0</v>
      </c>
      <c r="BL64" s="23">
        <v>-0.02</v>
      </c>
      <c r="BM64" s="23">
        <v>5.0000000000000001E-3</v>
      </c>
      <c r="BN64" s="23">
        <v>0</v>
      </c>
      <c r="BO64" s="23">
        <v>3.5000000000000003E-2</v>
      </c>
      <c r="BP64" s="23">
        <v>5.0000000000000001E-3</v>
      </c>
      <c r="BQ64" s="23">
        <v>5.0000000000000001E-3</v>
      </c>
      <c r="BR64" s="23">
        <v>5.5E-2</v>
      </c>
      <c r="BS64">
        <v>0.02</v>
      </c>
      <c r="BT64">
        <v>3.4000000000000002E-2</v>
      </c>
      <c r="BU64">
        <v>3.4000000000000002E-2</v>
      </c>
      <c r="BV64">
        <v>0.03</v>
      </c>
    </row>
    <row r="65" spans="1:74" x14ac:dyDescent="0.25">
      <c r="A65" s="24" t="e">
        <f>#REF!-B65</f>
        <v>#REF!</v>
      </c>
      <c r="B65" s="24">
        <v>3.0730000000000004</v>
      </c>
      <c r="C65" s="138">
        <f t="shared" si="3"/>
        <v>39052</v>
      </c>
      <c r="D65">
        <v>3.76</v>
      </c>
      <c r="E65" s="24">
        <v>0.2475</v>
      </c>
      <c r="F65" s="23">
        <v>5.1156222993812103E-2</v>
      </c>
      <c r="G65" s="23">
        <v>-0.13250000000000001</v>
      </c>
      <c r="H65" s="23">
        <v>-0.1525</v>
      </c>
      <c r="I65" s="27">
        <v>-5.0000000000000001E-3</v>
      </c>
      <c r="J65" s="27">
        <v>-0.13500000000000001</v>
      </c>
      <c r="K65" s="23">
        <v>5.0000000000000001E-3</v>
      </c>
      <c r="L65" s="23">
        <v>-5.7500000000000002E-2</v>
      </c>
      <c r="M65" s="23">
        <v>-0.10249999999999999</v>
      </c>
      <c r="N65" s="23">
        <v>-0.1225</v>
      </c>
      <c r="O65" s="23">
        <v>-0.1225</v>
      </c>
      <c r="P65" s="23">
        <v>-0.13250000000000001</v>
      </c>
      <c r="Q65" s="23">
        <v>-0.09</v>
      </c>
      <c r="R65" s="23">
        <v>-6.7500000000000004E-2</v>
      </c>
      <c r="S65" s="23">
        <v>0.155</v>
      </c>
      <c r="T65" s="23">
        <v>0.20499999999999999</v>
      </c>
      <c r="U65" s="23">
        <v>0.13</v>
      </c>
      <c r="V65" s="23">
        <v>0.5</v>
      </c>
      <c r="W65" s="23">
        <v>0.215</v>
      </c>
      <c r="X65" s="23">
        <v>0.28999999999999998</v>
      </c>
      <c r="Y65" s="23">
        <v>-2.3E-2</v>
      </c>
      <c r="Z65" s="23">
        <v>-3.5000000000000003E-2</v>
      </c>
      <c r="AA65" s="23">
        <v>4.4999999999999997E-3</v>
      </c>
      <c r="AB65" s="23">
        <v>-1.55E-2</v>
      </c>
      <c r="AC65" s="23">
        <v>2.5000000000000001E-3</v>
      </c>
      <c r="AD65" s="23">
        <v>-2.2499999999999999E-2</v>
      </c>
      <c r="AE65" s="23">
        <v>-7.4999999999999997E-2</v>
      </c>
      <c r="AF65" s="23">
        <v>-6.5500000000000003E-2</v>
      </c>
      <c r="AG65" s="23">
        <v>-8.7999999999999995E-2</v>
      </c>
      <c r="AH65" s="23">
        <v>-1.35E-2</v>
      </c>
      <c r="AI65" s="23">
        <v>-6.6000000000000003E-2</v>
      </c>
      <c r="AJ65" s="23">
        <v>-0.1125</v>
      </c>
      <c r="AK65" s="23">
        <v>-1.0999999999999999E-2</v>
      </c>
      <c r="AL65" s="23">
        <v>2.9000000000000001E-2</v>
      </c>
      <c r="AM65" s="23">
        <v>0.98</v>
      </c>
      <c r="AN65" s="23">
        <v>-4.4999999999999998E-2</v>
      </c>
      <c r="AO65" s="23">
        <v>-0.34</v>
      </c>
      <c r="AP65" s="23">
        <v>-7.4999999999999997E-2</v>
      </c>
      <c r="AQ65" s="23">
        <v>-0.13</v>
      </c>
      <c r="AR65" s="23">
        <v>0.308</v>
      </c>
      <c r="AS65" s="23">
        <v>-0.26</v>
      </c>
      <c r="AT65" s="23">
        <v>-0.34</v>
      </c>
      <c r="AU65" s="23">
        <v>0.24</v>
      </c>
      <c r="AV65" s="23">
        <v>-0.34</v>
      </c>
      <c r="AW65" s="23">
        <v>-0.17849999999999999</v>
      </c>
      <c r="AX65" s="23">
        <v>-6.5000000000000002E-2</v>
      </c>
      <c r="AY65" s="23">
        <v>-0.11849999999999999</v>
      </c>
      <c r="AZ65" s="23">
        <v>-5.7500000000000002E-2</v>
      </c>
      <c r="BA65" s="23">
        <v>-0.1085</v>
      </c>
      <c r="BB65" s="23">
        <v>-1.8499999999999999E-2</v>
      </c>
      <c r="BC65" s="23">
        <v>-7.7499999999999999E-2</v>
      </c>
      <c r="BD65" s="23">
        <v>-7.4999999999999997E-2</v>
      </c>
      <c r="BE65" s="23">
        <v>-7.4999999999999997E-2</v>
      </c>
      <c r="BF65" s="23">
        <v>0.15</v>
      </c>
      <c r="BG65" s="23">
        <v>0.23499999999999999</v>
      </c>
      <c r="BH65" s="23">
        <v>0.20499999999999999</v>
      </c>
      <c r="BI65" s="23">
        <v>0.155</v>
      </c>
      <c r="BJ65" s="23">
        <v>0.77</v>
      </c>
      <c r="BK65" s="23">
        <v>0</v>
      </c>
      <c r="BL65" s="23">
        <v>-2.5000000000000001E-2</v>
      </c>
      <c r="BM65" s="23">
        <v>5.0000000000000001E-3</v>
      </c>
      <c r="BN65" s="23">
        <v>0</v>
      </c>
      <c r="BO65" s="23">
        <v>3.5000000000000003E-2</v>
      </c>
      <c r="BP65" s="23">
        <v>5.0000000000000001E-3</v>
      </c>
      <c r="BQ65" s="23">
        <v>5.0000000000000001E-3</v>
      </c>
      <c r="BR65" s="23">
        <v>0.25</v>
      </c>
      <c r="BS65">
        <v>0.02</v>
      </c>
      <c r="BT65">
        <v>3.4000000000000002E-2</v>
      </c>
      <c r="BU65">
        <v>3.4000000000000002E-2</v>
      </c>
      <c r="BV65">
        <v>0.03</v>
      </c>
    </row>
    <row r="66" spans="1:74" x14ac:dyDescent="0.25">
      <c r="A66" s="24" t="e">
        <f>#REF!-B66</f>
        <v>#REF!</v>
      </c>
      <c r="B66" s="24">
        <v>3.1380000000000003</v>
      </c>
      <c r="C66" s="138">
        <f t="shared" si="3"/>
        <v>39083</v>
      </c>
      <c r="D66">
        <v>3.8125</v>
      </c>
      <c r="E66" s="24">
        <v>0.2475</v>
      </c>
      <c r="F66" s="23">
        <v>5.1391857633718001E-2</v>
      </c>
      <c r="G66" s="23">
        <v>-0.13500000000000001</v>
      </c>
      <c r="H66" s="23">
        <v>-0.155</v>
      </c>
      <c r="I66" s="27">
        <v>1.4999999999999999E-2</v>
      </c>
      <c r="J66" s="27">
        <v>-0.13</v>
      </c>
      <c r="K66" s="23">
        <v>2.5000000000000001E-2</v>
      </c>
      <c r="L66" s="23">
        <v>-5.7500000000000002E-2</v>
      </c>
      <c r="M66" s="23">
        <v>-0.105</v>
      </c>
      <c r="N66" s="23">
        <v>-0.125</v>
      </c>
      <c r="O66" s="23">
        <v>-0.125</v>
      </c>
      <c r="P66" s="23">
        <v>-0.13500000000000001</v>
      </c>
      <c r="Q66" s="23">
        <v>-0.09</v>
      </c>
      <c r="R66" s="23">
        <v>-6.7500000000000004E-2</v>
      </c>
      <c r="S66" s="23">
        <v>0.155</v>
      </c>
      <c r="T66" s="23">
        <v>0.20499999999999999</v>
      </c>
      <c r="U66" s="23">
        <v>0.13</v>
      </c>
      <c r="V66" s="23">
        <v>0.5</v>
      </c>
      <c r="W66" s="23">
        <v>0.23499999999999999</v>
      </c>
      <c r="X66" s="23">
        <v>0.34</v>
      </c>
      <c r="Y66" s="23">
        <v>-2.1000000000000001E-2</v>
      </c>
      <c r="Z66" s="23">
        <v>-3.5000000000000003E-2</v>
      </c>
      <c r="AA66" s="23">
        <v>4.4999999999999997E-3</v>
      </c>
      <c r="AB66" s="23">
        <v>-1.55E-2</v>
      </c>
      <c r="AC66" s="23">
        <v>2.5000000000000001E-3</v>
      </c>
      <c r="AD66" s="23">
        <v>-2.2499999999999999E-2</v>
      </c>
      <c r="AE66" s="23">
        <v>-7.4999999999999997E-2</v>
      </c>
      <c r="AF66" s="23">
        <v>-6.5500000000000003E-2</v>
      </c>
      <c r="AG66" s="23">
        <v>-8.7999999999999995E-2</v>
      </c>
      <c r="AH66" s="23">
        <v>-1.35E-2</v>
      </c>
      <c r="AI66" s="23">
        <v>-6.6000000000000003E-2</v>
      </c>
      <c r="AJ66" s="23">
        <v>-0.1125</v>
      </c>
      <c r="AK66" s="23">
        <v>-1.0999999999999999E-2</v>
      </c>
      <c r="AL66" s="23">
        <v>2.9000000000000001E-2</v>
      </c>
      <c r="AM66" s="23">
        <v>1.6</v>
      </c>
      <c r="AN66" s="23">
        <v>-4.7500000000000001E-2</v>
      </c>
      <c r="AO66" s="23">
        <v>-0.34</v>
      </c>
      <c r="AP66" s="23">
        <v>-7.0000000000000007E-2</v>
      </c>
      <c r="AQ66" s="23">
        <v>-0.13</v>
      </c>
      <c r="AR66" s="23">
        <v>0.378</v>
      </c>
      <c r="AS66" s="23">
        <v>-0.26</v>
      </c>
      <c r="AT66" s="23">
        <v>-0.34</v>
      </c>
      <c r="AU66" s="23">
        <v>0.24</v>
      </c>
      <c r="AV66" s="23">
        <v>-0.34</v>
      </c>
      <c r="AW66" s="23">
        <v>-0.19350000000000001</v>
      </c>
      <c r="AX66" s="23">
        <v>-0.06</v>
      </c>
      <c r="AY66" s="23">
        <v>-0.13350000000000001</v>
      </c>
      <c r="AZ66" s="23">
        <v>-5.7500000000000002E-2</v>
      </c>
      <c r="BA66" s="23">
        <v>-0.109</v>
      </c>
      <c r="BB66" s="23">
        <v>-1.8499999999999999E-2</v>
      </c>
      <c r="BC66" s="23">
        <v>-7.7499999999999999E-2</v>
      </c>
      <c r="BD66" s="23">
        <v>-7.7499999999999999E-2</v>
      </c>
      <c r="BE66" s="23">
        <v>-7.4999999999999997E-2</v>
      </c>
      <c r="BF66" s="23">
        <v>0.15</v>
      </c>
      <c r="BG66" s="23">
        <v>0.23499999999999999</v>
      </c>
      <c r="BH66" s="23">
        <v>0.20499999999999999</v>
      </c>
      <c r="BI66" s="23">
        <v>0.155</v>
      </c>
      <c r="BJ66" s="23">
        <v>1.04</v>
      </c>
      <c r="BK66" s="23">
        <v>2.5000000000000001E-3</v>
      </c>
      <c r="BL66" s="23">
        <v>-2.5000000000000001E-2</v>
      </c>
      <c r="BM66" s="23">
        <v>5.0000000000000001E-3</v>
      </c>
      <c r="BN66" s="23">
        <v>0</v>
      </c>
      <c r="BO66" s="23">
        <v>3.5000000000000003E-2</v>
      </c>
      <c r="BP66" s="23">
        <v>5.0000000000000001E-3</v>
      </c>
      <c r="BQ66" s="23">
        <v>5.0000000000000001E-3</v>
      </c>
      <c r="BR66" s="23">
        <v>0.45</v>
      </c>
      <c r="BS66">
        <v>0.02</v>
      </c>
      <c r="BT66">
        <v>3.4000000000000002E-2</v>
      </c>
      <c r="BU66">
        <v>3.4000000000000002E-2</v>
      </c>
      <c r="BV66">
        <v>0.03</v>
      </c>
    </row>
    <row r="67" spans="1:74" x14ac:dyDescent="0.25">
      <c r="A67" s="24" t="e">
        <f>#REF!-B67</f>
        <v>#REF!</v>
      </c>
      <c r="B67" s="24">
        <v>3.133</v>
      </c>
      <c r="C67" s="138">
        <f t="shared" si="3"/>
        <v>39114</v>
      </c>
      <c r="D67">
        <v>3.7275</v>
      </c>
      <c r="E67" s="24">
        <v>0.24249999999999999</v>
      </c>
      <c r="F67" s="23">
        <v>5.1573371239542101E-2</v>
      </c>
      <c r="G67" s="23">
        <v>-0.1275</v>
      </c>
      <c r="H67" s="23">
        <v>-0.14749999999999999</v>
      </c>
      <c r="I67" s="27">
        <v>0.01</v>
      </c>
      <c r="J67" s="27">
        <v>-0.13</v>
      </c>
      <c r="K67" s="23">
        <v>0.02</v>
      </c>
      <c r="L67" s="23">
        <v>-5.7500000000000002E-2</v>
      </c>
      <c r="M67" s="23">
        <v>-9.7500000000000003E-2</v>
      </c>
      <c r="N67" s="23">
        <v>-0.11749999999999999</v>
      </c>
      <c r="O67" s="23">
        <v>-0.11749999999999999</v>
      </c>
      <c r="P67" s="23">
        <v>-0.1275</v>
      </c>
      <c r="Q67" s="23">
        <v>-0.09</v>
      </c>
      <c r="R67" s="23">
        <v>-6.7500000000000004E-2</v>
      </c>
      <c r="S67" s="23">
        <v>0.155</v>
      </c>
      <c r="T67" s="23">
        <v>0.20499999999999999</v>
      </c>
      <c r="U67" s="23">
        <v>0.13</v>
      </c>
      <c r="V67" s="23">
        <v>0.5</v>
      </c>
      <c r="W67" s="23">
        <v>0.23499999999999999</v>
      </c>
      <c r="X67" s="23">
        <v>0.34</v>
      </c>
      <c r="Y67" s="23">
        <v>-2.1000000000000001E-2</v>
      </c>
      <c r="Z67" s="23">
        <v>-3.5000000000000003E-2</v>
      </c>
      <c r="AA67" s="23">
        <v>4.4999999999999997E-3</v>
      </c>
      <c r="AB67" s="23">
        <v>-1.55E-2</v>
      </c>
      <c r="AC67" s="23">
        <v>2.5000000000000001E-3</v>
      </c>
      <c r="AD67" s="23">
        <v>-2.2499999999999999E-2</v>
      </c>
      <c r="AE67" s="23">
        <v>-7.4999999999999997E-2</v>
      </c>
      <c r="AF67" s="23">
        <v>-6.5500000000000003E-2</v>
      </c>
      <c r="AG67" s="23">
        <v>-8.7999999999999995E-2</v>
      </c>
      <c r="AH67" s="23">
        <v>-1.35E-2</v>
      </c>
      <c r="AI67" s="23">
        <v>-6.6000000000000003E-2</v>
      </c>
      <c r="AJ67" s="23">
        <v>-0.1125</v>
      </c>
      <c r="AK67" s="23">
        <v>-1.0999999999999999E-2</v>
      </c>
      <c r="AL67" s="23">
        <v>2.9000000000000001E-2</v>
      </c>
      <c r="AM67" s="23">
        <v>1.6</v>
      </c>
      <c r="AN67" s="23">
        <v>-0.03</v>
      </c>
      <c r="AO67" s="23">
        <v>-0.34</v>
      </c>
      <c r="AP67" s="23">
        <v>-7.0000000000000007E-2</v>
      </c>
      <c r="AQ67" s="23">
        <v>-0.13</v>
      </c>
      <c r="AR67" s="23">
        <v>0.248</v>
      </c>
      <c r="AS67" s="23">
        <v>-0.26</v>
      </c>
      <c r="AT67" s="23">
        <v>-0.34</v>
      </c>
      <c r="AU67" s="23">
        <v>0.24</v>
      </c>
      <c r="AV67" s="23">
        <v>-0.34</v>
      </c>
      <c r="AW67" s="23">
        <v>-0.1835</v>
      </c>
      <c r="AX67" s="23">
        <v>-0.06</v>
      </c>
      <c r="AY67" s="23">
        <v>-0.1235</v>
      </c>
      <c r="AZ67" s="23">
        <v>-5.7500000000000002E-2</v>
      </c>
      <c r="BA67" s="23">
        <v>-0.109</v>
      </c>
      <c r="BB67" s="23">
        <v>-1.8499999999999999E-2</v>
      </c>
      <c r="BC67" s="23">
        <v>-7.7499999999999999E-2</v>
      </c>
      <c r="BD67" s="23">
        <v>-0.06</v>
      </c>
      <c r="BE67" s="23">
        <v>-7.4999999999999997E-2</v>
      </c>
      <c r="BF67" s="23">
        <v>0.15</v>
      </c>
      <c r="BG67" s="23">
        <v>0.23499999999999999</v>
      </c>
      <c r="BH67" s="23">
        <v>0.20499999999999999</v>
      </c>
      <c r="BI67" s="23">
        <v>0.155</v>
      </c>
      <c r="BJ67" s="23">
        <v>1.04</v>
      </c>
      <c r="BK67" s="23">
        <v>2.5000000000000001E-3</v>
      </c>
      <c r="BL67" s="23">
        <v>-2.5000000000000001E-2</v>
      </c>
      <c r="BM67" s="23">
        <v>5.0000000000000001E-3</v>
      </c>
      <c r="BN67" s="23">
        <v>0</v>
      </c>
      <c r="BO67" s="23">
        <v>3.5000000000000003E-2</v>
      </c>
      <c r="BP67" s="23">
        <v>5.0000000000000001E-3</v>
      </c>
      <c r="BQ67" s="23">
        <v>5.0000000000000001E-3</v>
      </c>
      <c r="BR67" s="23">
        <v>0.45</v>
      </c>
      <c r="BS67">
        <v>0.02</v>
      </c>
      <c r="BT67">
        <v>3.4000000000000002E-2</v>
      </c>
      <c r="BU67">
        <v>3.4000000000000002E-2</v>
      </c>
      <c r="BV67">
        <v>0.03</v>
      </c>
    </row>
    <row r="68" spans="1:74" x14ac:dyDescent="0.25">
      <c r="A68" s="24" t="e">
        <f>#REF!-B68</f>
        <v>#REF!</v>
      </c>
      <c r="B68" s="24">
        <v>3.1210000000000004</v>
      </c>
      <c r="C68" s="138">
        <f t="shared" si="3"/>
        <v>39142</v>
      </c>
      <c r="D68">
        <v>3.5975000000000001</v>
      </c>
      <c r="E68" s="24">
        <v>0.24</v>
      </c>
      <c r="F68" s="23">
        <v>5.17373190219916E-2</v>
      </c>
      <c r="G68" s="23">
        <v>-0.125</v>
      </c>
      <c r="H68" s="23">
        <v>-0.14499999999999999</v>
      </c>
      <c r="I68" s="27">
        <v>-0.01</v>
      </c>
      <c r="J68" s="27">
        <v>-0.13</v>
      </c>
      <c r="K68" s="23">
        <v>0</v>
      </c>
      <c r="L68" s="23">
        <v>-5.7500000000000002E-2</v>
      </c>
      <c r="M68" s="23">
        <v>-9.5000000000000001E-2</v>
      </c>
      <c r="N68" s="23">
        <v>-0.115</v>
      </c>
      <c r="O68" s="23">
        <v>-0.115</v>
      </c>
      <c r="P68" s="23">
        <v>-0.125</v>
      </c>
      <c r="Q68" s="23">
        <v>-0.09</v>
      </c>
      <c r="R68" s="23">
        <v>-6.7500000000000004E-2</v>
      </c>
      <c r="S68" s="23">
        <v>0.155</v>
      </c>
      <c r="T68" s="23">
        <v>0.20499999999999999</v>
      </c>
      <c r="U68" s="23">
        <v>0.13</v>
      </c>
      <c r="V68" s="23">
        <v>0.5</v>
      </c>
      <c r="W68" s="23">
        <v>0.19500000000000001</v>
      </c>
      <c r="X68" s="23">
        <v>0.28999999999999998</v>
      </c>
      <c r="Y68" s="23">
        <v>-2.1000000000000001E-2</v>
      </c>
      <c r="Z68" s="23">
        <v>-3.5000000000000003E-2</v>
      </c>
      <c r="AA68" s="23">
        <v>1.2E-2</v>
      </c>
      <c r="AB68" s="23">
        <v>-8.0000000000000002E-3</v>
      </c>
      <c r="AC68" s="23">
        <v>2.5000000000000001E-3</v>
      </c>
      <c r="AD68" s="23">
        <v>-2.2499999999999999E-2</v>
      </c>
      <c r="AE68" s="23">
        <v>-7.4999999999999997E-2</v>
      </c>
      <c r="AF68" s="23">
        <v>-6.5500000000000003E-2</v>
      </c>
      <c r="AG68" s="23">
        <v>-8.7999999999999995E-2</v>
      </c>
      <c r="AH68" s="23">
        <v>-1.35E-2</v>
      </c>
      <c r="AI68" s="23">
        <v>-6.6000000000000003E-2</v>
      </c>
      <c r="AJ68" s="23">
        <v>-0.1125</v>
      </c>
      <c r="AK68" s="23">
        <v>-1.0999999999999999E-2</v>
      </c>
      <c r="AL68" s="23">
        <v>2.9000000000000001E-2</v>
      </c>
      <c r="AM68" s="23">
        <v>0.64</v>
      </c>
      <c r="AN68" s="23">
        <v>-1.7500000000000002E-2</v>
      </c>
      <c r="AO68" s="23">
        <v>-0.34</v>
      </c>
      <c r="AP68" s="23">
        <v>-7.0000000000000007E-2</v>
      </c>
      <c r="AQ68" s="23">
        <v>-0.13</v>
      </c>
      <c r="AR68" s="23">
        <v>6.8000000000000005E-2</v>
      </c>
      <c r="AS68" s="23">
        <v>-0.26</v>
      </c>
      <c r="AT68" s="23">
        <v>-0.34</v>
      </c>
      <c r="AU68" s="23">
        <v>0.24</v>
      </c>
      <c r="AV68" s="23">
        <v>-0.34</v>
      </c>
      <c r="AW68" s="23">
        <v>-0.17349999999999999</v>
      </c>
      <c r="AX68" s="23">
        <v>-0.06</v>
      </c>
      <c r="AY68" s="23">
        <v>-0.1135</v>
      </c>
      <c r="AZ68" s="23">
        <v>-5.7500000000000002E-2</v>
      </c>
      <c r="BA68" s="23">
        <v>-0.109</v>
      </c>
      <c r="BB68" s="23">
        <v>-1.8499999999999999E-2</v>
      </c>
      <c r="BC68" s="23">
        <v>-7.7499999999999999E-2</v>
      </c>
      <c r="BD68" s="23">
        <v>-4.7500000000000001E-2</v>
      </c>
      <c r="BE68" s="23">
        <v>-7.4999999999999997E-2</v>
      </c>
      <c r="BF68" s="23">
        <v>0.15</v>
      </c>
      <c r="BG68" s="23">
        <v>0.23499999999999999</v>
      </c>
      <c r="BH68" s="23">
        <v>0.20499999999999999</v>
      </c>
      <c r="BI68" s="23">
        <v>0.155</v>
      </c>
      <c r="BJ68" s="23">
        <v>0.54</v>
      </c>
      <c r="BK68" s="23">
        <v>2.5000000000000001E-3</v>
      </c>
      <c r="BL68" s="23">
        <v>-0.02</v>
      </c>
      <c r="BM68" s="23">
        <v>5.0000000000000001E-3</v>
      </c>
      <c r="BN68" s="23">
        <v>0</v>
      </c>
      <c r="BO68" s="23">
        <v>3.5000000000000003E-2</v>
      </c>
      <c r="BP68" s="23">
        <v>5.0000000000000001E-3</v>
      </c>
      <c r="BQ68" s="23">
        <v>5.0000000000000001E-3</v>
      </c>
      <c r="BR68" s="23">
        <v>0.1</v>
      </c>
      <c r="BS68">
        <v>0.02</v>
      </c>
      <c r="BT68">
        <v>3.4000000000000002E-2</v>
      </c>
      <c r="BU68">
        <v>3.4000000000000002E-2</v>
      </c>
      <c r="BV68">
        <v>0.03</v>
      </c>
    </row>
    <row r="69" spans="1:74" x14ac:dyDescent="0.25">
      <c r="A69" s="24" t="e">
        <f>#REF!-B69</f>
        <v>#REF!</v>
      </c>
      <c r="B69" s="24">
        <v>3.137</v>
      </c>
      <c r="C69" s="138">
        <f t="shared" si="3"/>
        <v>39173</v>
      </c>
      <c r="D69">
        <v>3.4125000000000001</v>
      </c>
      <c r="E69" s="24">
        <v>0.24</v>
      </c>
      <c r="F69" s="23">
        <v>5.1918832648734502E-2</v>
      </c>
      <c r="G69" s="23">
        <v>-0.13</v>
      </c>
      <c r="H69" s="23">
        <v>-0.15</v>
      </c>
      <c r="I69" s="27">
        <v>-0.09</v>
      </c>
      <c r="J69" s="27">
        <v>-0.13</v>
      </c>
      <c r="K69" s="23">
        <v>-0.09</v>
      </c>
      <c r="L69" s="23">
        <v>-5.5E-2</v>
      </c>
      <c r="M69" s="23">
        <v>-7.4999999999999997E-2</v>
      </c>
      <c r="N69" s="23">
        <v>-0.12</v>
      </c>
      <c r="O69" s="23">
        <v>-0.12</v>
      </c>
      <c r="P69" s="23">
        <v>-0.13</v>
      </c>
      <c r="Q69" s="23">
        <v>-0.08</v>
      </c>
      <c r="R69" s="23">
        <v>-6.5000000000000002E-2</v>
      </c>
      <c r="S69" s="23">
        <v>0.125</v>
      </c>
      <c r="T69" s="23">
        <v>0.155</v>
      </c>
      <c r="U69" s="23">
        <v>0.04</v>
      </c>
      <c r="V69" s="23">
        <v>0.5</v>
      </c>
      <c r="W69" s="23">
        <v>0.14499999999999999</v>
      </c>
      <c r="X69" s="23">
        <v>0.19500000000000001</v>
      </c>
      <c r="Y69" s="23">
        <v>-2.35E-2</v>
      </c>
      <c r="Z69" s="23">
        <v>-0.05</v>
      </c>
      <c r="AA69" s="23">
        <v>1.2E-2</v>
      </c>
      <c r="AB69" s="23">
        <v>-8.0000000000000002E-3</v>
      </c>
      <c r="AC69" s="23">
        <v>2.5000000000000001E-3</v>
      </c>
      <c r="AD69" s="23">
        <v>-2.2499999999999999E-2</v>
      </c>
      <c r="AE69" s="23">
        <v>-7.2499999999999995E-2</v>
      </c>
      <c r="AF69" s="23">
        <v>-6.3E-2</v>
      </c>
      <c r="AG69" s="23">
        <v>-8.5500000000000007E-2</v>
      </c>
      <c r="AH69" s="23">
        <v>-1.8499999999999999E-2</v>
      </c>
      <c r="AI69" s="23">
        <v>-7.1999999999999995E-2</v>
      </c>
      <c r="AJ69" s="23">
        <v>-9.5000000000000001E-2</v>
      </c>
      <c r="AK69" s="23">
        <v>-1.7000000000000001E-2</v>
      </c>
      <c r="AL69" s="23">
        <v>2.3E-2</v>
      </c>
      <c r="AM69" s="23">
        <v>0.38</v>
      </c>
      <c r="AN69" s="23">
        <v>0.02</v>
      </c>
      <c r="AO69" s="23">
        <v>-0.47</v>
      </c>
      <c r="AP69" s="23">
        <v>-7.0000000000000007E-2</v>
      </c>
      <c r="AQ69" s="23">
        <v>-0.19500000000000001</v>
      </c>
      <c r="AR69" s="23">
        <v>-0.25</v>
      </c>
      <c r="AS69" s="23">
        <v>-0.39</v>
      </c>
      <c r="AT69" s="23">
        <v>-0.47</v>
      </c>
      <c r="AU69" s="23">
        <v>0.26</v>
      </c>
      <c r="AV69" s="23">
        <v>-0.47</v>
      </c>
      <c r="AW69" s="23">
        <v>-0.214</v>
      </c>
      <c r="AX69" s="23">
        <v>-0.06</v>
      </c>
      <c r="AY69" s="23">
        <v>-0.154</v>
      </c>
      <c r="AZ69" s="23">
        <v>-5.5E-2</v>
      </c>
      <c r="BA69" s="23">
        <v>-0.13150000000000001</v>
      </c>
      <c r="BB69" s="23">
        <v>-1.8499999999999999E-2</v>
      </c>
      <c r="BC69" s="23">
        <v>-0.06</v>
      </c>
      <c r="BD69" s="23">
        <v>-0.01</v>
      </c>
      <c r="BE69" s="23">
        <v>-7.2499999999999995E-2</v>
      </c>
      <c r="BF69" s="23">
        <v>0.06</v>
      </c>
      <c r="BG69" s="23">
        <v>0.155</v>
      </c>
      <c r="BH69" s="23">
        <v>0.155</v>
      </c>
      <c r="BI69" s="23">
        <v>0.125</v>
      </c>
      <c r="BJ69" s="23">
        <v>0.36</v>
      </c>
      <c r="BK69" s="23">
        <v>2.5000000000000001E-3</v>
      </c>
      <c r="BL69" s="23">
        <v>-1.4999999999999999E-2</v>
      </c>
      <c r="BM69" s="23">
        <v>5.0000000000000001E-3</v>
      </c>
      <c r="BN69" s="23">
        <v>-0.01</v>
      </c>
      <c r="BO69" s="23">
        <v>0.02</v>
      </c>
      <c r="BP69" s="23">
        <v>5.0000000000000001E-3</v>
      </c>
      <c r="BQ69" s="23">
        <v>2.5000000000000001E-3</v>
      </c>
      <c r="BR69" s="23">
        <v>0.02</v>
      </c>
      <c r="BS69">
        <v>5.0000000000000001E-3</v>
      </c>
      <c r="BT69">
        <v>3.4000000000000002E-2</v>
      </c>
      <c r="BU69">
        <v>3.4000000000000002E-2</v>
      </c>
      <c r="BV69">
        <v>0.03</v>
      </c>
    </row>
    <row r="70" spans="1:74" x14ac:dyDescent="0.25">
      <c r="A70" s="24" t="e">
        <f>#REF!-B70</f>
        <v>#REF!</v>
      </c>
      <c r="B70" s="24">
        <v>3.2390000000000003</v>
      </c>
      <c r="C70" s="138">
        <f t="shared" si="3"/>
        <v>39203</v>
      </c>
      <c r="D70">
        <v>3.4075000000000002</v>
      </c>
      <c r="E70" s="24">
        <v>0.24</v>
      </c>
      <c r="F70" s="23">
        <v>5.2094491007659699E-2</v>
      </c>
      <c r="G70" s="23">
        <v>-0.13</v>
      </c>
      <c r="H70" s="23">
        <v>-0.15</v>
      </c>
      <c r="I70" s="27">
        <v>-0.09</v>
      </c>
      <c r="J70" s="27">
        <v>-0.13</v>
      </c>
      <c r="K70" s="23">
        <v>-0.09</v>
      </c>
      <c r="L70" s="23">
        <v>-5.5E-2</v>
      </c>
      <c r="M70" s="23">
        <v>-7.4999999999999997E-2</v>
      </c>
      <c r="N70" s="23">
        <v>-0.12</v>
      </c>
      <c r="O70" s="23">
        <v>-0.12</v>
      </c>
      <c r="P70" s="23">
        <v>-0.13</v>
      </c>
      <c r="Q70" s="23">
        <v>-0.08</v>
      </c>
      <c r="R70" s="23">
        <v>-6.5000000000000002E-2</v>
      </c>
      <c r="S70" s="23">
        <v>0.125</v>
      </c>
      <c r="T70" s="23">
        <v>0.155</v>
      </c>
      <c r="U70" s="23">
        <v>0.04</v>
      </c>
      <c r="V70" s="23">
        <v>0.5</v>
      </c>
      <c r="W70" s="23">
        <v>0.125</v>
      </c>
      <c r="X70" s="23">
        <v>0.13500000000000001</v>
      </c>
      <c r="Y70" s="23">
        <v>-2.35E-2</v>
      </c>
      <c r="Z70" s="23">
        <v>-0.05</v>
      </c>
      <c r="AA70" s="23">
        <v>1.4500000000000001E-2</v>
      </c>
      <c r="AB70" s="23">
        <v>-5.4999999999999997E-3</v>
      </c>
      <c r="AC70" s="23">
        <v>2.5000000000000001E-3</v>
      </c>
      <c r="AD70" s="23">
        <v>-2.2499999999999999E-2</v>
      </c>
      <c r="AE70" s="23">
        <v>-7.2499999999999995E-2</v>
      </c>
      <c r="AF70" s="23">
        <v>-6.3E-2</v>
      </c>
      <c r="AG70" s="23">
        <v>-8.5500000000000007E-2</v>
      </c>
      <c r="AH70" s="23">
        <v>-1.8499999999999999E-2</v>
      </c>
      <c r="AI70" s="23">
        <v>-7.1999999999999995E-2</v>
      </c>
      <c r="AJ70" s="23">
        <v>-9.5000000000000001E-2</v>
      </c>
      <c r="AK70" s="23">
        <v>-1.7000000000000001E-2</v>
      </c>
      <c r="AL70" s="23">
        <v>2.3E-2</v>
      </c>
      <c r="AM70" s="23">
        <v>0.33</v>
      </c>
      <c r="AN70" s="23">
        <v>0.02</v>
      </c>
      <c r="AO70" s="23">
        <v>-0.47</v>
      </c>
      <c r="AP70" s="23">
        <v>-7.0000000000000007E-2</v>
      </c>
      <c r="AQ70" s="23">
        <v>-0.19500000000000001</v>
      </c>
      <c r="AR70" s="23">
        <v>-0.25</v>
      </c>
      <c r="AS70" s="23">
        <v>-0.39</v>
      </c>
      <c r="AT70" s="23">
        <v>-0.47</v>
      </c>
      <c r="AU70" s="23">
        <v>0.26</v>
      </c>
      <c r="AV70" s="23">
        <v>-0.47</v>
      </c>
      <c r="AW70" s="23">
        <v>-0.1915</v>
      </c>
      <c r="AX70" s="23">
        <v>-0.06</v>
      </c>
      <c r="AY70" s="23">
        <v>-0.13150000000000001</v>
      </c>
      <c r="AZ70" s="23">
        <v>-5.5E-2</v>
      </c>
      <c r="BA70" s="23">
        <v>-0.124</v>
      </c>
      <c r="BB70" s="23">
        <v>-1.8499999999999999E-2</v>
      </c>
      <c r="BC70" s="23">
        <v>-0.06</v>
      </c>
      <c r="BD70" s="23">
        <v>-0.01</v>
      </c>
      <c r="BE70" s="23">
        <v>-7.2499999999999995E-2</v>
      </c>
      <c r="BF70" s="23">
        <v>0.06</v>
      </c>
      <c r="BG70" s="23">
        <v>0.155</v>
      </c>
      <c r="BH70" s="23">
        <v>0.155</v>
      </c>
      <c r="BI70" s="23">
        <v>0.125</v>
      </c>
      <c r="BJ70" s="23">
        <v>0.32500000000000001</v>
      </c>
      <c r="BK70" s="23">
        <v>2.5000000000000001E-3</v>
      </c>
      <c r="BL70" s="23">
        <v>-1.4999999999999999E-2</v>
      </c>
      <c r="BM70" s="23">
        <v>5.0000000000000001E-3</v>
      </c>
      <c r="BN70" s="23">
        <v>-0.01</v>
      </c>
      <c r="BO70" s="23">
        <v>0.02</v>
      </c>
      <c r="BP70" s="23">
        <v>5.0000000000000001E-3</v>
      </c>
      <c r="BQ70" s="23">
        <v>2.5000000000000001E-3</v>
      </c>
      <c r="BR70" s="23">
        <v>0.02</v>
      </c>
      <c r="BS70">
        <v>5.0000000000000001E-3</v>
      </c>
      <c r="BT70">
        <v>3.4000000000000002E-2</v>
      </c>
      <c r="BU70">
        <v>3.4000000000000002E-2</v>
      </c>
      <c r="BV70">
        <v>0.03</v>
      </c>
    </row>
    <row r="71" spans="1:74" x14ac:dyDescent="0.25">
      <c r="A71" s="24" t="e">
        <f>#REF!-B71</f>
        <v>#REF!</v>
      </c>
      <c r="B71" s="24">
        <v>3.3420000000000001</v>
      </c>
      <c r="C71" s="138">
        <f t="shared" ref="C71:C134" si="4">EOMONTH(C70,0)+1</f>
        <v>39234</v>
      </c>
      <c r="D71">
        <v>3.4424999999999999</v>
      </c>
      <c r="E71" s="24">
        <v>0.24</v>
      </c>
      <c r="F71" s="23">
        <v>5.2276004656028399E-2</v>
      </c>
      <c r="G71" s="23">
        <v>-0.13</v>
      </c>
      <c r="H71" s="23">
        <v>-0.15</v>
      </c>
      <c r="I71" s="27">
        <v>-0.09</v>
      </c>
      <c r="J71" s="27">
        <v>-0.13</v>
      </c>
      <c r="K71" s="23">
        <v>-0.09</v>
      </c>
      <c r="L71" s="23">
        <v>-5.5E-2</v>
      </c>
      <c r="M71" s="23">
        <v>-7.4999999999999997E-2</v>
      </c>
      <c r="N71" s="23">
        <v>-0.12</v>
      </c>
      <c r="O71" s="23">
        <v>-0.12</v>
      </c>
      <c r="P71" s="23">
        <v>-0.13</v>
      </c>
      <c r="Q71" s="23">
        <v>-0.08</v>
      </c>
      <c r="R71" s="23">
        <v>-6.5000000000000002E-2</v>
      </c>
      <c r="S71" s="23">
        <v>0.125</v>
      </c>
      <c r="T71" s="23">
        <v>0.155</v>
      </c>
      <c r="U71" s="23">
        <v>0.04</v>
      </c>
      <c r="V71" s="23">
        <v>0.5</v>
      </c>
      <c r="W71" s="23">
        <v>0.14499999999999999</v>
      </c>
      <c r="X71" s="23">
        <v>0.16500000000000001</v>
      </c>
      <c r="Y71" s="23">
        <v>-2.35E-2</v>
      </c>
      <c r="Z71" s="23">
        <v>-4.7500000000000001E-2</v>
      </c>
      <c r="AA71" s="23">
        <v>1.4500000000000001E-2</v>
      </c>
      <c r="AB71" s="23">
        <v>-5.4999999999999997E-3</v>
      </c>
      <c r="AC71" s="23">
        <v>2.5000000000000001E-3</v>
      </c>
      <c r="AD71" s="23">
        <v>-2.2499999999999999E-2</v>
      </c>
      <c r="AE71" s="23">
        <v>-7.2499999999999995E-2</v>
      </c>
      <c r="AF71" s="23">
        <v>-6.3E-2</v>
      </c>
      <c r="AG71" s="23">
        <v>-8.5500000000000007E-2</v>
      </c>
      <c r="AH71" s="23">
        <v>-1.8499999999999999E-2</v>
      </c>
      <c r="AI71" s="23">
        <v>-7.1999999999999995E-2</v>
      </c>
      <c r="AJ71" s="23">
        <v>-9.5000000000000001E-2</v>
      </c>
      <c r="AK71" s="23">
        <v>-1.7000000000000001E-2</v>
      </c>
      <c r="AL71" s="23">
        <v>2.3E-2</v>
      </c>
      <c r="AM71" s="23">
        <v>0.37</v>
      </c>
      <c r="AN71" s="23">
        <v>2.5000000000000001E-2</v>
      </c>
      <c r="AO71" s="23">
        <v>-0.47</v>
      </c>
      <c r="AP71" s="23">
        <v>-7.0000000000000007E-2</v>
      </c>
      <c r="AQ71" s="23">
        <v>-0.19500000000000001</v>
      </c>
      <c r="AR71" s="23">
        <v>-0.25</v>
      </c>
      <c r="AS71" s="23">
        <v>-0.39</v>
      </c>
      <c r="AT71" s="23">
        <v>-0.47</v>
      </c>
      <c r="AU71" s="23">
        <v>0.26</v>
      </c>
      <c r="AV71" s="23">
        <v>-0.47</v>
      </c>
      <c r="AW71" s="23">
        <v>-0.13900000000000001</v>
      </c>
      <c r="AX71" s="23">
        <v>-0.06</v>
      </c>
      <c r="AY71" s="23">
        <v>-7.9000000000000001E-2</v>
      </c>
      <c r="AZ71" s="23">
        <v>-5.5E-2</v>
      </c>
      <c r="BA71" s="23">
        <v>-8.1500000000000003E-2</v>
      </c>
      <c r="BB71" s="23">
        <v>-1.8499999999999999E-2</v>
      </c>
      <c r="BC71" s="23">
        <v>-0.06</v>
      </c>
      <c r="BD71" s="23">
        <v>-5.0000000000000001E-3</v>
      </c>
      <c r="BE71" s="23">
        <v>-7.2499999999999995E-2</v>
      </c>
      <c r="BF71" s="23">
        <v>0.06</v>
      </c>
      <c r="BG71" s="23">
        <v>0.155</v>
      </c>
      <c r="BH71" s="23">
        <v>0.155</v>
      </c>
      <c r="BI71" s="23">
        <v>0.125</v>
      </c>
      <c r="BJ71" s="23">
        <v>0.33500000000000002</v>
      </c>
      <c r="BK71" s="23">
        <v>2.5000000000000001E-3</v>
      </c>
      <c r="BL71" s="23">
        <v>-1.4999999999999999E-2</v>
      </c>
      <c r="BM71" s="23">
        <v>5.0000000000000001E-3</v>
      </c>
      <c r="BN71" s="23">
        <v>-0.01</v>
      </c>
      <c r="BO71" s="23">
        <v>0.02</v>
      </c>
      <c r="BP71" s="23">
        <v>5.0000000000000001E-3</v>
      </c>
      <c r="BQ71" s="23">
        <v>2.5000000000000001E-3</v>
      </c>
      <c r="BR71" s="23">
        <v>3.5000000000000003E-2</v>
      </c>
      <c r="BS71">
        <v>5.0000000000000001E-3</v>
      </c>
      <c r="BT71">
        <v>3.4000000000000002E-2</v>
      </c>
      <c r="BU71">
        <v>3.4000000000000002E-2</v>
      </c>
      <c r="BV71">
        <v>0.03</v>
      </c>
    </row>
    <row r="72" spans="1:74" x14ac:dyDescent="0.25">
      <c r="A72" s="24" t="e">
        <f>#REF!-B72</f>
        <v>#REF!</v>
      </c>
      <c r="B72" s="24">
        <v>3.5440000000000005</v>
      </c>
      <c r="C72" s="138">
        <f t="shared" si="4"/>
        <v>39264</v>
      </c>
      <c r="D72">
        <v>3.4824999999999999</v>
      </c>
      <c r="E72" s="24">
        <v>0.24</v>
      </c>
      <c r="F72" s="23">
        <v>5.2451663035879101E-2</v>
      </c>
      <c r="G72" s="23">
        <v>-0.13</v>
      </c>
      <c r="H72" s="23">
        <v>-0.15</v>
      </c>
      <c r="I72" s="27">
        <v>-0.09</v>
      </c>
      <c r="J72" s="27">
        <v>-0.13</v>
      </c>
      <c r="K72" s="23">
        <v>-0.09</v>
      </c>
      <c r="L72" s="23">
        <v>-5.5E-2</v>
      </c>
      <c r="M72" s="23">
        <v>-7.4999999999999997E-2</v>
      </c>
      <c r="N72" s="23">
        <v>-0.12</v>
      </c>
      <c r="O72" s="23">
        <v>-0.12</v>
      </c>
      <c r="P72" s="23">
        <v>-0.13</v>
      </c>
      <c r="Q72" s="23">
        <v>-0.08</v>
      </c>
      <c r="R72" s="23">
        <v>-6.5000000000000002E-2</v>
      </c>
      <c r="S72" s="23">
        <v>0.125</v>
      </c>
      <c r="T72" s="23">
        <v>0.155</v>
      </c>
      <c r="U72" s="23">
        <v>0.04</v>
      </c>
      <c r="V72" s="23">
        <v>0.5</v>
      </c>
      <c r="W72" s="23">
        <v>0.15</v>
      </c>
      <c r="X72" s="23">
        <v>0.20499999999999999</v>
      </c>
      <c r="Y72" s="23">
        <v>-2.35E-2</v>
      </c>
      <c r="Z72" s="23">
        <v>-4.7500000000000001E-2</v>
      </c>
      <c r="AA72" s="23">
        <v>1.4500000000000001E-2</v>
      </c>
      <c r="AB72" s="23">
        <v>-5.4999999999999997E-3</v>
      </c>
      <c r="AC72" s="23">
        <v>2.5000000000000001E-3</v>
      </c>
      <c r="AD72" s="23">
        <v>-2.2499999999999999E-2</v>
      </c>
      <c r="AE72" s="23">
        <v>-7.2499999999999995E-2</v>
      </c>
      <c r="AF72" s="23">
        <v>-6.3E-2</v>
      </c>
      <c r="AG72" s="23">
        <v>-8.5500000000000007E-2</v>
      </c>
      <c r="AH72" s="23">
        <v>-1.8499999999999999E-2</v>
      </c>
      <c r="AI72" s="23">
        <v>-7.1999999999999995E-2</v>
      </c>
      <c r="AJ72" s="23">
        <v>-9.5000000000000001E-2</v>
      </c>
      <c r="AK72" s="23">
        <v>-1.7000000000000001E-2</v>
      </c>
      <c r="AL72" s="23">
        <v>2.3E-2</v>
      </c>
      <c r="AM72" s="23">
        <v>0.41</v>
      </c>
      <c r="AN72" s="23">
        <v>2.75E-2</v>
      </c>
      <c r="AO72" s="23">
        <v>-0.47</v>
      </c>
      <c r="AP72" s="23">
        <v>-7.0000000000000007E-2</v>
      </c>
      <c r="AQ72" s="23">
        <v>-0.19500000000000001</v>
      </c>
      <c r="AR72" s="23">
        <v>-0.25</v>
      </c>
      <c r="AS72" s="23">
        <v>-0.39</v>
      </c>
      <c r="AT72" s="23">
        <v>-0.47</v>
      </c>
      <c r="AU72" s="23">
        <v>0.26</v>
      </c>
      <c r="AV72" s="23">
        <v>-0.47</v>
      </c>
      <c r="AW72" s="23">
        <v>-0.14899999999999999</v>
      </c>
      <c r="AX72" s="23">
        <v>-0.06</v>
      </c>
      <c r="AY72" s="23">
        <v>-8.8999999999999996E-2</v>
      </c>
      <c r="AZ72" s="23">
        <v>-5.5E-2</v>
      </c>
      <c r="BA72" s="23">
        <v>-7.9000000000000001E-2</v>
      </c>
      <c r="BB72" s="23">
        <v>-1.8499999999999999E-2</v>
      </c>
      <c r="BC72" s="23">
        <v>-0.06</v>
      </c>
      <c r="BD72" s="23">
        <v>-2.5000000000000001E-3</v>
      </c>
      <c r="BE72" s="23">
        <v>-7.2499999999999995E-2</v>
      </c>
      <c r="BF72" s="23">
        <v>0.06</v>
      </c>
      <c r="BG72" s="23">
        <v>0.155</v>
      </c>
      <c r="BH72" s="23">
        <v>0.155</v>
      </c>
      <c r="BI72" s="23">
        <v>0.125</v>
      </c>
      <c r="BJ72" s="23">
        <v>0.35</v>
      </c>
      <c r="BK72" s="23">
        <v>2.5000000000000001E-3</v>
      </c>
      <c r="BL72" s="23">
        <v>-0.01</v>
      </c>
      <c r="BM72" s="23">
        <v>5.0000000000000001E-3</v>
      </c>
      <c r="BN72" s="23">
        <v>-0.01</v>
      </c>
      <c r="BO72" s="23">
        <v>0.02</v>
      </c>
      <c r="BP72" s="23">
        <v>5.0000000000000001E-3</v>
      </c>
      <c r="BQ72" s="23">
        <v>2.5000000000000001E-3</v>
      </c>
      <c r="BR72" s="23">
        <v>3.5000000000000003E-2</v>
      </c>
      <c r="BS72">
        <v>5.0000000000000001E-3</v>
      </c>
      <c r="BT72">
        <v>3.4000000000000002E-2</v>
      </c>
      <c r="BU72">
        <v>3.4000000000000002E-2</v>
      </c>
      <c r="BV72">
        <v>0.03</v>
      </c>
    </row>
    <row r="73" spans="1:74" x14ac:dyDescent="0.25">
      <c r="A73" s="24" t="e">
        <f>#REF!-B73</f>
        <v>#REF!</v>
      </c>
      <c r="B73" s="24">
        <v>3.4290000000000003</v>
      </c>
      <c r="C73" s="138">
        <f t="shared" si="4"/>
        <v>39295</v>
      </c>
      <c r="D73">
        <v>3.5225</v>
      </c>
      <c r="E73" s="24">
        <v>0.24</v>
      </c>
      <c r="F73" s="23">
        <v>5.2633176705868798E-2</v>
      </c>
      <c r="G73" s="23">
        <v>-0.13</v>
      </c>
      <c r="H73" s="23">
        <v>-0.15</v>
      </c>
      <c r="I73" s="27">
        <v>-0.09</v>
      </c>
      <c r="J73" s="27">
        <v>-0.13</v>
      </c>
      <c r="K73" s="23">
        <v>-0.09</v>
      </c>
      <c r="L73" s="23">
        <v>-5.5E-2</v>
      </c>
      <c r="M73" s="23">
        <v>-7.4999999999999997E-2</v>
      </c>
      <c r="N73" s="23">
        <v>-0.12</v>
      </c>
      <c r="O73" s="23">
        <v>-0.12</v>
      </c>
      <c r="P73" s="23">
        <v>-0.13</v>
      </c>
      <c r="Q73" s="23">
        <v>-0.08</v>
      </c>
      <c r="R73" s="23">
        <v>-6.5000000000000002E-2</v>
      </c>
      <c r="S73" s="23">
        <v>0.125</v>
      </c>
      <c r="T73" s="23">
        <v>0.155</v>
      </c>
      <c r="U73" s="23">
        <v>0.04</v>
      </c>
      <c r="V73" s="23">
        <v>0.5</v>
      </c>
      <c r="W73" s="23">
        <v>0.15</v>
      </c>
      <c r="X73" s="23">
        <v>0.20499999999999999</v>
      </c>
      <c r="Y73" s="23">
        <v>-2.35E-2</v>
      </c>
      <c r="Z73" s="23">
        <v>-4.7500000000000001E-2</v>
      </c>
      <c r="AA73" s="23">
        <v>9.4999999999999998E-3</v>
      </c>
      <c r="AB73" s="23">
        <v>-1.0500000000000001E-2</v>
      </c>
      <c r="AC73" s="23">
        <v>2.5000000000000001E-3</v>
      </c>
      <c r="AD73" s="23">
        <v>-2.2499999999999999E-2</v>
      </c>
      <c r="AE73" s="23">
        <v>-7.2499999999999995E-2</v>
      </c>
      <c r="AF73" s="23">
        <v>-6.3E-2</v>
      </c>
      <c r="AG73" s="23">
        <v>-8.5500000000000007E-2</v>
      </c>
      <c r="AH73" s="23">
        <v>-1.8499999999999999E-2</v>
      </c>
      <c r="AI73" s="23">
        <v>-7.1999999999999995E-2</v>
      </c>
      <c r="AJ73" s="23">
        <v>-9.5000000000000001E-2</v>
      </c>
      <c r="AK73" s="23">
        <v>-1.7000000000000001E-2</v>
      </c>
      <c r="AL73" s="23">
        <v>2.3E-2</v>
      </c>
      <c r="AM73" s="23">
        <v>0.41</v>
      </c>
      <c r="AN73" s="23">
        <v>0.03</v>
      </c>
      <c r="AO73" s="23">
        <v>-0.47</v>
      </c>
      <c r="AP73" s="23">
        <v>-7.0000000000000007E-2</v>
      </c>
      <c r="AQ73" s="23">
        <v>-0.19500000000000001</v>
      </c>
      <c r="AR73" s="23">
        <v>-0.25</v>
      </c>
      <c r="AS73" s="23">
        <v>-0.39</v>
      </c>
      <c r="AT73" s="23">
        <v>-0.47</v>
      </c>
      <c r="AU73" s="23">
        <v>0.26</v>
      </c>
      <c r="AV73" s="23">
        <v>-0.47</v>
      </c>
      <c r="AW73" s="23">
        <v>-0.14399999999999999</v>
      </c>
      <c r="AX73" s="23">
        <v>-0.06</v>
      </c>
      <c r="AY73" s="23">
        <v>-8.4000000000000005E-2</v>
      </c>
      <c r="AZ73" s="23">
        <v>-5.5E-2</v>
      </c>
      <c r="BA73" s="23">
        <v>-7.6499999999999999E-2</v>
      </c>
      <c r="BB73" s="23">
        <v>-1.8499999999999999E-2</v>
      </c>
      <c r="BC73" s="23">
        <v>-0.06</v>
      </c>
      <c r="BD73" s="23">
        <v>0</v>
      </c>
      <c r="BE73" s="23">
        <v>-7.2499999999999995E-2</v>
      </c>
      <c r="BF73" s="23">
        <v>0.06</v>
      </c>
      <c r="BG73" s="23">
        <v>0.155</v>
      </c>
      <c r="BH73" s="23">
        <v>0.155</v>
      </c>
      <c r="BI73" s="23">
        <v>0.125</v>
      </c>
      <c r="BJ73" s="23">
        <v>0.35</v>
      </c>
      <c r="BK73" s="23">
        <v>2.5000000000000001E-3</v>
      </c>
      <c r="BL73" s="23">
        <v>-0.01</v>
      </c>
      <c r="BM73" s="23">
        <v>5.0000000000000001E-3</v>
      </c>
      <c r="BN73" s="23">
        <v>-0.01</v>
      </c>
      <c r="BO73" s="23">
        <v>0.02</v>
      </c>
      <c r="BP73" s="23">
        <v>5.0000000000000001E-3</v>
      </c>
      <c r="BQ73" s="23">
        <v>2.5000000000000001E-3</v>
      </c>
      <c r="BR73" s="23">
        <v>0.01</v>
      </c>
      <c r="BS73">
        <v>5.0000000000000001E-3</v>
      </c>
      <c r="BT73">
        <v>3.4000000000000002E-2</v>
      </c>
      <c r="BU73">
        <v>3.4000000000000002E-2</v>
      </c>
      <c r="BV73">
        <v>0.03</v>
      </c>
    </row>
    <row r="74" spans="1:74" x14ac:dyDescent="0.25">
      <c r="A74" s="24" t="e">
        <f>#REF!-B74</f>
        <v>#REF!</v>
      </c>
      <c r="B74" s="24">
        <v>3.28</v>
      </c>
      <c r="C74" s="138">
        <f t="shared" si="4"/>
        <v>39326</v>
      </c>
      <c r="D74">
        <v>3.5175000000000001</v>
      </c>
      <c r="E74" s="24">
        <v>0.24</v>
      </c>
      <c r="F74" s="23">
        <v>5.28146903868447E-2</v>
      </c>
      <c r="G74" s="23">
        <v>-0.13</v>
      </c>
      <c r="H74" s="23">
        <v>-0.15</v>
      </c>
      <c r="I74" s="27">
        <v>-0.09</v>
      </c>
      <c r="J74" s="27">
        <v>-0.13</v>
      </c>
      <c r="K74" s="23">
        <v>-0.09</v>
      </c>
      <c r="L74" s="23">
        <v>-5.5E-2</v>
      </c>
      <c r="M74" s="23">
        <v>-7.4999999999999997E-2</v>
      </c>
      <c r="N74" s="23">
        <v>-0.12</v>
      </c>
      <c r="O74" s="23">
        <v>-0.12</v>
      </c>
      <c r="P74" s="23">
        <v>-0.13</v>
      </c>
      <c r="Q74" s="23">
        <v>-0.08</v>
      </c>
      <c r="R74" s="23">
        <v>-6.5000000000000002E-2</v>
      </c>
      <c r="S74" s="23">
        <v>0.125</v>
      </c>
      <c r="T74" s="23">
        <v>0.155</v>
      </c>
      <c r="U74" s="23">
        <v>0.04</v>
      </c>
      <c r="V74" s="23">
        <v>0.5</v>
      </c>
      <c r="W74" s="23">
        <v>0.125</v>
      </c>
      <c r="X74" s="23">
        <v>0.14499999999999999</v>
      </c>
      <c r="Y74" s="23">
        <v>-2.35E-2</v>
      </c>
      <c r="Z74" s="23">
        <v>-5.2499999999999998E-2</v>
      </c>
      <c r="AA74" s="23">
        <v>9.4999999999999998E-3</v>
      </c>
      <c r="AB74" s="23">
        <v>-1.0500000000000001E-2</v>
      </c>
      <c r="AC74" s="23">
        <v>2.5000000000000001E-3</v>
      </c>
      <c r="AD74" s="23">
        <v>-2.2499999999999999E-2</v>
      </c>
      <c r="AE74" s="23">
        <v>-7.2499999999999995E-2</v>
      </c>
      <c r="AF74" s="23">
        <v>-6.3E-2</v>
      </c>
      <c r="AG74" s="23">
        <v>-8.5500000000000007E-2</v>
      </c>
      <c r="AH74" s="23">
        <v>-1.8499999999999999E-2</v>
      </c>
      <c r="AI74" s="23">
        <v>-7.1999999999999995E-2</v>
      </c>
      <c r="AJ74" s="23">
        <v>-9.5000000000000001E-2</v>
      </c>
      <c r="AK74" s="23">
        <v>-1.7000000000000001E-2</v>
      </c>
      <c r="AL74" s="23">
        <v>2.3E-2</v>
      </c>
      <c r="AM74" s="23">
        <v>0.36</v>
      </c>
      <c r="AN74" s="23">
        <v>2.2499999999999999E-2</v>
      </c>
      <c r="AO74" s="23">
        <v>-0.47</v>
      </c>
      <c r="AP74" s="23">
        <v>-7.0000000000000007E-2</v>
      </c>
      <c r="AQ74" s="23">
        <v>-0.19500000000000001</v>
      </c>
      <c r="AR74" s="23">
        <v>-0.25</v>
      </c>
      <c r="AS74" s="23">
        <v>-0.39</v>
      </c>
      <c r="AT74" s="23">
        <v>-0.47</v>
      </c>
      <c r="AU74" s="23">
        <v>0.26</v>
      </c>
      <c r="AV74" s="23">
        <v>-0.47</v>
      </c>
      <c r="AW74" s="23">
        <v>-0.154</v>
      </c>
      <c r="AX74" s="23">
        <v>-0.06</v>
      </c>
      <c r="AY74" s="23">
        <v>-9.4E-2</v>
      </c>
      <c r="AZ74" s="23">
        <v>-5.5E-2</v>
      </c>
      <c r="BA74" s="23">
        <v>-8.1500000000000003E-2</v>
      </c>
      <c r="BB74" s="23">
        <v>-1.8499999999999999E-2</v>
      </c>
      <c r="BC74" s="23">
        <v>-0.06</v>
      </c>
      <c r="BD74" s="23">
        <v>-7.4999999999999997E-3</v>
      </c>
      <c r="BE74" s="23">
        <v>-7.2499999999999995E-2</v>
      </c>
      <c r="BF74" s="23">
        <v>0.06</v>
      </c>
      <c r="BG74" s="23">
        <v>0.155</v>
      </c>
      <c r="BH74" s="23">
        <v>0.155</v>
      </c>
      <c r="BI74" s="23">
        <v>0.125</v>
      </c>
      <c r="BJ74" s="23">
        <v>0.315</v>
      </c>
      <c r="BK74" s="23">
        <v>2.5000000000000001E-3</v>
      </c>
      <c r="BL74" s="23">
        <v>-0.01</v>
      </c>
      <c r="BM74" s="23">
        <v>5.0000000000000001E-3</v>
      </c>
      <c r="BN74" s="23">
        <v>-0.01</v>
      </c>
      <c r="BO74" s="23">
        <v>0.02</v>
      </c>
      <c r="BP74" s="23">
        <v>5.0000000000000001E-3</v>
      </c>
      <c r="BQ74" s="23">
        <v>2.5000000000000001E-3</v>
      </c>
      <c r="BR74" s="23">
        <v>0.01</v>
      </c>
      <c r="BS74">
        <v>5.0000000000000001E-3</v>
      </c>
      <c r="BT74">
        <v>3.4000000000000002E-2</v>
      </c>
      <c r="BU74">
        <v>3.4000000000000002E-2</v>
      </c>
      <c r="BV74">
        <v>0.03</v>
      </c>
    </row>
    <row r="75" spans="1:74" x14ac:dyDescent="0.25">
      <c r="A75" s="24" t="e">
        <f>#REF!-B75</f>
        <v>#REF!</v>
      </c>
      <c r="B75" s="24">
        <v>3.1340000000000003</v>
      </c>
      <c r="C75" s="138">
        <f t="shared" si="4"/>
        <v>39356</v>
      </c>
      <c r="D75">
        <v>3.5425</v>
      </c>
      <c r="E75" s="24">
        <v>0.24</v>
      </c>
      <c r="F75" s="23">
        <v>5.29903487982488E-2</v>
      </c>
      <c r="G75" s="23">
        <v>-0.13</v>
      </c>
      <c r="H75" s="23">
        <v>-0.15</v>
      </c>
      <c r="I75" s="27">
        <v>-0.09</v>
      </c>
      <c r="J75" s="27">
        <v>-0.13</v>
      </c>
      <c r="K75" s="23">
        <v>-0.09</v>
      </c>
      <c r="L75" s="23">
        <v>-5.5E-2</v>
      </c>
      <c r="M75" s="23">
        <v>-7.4999999999999997E-2</v>
      </c>
      <c r="N75" s="23">
        <v>-0.12</v>
      </c>
      <c r="O75" s="23">
        <v>-0.12</v>
      </c>
      <c r="P75" s="23">
        <v>-0.13</v>
      </c>
      <c r="Q75" s="23">
        <v>-0.08</v>
      </c>
      <c r="R75" s="23">
        <v>-6.5000000000000002E-2</v>
      </c>
      <c r="S75" s="23">
        <v>0.125</v>
      </c>
      <c r="T75" s="23">
        <v>0.155</v>
      </c>
      <c r="U75" s="23">
        <v>0.04</v>
      </c>
      <c r="V75" s="23">
        <v>0.5</v>
      </c>
      <c r="W75" s="23">
        <v>0.14499999999999999</v>
      </c>
      <c r="X75" s="23">
        <v>0.17499999999999999</v>
      </c>
      <c r="Y75" s="23">
        <v>-2.35E-2</v>
      </c>
      <c r="Z75" s="23">
        <v>-5.2499999999999998E-2</v>
      </c>
      <c r="AA75" s="23">
        <v>4.4999999999999997E-3</v>
      </c>
      <c r="AB75" s="23">
        <v>-1.55E-2</v>
      </c>
      <c r="AC75" s="23">
        <v>2.5000000000000001E-3</v>
      </c>
      <c r="AD75" s="23">
        <v>-2.2499999999999999E-2</v>
      </c>
      <c r="AE75" s="23">
        <v>-7.2499999999999995E-2</v>
      </c>
      <c r="AF75" s="23">
        <v>-6.3E-2</v>
      </c>
      <c r="AG75" s="23">
        <v>-8.5500000000000007E-2</v>
      </c>
      <c r="AH75" s="23">
        <v>-1.8499999999999999E-2</v>
      </c>
      <c r="AI75" s="23">
        <v>-7.1999999999999995E-2</v>
      </c>
      <c r="AJ75" s="23">
        <v>-9.5000000000000001E-2</v>
      </c>
      <c r="AK75" s="23">
        <v>-1.7000000000000001E-2</v>
      </c>
      <c r="AL75" s="23">
        <v>2.3E-2</v>
      </c>
      <c r="AM75" s="23">
        <v>0.4</v>
      </c>
      <c r="AN75" s="23">
        <v>1.2500000000000001E-2</v>
      </c>
      <c r="AO75" s="23">
        <v>-0.47</v>
      </c>
      <c r="AP75" s="23">
        <v>-7.0000000000000007E-2</v>
      </c>
      <c r="AQ75" s="23">
        <v>-0.19500000000000001</v>
      </c>
      <c r="AR75" s="23">
        <v>-0.25</v>
      </c>
      <c r="AS75" s="23">
        <v>-0.39</v>
      </c>
      <c r="AT75" s="23">
        <v>-0.47</v>
      </c>
      <c r="AU75" s="23">
        <v>0.26</v>
      </c>
      <c r="AV75" s="23">
        <v>-0.47</v>
      </c>
      <c r="AW75" s="23">
        <v>-0.14149999999999999</v>
      </c>
      <c r="AX75" s="23">
        <v>-0.06</v>
      </c>
      <c r="AY75" s="23">
        <v>-8.1500000000000003E-2</v>
      </c>
      <c r="AZ75" s="23">
        <v>-5.5E-2</v>
      </c>
      <c r="BA75" s="23">
        <v>-8.4000000000000005E-2</v>
      </c>
      <c r="BB75" s="23">
        <v>-1.8499999999999999E-2</v>
      </c>
      <c r="BC75" s="23">
        <v>-0.06</v>
      </c>
      <c r="BD75" s="23">
        <v>-1.7500000000000002E-2</v>
      </c>
      <c r="BE75" s="23">
        <v>-7.2499999999999995E-2</v>
      </c>
      <c r="BF75" s="23">
        <v>0.06</v>
      </c>
      <c r="BG75" s="23">
        <v>0.155</v>
      </c>
      <c r="BH75" s="23">
        <v>0.155</v>
      </c>
      <c r="BI75" s="23">
        <v>0.125</v>
      </c>
      <c r="BJ75" s="23">
        <v>0.36</v>
      </c>
      <c r="BK75" s="23">
        <v>2.5000000000000001E-3</v>
      </c>
      <c r="BL75" s="23">
        <v>-1.4999999999999999E-2</v>
      </c>
      <c r="BM75" s="23">
        <v>5.0000000000000001E-3</v>
      </c>
      <c r="BN75" s="23">
        <v>-0.01</v>
      </c>
      <c r="BO75" s="23">
        <v>0.02</v>
      </c>
      <c r="BP75" s="23">
        <v>5.0000000000000001E-3</v>
      </c>
      <c r="BQ75" s="23">
        <v>2.5000000000000001E-3</v>
      </c>
      <c r="BR75" s="23">
        <v>0.01</v>
      </c>
      <c r="BS75">
        <v>5.0000000000000001E-3</v>
      </c>
      <c r="BT75">
        <v>3.4000000000000002E-2</v>
      </c>
      <c r="BU75">
        <v>3.4000000000000002E-2</v>
      </c>
      <c r="BV75">
        <v>0.03</v>
      </c>
    </row>
    <row r="76" spans="1:74" x14ac:dyDescent="0.25">
      <c r="A76" s="24" t="e">
        <f>#REF!-B76</f>
        <v>#REF!</v>
      </c>
      <c r="B76" s="24">
        <v>3.1090000000000004</v>
      </c>
      <c r="C76" s="138">
        <f t="shared" si="4"/>
        <v>39387</v>
      </c>
      <c r="D76">
        <v>3.6945000000000001</v>
      </c>
      <c r="E76" s="24">
        <v>0.24</v>
      </c>
      <c r="F76" s="23">
        <v>5.31718625008408E-2</v>
      </c>
      <c r="G76" s="23">
        <v>-0.13</v>
      </c>
      <c r="H76" s="23">
        <v>-0.15</v>
      </c>
      <c r="I76" s="27">
        <v>-0.01</v>
      </c>
      <c r="J76" s="27">
        <v>-0.13</v>
      </c>
      <c r="K76" s="23">
        <v>0</v>
      </c>
      <c r="L76" s="23">
        <v>-5.5E-2</v>
      </c>
      <c r="M76" s="23">
        <v>-0.09</v>
      </c>
      <c r="N76" s="23">
        <v>-0.12</v>
      </c>
      <c r="O76" s="23">
        <v>-0.12</v>
      </c>
      <c r="P76" s="23">
        <v>-0.13</v>
      </c>
      <c r="Q76" s="23">
        <v>-9.2499999999999999E-2</v>
      </c>
      <c r="R76" s="23">
        <v>-6.5000000000000002E-2</v>
      </c>
      <c r="S76" s="23">
        <v>0.155</v>
      </c>
      <c r="T76" s="23">
        <v>0.20499999999999999</v>
      </c>
      <c r="U76" s="23">
        <v>0.13</v>
      </c>
      <c r="V76" s="23">
        <v>0.5</v>
      </c>
      <c r="W76" s="23">
        <v>0.19500000000000001</v>
      </c>
      <c r="X76" s="23">
        <v>0.21</v>
      </c>
      <c r="Y76" s="23">
        <v>-2.1000000000000001E-2</v>
      </c>
      <c r="Z76" s="23">
        <v>-3.5000000000000003E-2</v>
      </c>
      <c r="AA76" s="23">
        <v>5.4999999999999997E-3</v>
      </c>
      <c r="AB76" s="23">
        <v>-1.4500000000000001E-2</v>
      </c>
      <c r="AC76" s="23">
        <v>2.5000000000000001E-3</v>
      </c>
      <c r="AD76" s="23">
        <v>-2.2499999999999999E-2</v>
      </c>
      <c r="AE76" s="23">
        <v>-7.4999999999999997E-2</v>
      </c>
      <c r="AF76" s="23">
        <v>-6.5500000000000003E-2</v>
      </c>
      <c r="AG76" s="23">
        <v>-8.7999999999999995E-2</v>
      </c>
      <c r="AH76" s="23">
        <v>-1.4999999999999999E-2</v>
      </c>
      <c r="AI76" s="23">
        <v>-6.5000000000000002E-2</v>
      </c>
      <c r="AJ76" s="23">
        <v>-0.12</v>
      </c>
      <c r="AK76" s="23">
        <v>-0.01</v>
      </c>
      <c r="AL76" s="23">
        <v>0.03</v>
      </c>
      <c r="AM76" s="23">
        <v>0.65</v>
      </c>
      <c r="AN76" s="23">
        <v>-2.2499999999999999E-2</v>
      </c>
      <c r="AO76" s="23">
        <v>-0.34</v>
      </c>
      <c r="AP76" s="23">
        <v>-7.0000000000000007E-2</v>
      </c>
      <c r="AQ76" s="23">
        <v>-0.13</v>
      </c>
      <c r="AR76" s="23">
        <v>0.248</v>
      </c>
      <c r="AS76" s="23">
        <v>-0.26</v>
      </c>
      <c r="AT76" s="23">
        <v>0</v>
      </c>
      <c r="AU76" s="23">
        <v>0.24</v>
      </c>
      <c r="AV76" s="23">
        <v>-0.34</v>
      </c>
      <c r="AW76" s="23">
        <v>-0.14899999999999999</v>
      </c>
      <c r="AX76" s="23">
        <v>-0.06</v>
      </c>
      <c r="AY76" s="23">
        <v>-8.8999999999999996E-2</v>
      </c>
      <c r="AZ76" s="23">
        <v>-5.5E-2</v>
      </c>
      <c r="BA76" s="23">
        <v>-7.9000000000000001E-2</v>
      </c>
      <c r="BB76" s="23">
        <v>-0.02</v>
      </c>
      <c r="BC76" s="23">
        <v>-7.4999999999999997E-2</v>
      </c>
      <c r="BD76" s="23">
        <v>-5.2499999999999998E-2</v>
      </c>
      <c r="BE76" s="23">
        <v>-7.4999999999999997E-2</v>
      </c>
      <c r="BF76" s="23">
        <v>0.15</v>
      </c>
      <c r="BG76" s="23">
        <v>0.20499999999999999</v>
      </c>
      <c r="BH76" s="23">
        <v>0.20499999999999999</v>
      </c>
      <c r="BI76" s="23">
        <v>0.155</v>
      </c>
      <c r="BJ76" s="23">
        <v>0.46</v>
      </c>
      <c r="BK76" s="23">
        <v>2.5000000000000001E-3</v>
      </c>
      <c r="BL76" s="23">
        <v>-0.02</v>
      </c>
      <c r="BM76" s="23">
        <v>5.0000000000000001E-3</v>
      </c>
      <c r="BN76" s="23">
        <v>0</v>
      </c>
      <c r="BO76" s="23">
        <v>0</v>
      </c>
      <c r="BP76" s="23">
        <v>5.0000000000000001E-3</v>
      </c>
      <c r="BQ76" s="23">
        <v>5.0000000000000001E-3</v>
      </c>
      <c r="BR76" s="23">
        <v>5.5E-2</v>
      </c>
      <c r="BS76">
        <v>0.02</v>
      </c>
      <c r="BT76">
        <v>3.5999999999999997E-2</v>
      </c>
      <c r="BU76">
        <v>3.5999999999999997E-2</v>
      </c>
      <c r="BV76">
        <v>0.03</v>
      </c>
    </row>
    <row r="77" spans="1:74" x14ac:dyDescent="0.25">
      <c r="A77" s="24" t="e">
        <f>#REF!-B77</f>
        <v>#REF!</v>
      </c>
      <c r="B77" s="24">
        <v>3.0920000000000001</v>
      </c>
      <c r="C77" s="138">
        <f t="shared" si="4"/>
        <v>39417</v>
      </c>
      <c r="D77">
        <v>3.8374999999999999</v>
      </c>
      <c r="E77" s="24">
        <v>0.24</v>
      </c>
      <c r="F77" s="23">
        <v>5.3347520933161099E-2</v>
      </c>
      <c r="G77" s="23">
        <v>-0.13250000000000001</v>
      </c>
      <c r="H77" s="23">
        <v>-0.1525</v>
      </c>
      <c r="I77" s="27">
        <v>-5.0000000000000001E-3</v>
      </c>
      <c r="J77" s="27">
        <v>-0.13</v>
      </c>
      <c r="K77" s="23">
        <v>5.0000000000000001E-3</v>
      </c>
      <c r="L77" s="23">
        <v>-5.5E-2</v>
      </c>
      <c r="M77" s="23">
        <v>-0.09</v>
      </c>
      <c r="N77" s="23">
        <v>-0.1225</v>
      </c>
      <c r="O77" s="23">
        <v>-0.1225</v>
      </c>
      <c r="P77" s="23">
        <v>-0.13250000000000001</v>
      </c>
      <c r="Q77" s="23">
        <v>-9.2499999999999999E-2</v>
      </c>
      <c r="R77" s="23">
        <v>-6.5000000000000002E-2</v>
      </c>
      <c r="S77" s="23">
        <v>0.155</v>
      </c>
      <c r="T77" s="23">
        <v>0.20499999999999999</v>
      </c>
      <c r="U77" s="23">
        <v>0.13</v>
      </c>
      <c r="V77" s="23">
        <v>0.5</v>
      </c>
      <c r="W77" s="23">
        <v>0.215</v>
      </c>
      <c r="X77" s="23">
        <v>0.28999999999999998</v>
      </c>
      <c r="Y77" s="23">
        <v>-2.1000000000000001E-2</v>
      </c>
      <c r="Z77" s="23">
        <v>-3.5000000000000003E-2</v>
      </c>
      <c r="AA77" s="23">
        <v>5.4999999999999997E-3</v>
      </c>
      <c r="AB77" s="23">
        <v>-1.4500000000000001E-2</v>
      </c>
      <c r="AC77" s="23">
        <v>2.5000000000000001E-3</v>
      </c>
      <c r="AD77" s="23">
        <v>-2.2499999999999999E-2</v>
      </c>
      <c r="AE77" s="23">
        <v>-7.4999999999999997E-2</v>
      </c>
      <c r="AF77" s="23">
        <v>-6.3500000000000001E-2</v>
      </c>
      <c r="AG77" s="23">
        <v>-8.5999999999999993E-2</v>
      </c>
      <c r="AH77" s="23">
        <v>-1.2500000000000001E-2</v>
      </c>
      <c r="AI77" s="23">
        <v>-6.5000000000000002E-2</v>
      </c>
      <c r="AJ77" s="23">
        <v>-0.12</v>
      </c>
      <c r="AK77" s="23">
        <v>-0.01</v>
      </c>
      <c r="AL77" s="23">
        <v>0.03</v>
      </c>
      <c r="AM77" s="23">
        <v>0.98</v>
      </c>
      <c r="AN77" s="23">
        <v>-4.4999999999999998E-2</v>
      </c>
      <c r="AO77" s="23">
        <v>-0.34</v>
      </c>
      <c r="AP77" s="23">
        <v>-7.0000000000000007E-2</v>
      </c>
      <c r="AQ77" s="23">
        <v>-0.13</v>
      </c>
      <c r="AR77" s="23">
        <v>0.308</v>
      </c>
      <c r="AS77" s="23">
        <v>-0.26</v>
      </c>
      <c r="AT77" s="23">
        <v>0</v>
      </c>
      <c r="AU77" s="23">
        <v>0.24</v>
      </c>
      <c r="AV77" s="23">
        <v>-0.34</v>
      </c>
      <c r="AW77" s="23">
        <v>-0.17649999999999999</v>
      </c>
      <c r="AX77" s="23">
        <v>-0.06</v>
      </c>
      <c r="AY77" s="23">
        <v>-0.11650000000000001</v>
      </c>
      <c r="AZ77" s="23">
        <v>-5.5E-2</v>
      </c>
      <c r="BA77" s="23">
        <v>-0.1065</v>
      </c>
      <c r="BB77" s="23">
        <v>-1.7500000000000002E-2</v>
      </c>
      <c r="BC77" s="23">
        <v>-7.4999999999999997E-2</v>
      </c>
      <c r="BD77" s="23">
        <v>-7.4999999999999997E-2</v>
      </c>
      <c r="BE77" s="23">
        <v>-7.4999999999999997E-2</v>
      </c>
      <c r="BF77" s="23">
        <v>0.15</v>
      </c>
      <c r="BG77" s="23">
        <v>0.20499999999999999</v>
      </c>
      <c r="BH77" s="23">
        <v>0.20499999999999999</v>
      </c>
      <c r="BI77" s="23">
        <v>0.155</v>
      </c>
      <c r="BJ77" s="23">
        <v>0.77</v>
      </c>
      <c r="BK77" s="23">
        <v>2.5000000000000001E-3</v>
      </c>
      <c r="BL77" s="23">
        <v>-2.5000000000000001E-2</v>
      </c>
      <c r="BM77" s="23">
        <v>5.0000000000000001E-3</v>
      </c>
      <c r="BN77" s="23">
        <v>0</v>
      </c>
      <c r="BO77" s="23">
        <v>0</v>
      </c>
      <c r="BP77" s="23">
        <v>5.0000000000000001E-3</v>
      </c>
      <c r="BQ77" s="23">
        <v>5.0000000000000001E-3</v>
      </c>
      <c r="BR77" s="23">
        <v>0.25</v>
      </c>
      <c r="BS77">
        <v>0.02</v>
      </c>
      <c r="BT77">
        <v>3.5999999999999997E-2</v>
      </c>
      <c r="BU77">
        <v>3.5999999999999997E-2</v>
      </c>
      <c r="BV77">
        <v>0.03</v>
      </c>
    </row>
    <row r="78" spans="1:74" x14ac:dyDescent="0.25">
      <c r="A78" s="24" t="e">
        <f>#REF!-B78</f>
        <v>#REF!</v>
      </c>
      <c r="B78" s="24">
        <v>3.157</v>
      </c>
      <c r="C78" s="138">
        <f t="shared" si="4"/>
        <v>39448</v>
      </c>
      <c r="D78">
        <v>3.8875000000000002</v>
      </c>
      <c r="E78" s="24">
        <v>0.24</v>
      </c>
      <c r="F78" s="23">
        <v>5.3529034657364701E-2</v>
      </c>
      <c r="G78" s="23">
        <v>-0.13500000000000001</v>
      </c>
      <c r="H78" s="23">
        <v>-0.155</v>
      </c>
      <c r="I78" s="27">
        <v>1.4999999999999999E-2</v>
      </c>
      <c r="J78" s="27">
        <v>-0.13</v>
      </c>
      <c r="K78" s="23">
        <v>2.5000000000000001E-2</v>
      </c>
      <c r="L78" s="23">
        <v>-5.5E-2</v>
      </c>
      <c r="M78" s="23">
        <v>-0.09</v>
      </c>
      <c r="N78" s="23">
        <v>-0.125</v>
      </c>
      <c r="O78" s="23">
        <v>-0.125</v>
      </c>
      <c r="P78" s="23">
        <v>-0.13500000000000001</v>
      </c>
      <c r="Q78" s="23">
        <v>-0.10125000000000001</v>
      </c>
      <c r="R78" s="23">
        <v>-6.5000000000000002E-2</v>
      </c>
      <c r="S78" s="23">
        <v>0.155</v>
      </c>
      <c r="T78" s="23">
        <v>0.20499999999999999</v>
      </c>
      <c r="U78" s="23">
        <v>0.13</v>
      </c>
      <c r="V78" s="23">
        <v>0.5</v>
      </c>
      <c r="W78" s="23">
        <v>0.23499999999999999</v>
      </c>
      <c r="X78" s="23">
        <v>0.34</v>
      </c>
      <c r="Y78" s="23">
        <v>-1.9E-2</v>
      </c>
      <c r="Z78" s="23">
        <v>-3.5000000000000003E-2</v>
      </c>
      <c r="AA78" s="23">
        <v>5.4999999999999997E-3</v>
      </c>
      <c r="AB78" s="23">
        <v>-1.4500000000000001E-2</v>
      </c>
      <c r="AC78" s="23">
        <v>2.5000000000000001E-3</v>
      </c>
      <c r="AD78" s="23">
        <v>-2.2499999999999999E-2</v>
      </c>
      <c r="AE78" s="23">
        <v>-7.4999999999999997E-2</v>
      </c>
      <c r="AF78" s="23">
        <v>-6.3500000000000001E-2</v>
      </c>
      <c r="AG78" s="23">
        <v>-8.5999999999999993E-2</v>
      </c>
      <c r="AH78" s="23">
        <v>-1.2500000000000001E-2</v>
      </c>
      <c r="AI78" s="23">
        <v>-6.5000000000000002E-2</v>
      </c>
      <c r="AJ78" s="23">
        <v>-0.13750000000000001</v>
      </c>
      <c r="AK78" s="23">
        <v>-0.01</v>
      </c>
      <c r="AL78" s="23">
        <v>0.03</v>
      </c>
      <c r="AM78" s="23">
        <v>1.6</v>
      </c>
      <c r="AN78" s="23">
        <v>-4.7500000000000001E-2</v>
      </c>
      <c r="AO78" s="23">
        <v>-0.34</v>
      </c>
      <c r="AP78" s="23">
        <v>-7.0000000000000007E-2</v>
      </c>
      <c r="AQ78" s="23">
        <v>-0.13</v>
      </c>
      <c r="AR78" s="23">
        <v>0.378</v>
      </c>
      <c r="AS78" s="23">
        <v>-0.26</v>
      </c>
      <c r="AT78" s="23">
        <v>0</v>
      </c>
      <c r="AU78" s="23">
        <v>0.24</v>
      </c>
      <c r="AV78" s="23">
        <v>-0.34</v>
      </c>
      <c r="AW78" s="23">
        <v>-0.1915</v>
      </c>
      <c r="AX78" s="23">
        <v>-0.06</v>
      </c>
      <c r="AY78" s="23">
        <v>-0.13150000000000001</v>
      </c>
      <c r="AZ78" s="23">
        <v>-5.5E-2</v>
      </c>
      <c r="BA78" s="23">
        <v>-0.107</v>
      </c>
      <c r="BB78" s="23">
        <v>-1.7500000000000002E-2</v>
      </c>
      <c r="BC78" s="23">
        <v>-7.4999999999999997E-2</v>
      </c>
      <c r="BD78" s="23">
        <v>-7.7499999999999999E-2</v>
      </c>
      <c r="BE78" s="23">
        <v>-7.4999999999999997E-2</v>
      </c>
      <c r="BF78" s="23">
        <v>0.15</v>
      </c>
      <c r="BG78" s="23">
        <v>0.20499999999999999</v>
      </c>
      <c r="BH78" s="23">
        <v>0.20499999999999999</v>
      </c>
      <c r="BI78" s="23">
        <v>0.155</v>
      </c>
      <c r="BJ78" s="23">
        <v>1.04</v>
      </c>
      <c r="BK78" s="23">
        <v>2.5000000000000001E-3</v>
      </c>
      <c r="BL78" s="23">
        <v>-2.5000000000000001E-2</v>
      </c>
      <c r="BM78" s="23">
        <v>5.0000000000000001E-3</v>
      </c>
      <c r="BN78" s="23">
        <v>0</v>
      </c>
      <c r="BO78" s="23">
        <v>0</v>
      </c>
      <c r="BP78" s="23">
        <v>5.0000000000000001E-3</v>
      </c>
      <c r="BQ78" s="23">
        <v>5.0000000000000001E-3</v>
      </c>
      <c r="BR78" s="23">
        <v>0.45</v>
      </c>
      <c r="BS78">
        <v>0.02</v>
      </c>
      <c r="BT78">
        <v>3.5999999999999997E-2</v>
      </c>
      <c r="BU78">
        <v>3.5999999999999997E-2</v>
      </c>
      <c r="BV78">
        <v>0.03</v>
      </c>
    </row>
    <row r="79" spans="1:74" x14ac:dyDescent="0.25">
      <c r="A79" s="24" t="e">
        <f>#REF!-B79</f>
        <v>#REF!</v>
      </c>
      <c r="B79" s="24">
        <v>3.1520000000000001</v>
      </c>
      <c r="C79" s="138">
        <f t="shared" si="4"/>
        <v>39479</v>
      </c>
      <c r="D79">
        <v>3.8025000000000002</v>
      </c>
      <c r="E79" s="24">
        <v>0.24</v>
      </c>
      <c r="F79" s="23">
        <v>5.3710548392549698E-2</v>
      </c>
      <c r="G79" s="23">
        <v>-0.1275</v>
      </c>
      <c r="H79" s="23">
        <v>-0.14749999999999999</v>
      </c>
      <c r="I79" s="27">
        <v>0.01</v>
      </c>
      <c r="J79" s="27">
        <v>-0.13</v>
      </c>
      <c r="K79" s="23">
        <v>0.02</v>
      </c>
      <c r="L79" s="23">
        <v>-5.5E-2</v>
      </c>
      <c r="M79" s="23">
        <v>-0.09</v>
      </c>
      <c r="N79" s="23">
        <v>-0.11749999999999999</v>
      </c>
      <c r="O79" s="23">
        <v>-0.11749999999999999</v>
      </c>
      <c r="P79" s="23">
        <v>-0.1275</v>
      </c>
      <c r="Q79" s="23">
        <v>-9.2499999999999999E-2</v>
      </c>
      <c r="R79" s="23">
        <v>-6.5000000000000002E-2</v>
      </c>
      <c r="S79" s="23">
        <v>0.155</v>
      </c>
      <c r="T79" s="23">
        <v>0.20499999999999999</v>
      </c>
      <c r="U79" s="23">
        <v>0.13</v>
      </c>
      <c r="V79" s="23">
        <v>0.5</v>
      </c>
      <c r="W79" s="23">
        <v>0.23499999999999999</v>
      </c>
      <c r="X79" s="23">
        <v>0.34</v>
      </c>
      <c r="Y79" s="23">
        <v>-1.9E-2</v>
      </c>
      <c r="Z79" s="23">
        <v>-3.5000000000000003E-2</v>
      </c>
      <c r="AA79" s="23">
        <v>5.4999999999999997E-3</v>
      </c>
      <c r="AB79" s="23">
        <v>-1.4500000000000001E-2</v>
      </c>
      <c r="AC79" s="23">
        <v>2.5000000000000001E-3</v>
      </c>
      <c r="AD79" s="23">
        <v>-2.2499999999999999E-2</v>
      </c>
      <c r="AE79" s="23">
        <v>-7.4999999999999997E-2</v>
      </c>
      <c r="AF79" s="23">
        <v>-6.3500000000000001E-2</v>
      </c>
      <c r="AG79" s="23">
        <v>-8.5999999999999993E-2</v>
      </c>
      <c r="AH79" s="23">
        <v>-1.2500000000000001E-2</v>
      </c>
      <c r="AI79" s="23">
        <v>-6.5000000000000002E-2</v>
      </c>
      <c r="AJ79" s="23">
        <v>-0.12</v>
      </c>
      <c r="AK79" s="23">
        <v>-0.01</v>
      </c>
      <c r="AL79" s="23">
        <v>0.03</v>
      </c>
      <c r="AM79" s="23">
        <v>1.6</v>
      </c>
      <c r="AN79" s="23">
        <v>-0.03</v>
      </c>
      <c r="AO79" s="23">
        <v>-0.34</v>
      </c>
      <c r="AP79" s="23">
        <v>-7.0000000000000007E-2</v>
      </c>
      <c r="AQ79" s="23">
        <v>-0.13</v>
      </c>
      <c r="AR79" s="23">
        <v>0.248</v>
      </c>
      <c r="AS79" s="23">
        <v>-0.26</v>
      </c>
      <c r="AT79" s="23">
        <v>0</v>
      </c>
      <c r="AU79" s="23">
        <v>0.24</v>
      </c>
      <c r="AV79" s="23">
        <v>-0.34</v>
      </c>
      <c r="AW79" s="23">
        <v>-0.18149999999999999</v>
      </c>
      <c r="AX79" s="23">
        <v>-0.06</v>
      </c>
      <c r="AY79" s="23">
        <v>-0.1215</v>
      </c>
      <c r="AZ79" s="23">
        <v>-5.5E-2</v>
      </c>
      <c r="BA79" s="23">
        <v>-0.107</v>
      </c>
      <c r="BB79" s="23">
        <v>-1.7500000000000002E-2</v>
      </c>
      <c r="BC79" s="23">
        <v>-7.4999999999999997E-2</v>
      </c>
      <c r="BD79" s="23">
        <v>-0.06</v>
      </c>
      <c r="BE79" s="23">
        <v>-7.4999999999999997E-2</v>
      </c>
      <c r="BF79" s="23">
        <v>0.15</v>
      </c>
      <c r="BG79" s="23">
        <v>0.20499999999999999</v>
      </c>
      <c r="BH79" s="23">
        <v>0.20499999999999999</v>
      </c>
      <c r="BI79" s="23">
        <v>0.155</v>
      </c>
      <c r="BJ79" s="23">
        <v>1.04</v>
      </c>
      <c r="BK79" s="23">
        <v>2.5000000000000001E-3</v>
      </c>
      <c r="BL79" s="23">
        <v>-2.5000000000000001E-2</v>
      </c>
      <c r="BM79" s="23">
        <v>5.0000000000000001E-3</v>
      </c>
      <c r="BN79" s="23">
        <v>0</v>
      </c>
      <c r="BO79" s="23">
        <v>0</v>
      </c>
      <c r="BP79" s="23">
        <v>5.0000000000000001E-3</v>
      </c>
      <c r="BQ79" s="23">
        <v>5.0000000000000001E-3</v>
      </c>
      <c r="BR79" s="23">
        <v>0.45</v>
      </c>
      <c r="BS79">
        <v>0.02</v>
      </c>
      <c r="BT79">
        <v>3.5999999999999997E-2</v>
      </c>
      <c r="BU79">
        <v>3.5999999999999997E-2</v>
      </c>
      <c r="BV79">
        <v>0.03</v>
      </c>
    </row>
    <row r="80" spans="1:74" x14ac:dyDescent="0.25">
      <c r="A80" s="24" t="e">
        <f>#REF!-B80</f>
        <v>#REF!</v>
      </c>
      <c r="B80" s="24">
        <v>3.1390000000000002</v>
      </c>
      <c r="C80" s="138">
        <f t="shared" si="4"/>
        <v>39508</v>
      </c>
      <c r="D80">
        <v>3.6724999999999999</v>
      </c>
      <c r="E80" s="24">
        <v>0.23499999999999999</v>
      </c>
      <c r="F80" s="23">
        <v>5.3880351574115498E-2</v>
      </c>
      <c r="G80" s="23">
        <v>-0.125</v>
      </c>
      <c r="H80" s="23">
        <v>-0.14499999999999999</v>
      </c>
      <c r="I80" s="27">
        <v>-0.01</v>
      </c>
      <c r="J80" s="27">
        <v>-0.13</v>
      </c>
      <c r="K80" s="23">
        <v>0</v>
      </c>
      <c r="L80" s="23">
        <v>-5.5E-2</v>
      </c>
      <c r="M80" s="23">
        <v>-0.09</v>
      </c>
      <c r="N80" s="23">
        <v>-0.115</v>
      </c>
      <c r="O80" s="23">
        <v>-0.115</v>
      </c>
      <c r="P80" s="23">
        <v>-0.125</v>
      </c>
      <c r="Q80" s="23">
        <v>-8.6249999999999993E-2</v>
      </c>
      <c r="R80" s="23">
        <v>-6.5000000000000002E-2</v>
      </c>
      <c r="S80" s="23">
        <v>0.155</v>
      </c>
      <c r="T80" s="23">
        <v>0.20499999999999999</v>
      </c>
      <c r="U80" s="23">
        <v>0.13</v>
      </c>
      <c r="V80" s="23">
        <v>0.5</v>
      </c>
      <c r="W80" s="23">
        <v>0.19500000000000001</v>
      </c>
      <c r="X80" s="23">
        <v>0.28999999999999998</v>
      </c>
      <c r="Y80" s="23">
        <v>-1.9E-2</v>
      </c>
      <c r="Z80" s="23">
        <v>-3.5000000000000003E-2</v>
      </c>
      <c r="AA80" s="23">
        <v>1.2999999999999999E-2</v>
      </c>
      <c r="AB80" s="23">
        <v>-7.0000000000000001E-3</v>
      </c>
      <c r="AC80" s="23">
        <v>2.5000000000000001E-3</v>
      </c>
      <c r="AD80" s="23">
        <v>-2.2499999999999999E-2</v>
      </c>
      <c r="AE80" s="23">
        <v>-7.4999999999999997E-2</v>
      </c>
      <c r="AF80" s="23">
        <v>-6.3500000000000001E-2</v>
      </c>
      <c r="AG80" s="23">
        <v>-8.5999999999999993E-2</v>
      </c>
      <c r="AH80" s="23">
        <v>-1.2500000000000001E-2</v>
      </c>
      <c r="AI80" s="23">
        <v>-6.5000000000000002E-2</v>
      </c>
      <c r="AJ80" s="23">
        <v>-0.1075</v>
      </c>
      <c r="AK80" s="23">
        <v>-0.01</v>
      </c>
      <c r="AL80" s="23">
        <v>0.03</v>
      </c>
      <c r="AM80" s="23">
        <v>0.64</v>
      </c>
      <c r="AN80" s="23">
        <v>-1.7500000000000002E-2</v>
      </c>
      <c r="AO80" s="23">
        <v>-0.34</v>
      </c>
      <c r="AP80" s="23">
        <v>-7.0000000000000007E-2</v>
      </c>
      <c r="AQ80" s="23">
        <v>-0.13</v>
      </c>
      <c r="AR80" s="23">
        <v>6.8000000000000005E-2</v>
      </c>
      <c r="AS80" s="23">
        <v>-0.26</v>
      </c>
      <c r="AT80" s="23">
        <v>0</v>
      </c>
      <c r="AU80" s="23">
        <v>0.24</v>
      </c>
      <c r="AV80" s="23">
        <v>-0.34</v>
      </c>
      <c r="AW80" s="23">
        <v>-0.17150000000000001</v>
      </c>
      <c r="AX80" s="23">
        <v>-0.06</v>
      </c>
      <c r="AY80" s="23">
        <v>-0.1115</v>
      </c>
      <c r="AZ80" s="23">
        <v>-5.5E-2</v>
      </c>
      <c r="BA80" s="23">
        <v>-0.107</v>
      </c>
      <c r="BB80" s="23">
        <v>-1.7500000000000002E-2</v>
      </c>
      <c r="BC80" s="23">
        <v>-7.4999999999999997E-2</v>
      </c>
      <c r="BD80" s="23">
        <v>-4.7500000000000001E-2</v>
      </c>
      <c r="BE80" s="23">
        <v>-7.4999999999999997E-2</v>
      </c>
      <c r="BF80" s="23">
        <v>0.15</v>
      </c>
      <c r="BG80" s="23">
        <v>0.20499999999999999</v>
      </c>
      <c r="BH80" s="23">
        <v>0.20499999999999999</v>
      </c>
      <c r="BI80" s="23">
        <v>0.155</v>
      </c>
      <c r="BJ80" s="23">
        <v>0.54</v>
      </c>
      <c r="BK80" s="23">
        <v>2.5000000000000001E-3</v>
      </c>
      <c r="BL80" s="23">
        <v>-0.02</v>
      </c>
      <c r="BM80" s="23">
        <v>5.0000000000000001E-3</v>
      </c>
      <c r="BN80" s="23">
        <v>0</v>
      </c>
      <c r="BO80" s="23">
        <v>0</v>
      </c>
      <c r="BP80" s="23">
        <v>5.0000000000000001E-3</v>
      </c>
      <c r="BQ80" s="23">
        <v>5.0000000000000001E-3</v>
      </c>
      <c r="BR80" s="23">
        <v>0.1</v>
      </c>
      <c r="BS80">
        <v>0.02</v>
      </c>
      <c r="BT80">
        <v>3.5999999999999997E-2</v>
      </c>
      <c r="BU80">
        <v>3.5999999999999997E-2</v>
      </c>
      <c r="BV80">
        <v>0.03</v>
      </c>
    </row>
    <row r="81" spans="1:74" x14ac:dyDescent="0.25">
      <c r="A81" s="24" t="e">
        <f>#REF!-B81</f>
        <v>#REF!</v>
      </c>
      <c r="B81" s="24">
        <v>3.1540000000000004</v>
      </c>
      <c r="C81" s="138">
        <f t="shared" si="4"/>
        <v>39539</v>
      </c>
      <c r="D81">
        <v>3.4874999999999998</v>
      </c>
      <c r="E81" s="24">
        <v>0.23</v>
      </c>
      <c r="F81" s="23">
        <v>5.4061865330552898E-2</v>
      </c>
      <c r="G81" s="23">
        <v>-0.13</v>
      </c>
      <c r="H81" s="23">
        <v>-0.15</v>
      </c>
      <c r="I81" s="27">
        <v>-0.09</v>
      </c>
      <c r="J81" s="27">
        <v>-0.13</v>
      </c>
      <c r="K81" s="23">
        <v>-0.09</v>
      </c>
      <c r="L81" s="23">
        <v>-5.2499999999999998E-2</v>
      </c>
      <c r="M81" s="23">
        <v>-7.2499999999999995E-2</v>
      </c>
      <c r="N81" s="23">
        <v>-0.12</v>
      </c>
      <c r="O81" s="23">
        <v>-0.12</v>
      </c>
      <c r="P81" s="23">
        <v>-0.13</v>
      </c>
      <c r="Q81" s="23">
        <v>-6.6250000000000003E-2</v>
      </c>
      <c r="R81" s="23">
        <v>-6.25E-2</v>
      </c>
      <c r="S81" s="23">
        <v>0.125</v>
      </c>
      <c r="T81" s="23">
        <v>0.155</v>
      </c>
      <c r="U81" s="23">
        <v>0.04</v>
      </c>
      <c r="V81" s="23">
        <v>0.5</v>
      </c>
      <c r="W81" s="23">
        <v>0.14499999999999999</v>
      </c>
      <c r="X81" s="23">
        <v>0.19500000000000001</v>
      </c>
      <c r="Y81" s="23">
        <v>-2.1499999999999998E-2</v>
      </c>
      <c r="Z81" s="23">
        <v>-0.05</v>
      </c>
      <c r="AA81" s="23">
        <v>1.2999999999999999E-2</v>
      </c>
      <c r="AB81" s="23">
        <v>-4.4999999999999997E-3</v>
      </c>
      <c r="AC81" s="23">
        <v>2.5000000000000001E-3</v>
      </c>
      <c r="AD81" s="23">
        <v>-2.2499999999999999E-2</v>
      </c>
      <c r="AE81" s="23">
        <v>-7.2499999999999995E-2</v>
      </c>
      <c r="AF81" s="23">
        <v>-6.0999999999999999E-2</v>
      </c>
      <c r="AG81" s="23">
        <v>-8.3500000000000005E-2</v>
      </c>
      <c r="AH81" s="23">
        <v>-1.7500000000000002E-2</v>
      </c>
      <c r="AI81" s="23">
        <v>-7.1999999999999995E-2</v>
      </c>
      <c r="AJ81" s="23">
        <v>-7.0000000000000007E-2</v>
      </c>
      <c r="AK81" s="23">
        <v>-1.7000000000000001E-2</v>
      </c>
      <c r="AL81" s="23">
        <v>2.3E-2</v>
      </c>
      <c r="AM81" s="23">
        <v>0.38</v>
      </c>
      <c r="AN81" s="23">
        <v>0.02</v>
      </c>
      <c r="AO81" s="23">
        <v>-0.47</v>
      </c>
      <c r="AP81" s="23">
        <v>-7.0000000000000007E-2</v>
      </c>
      <c r="AQ81" s="23">
        <v>-0.19500000000000001</v>
      </c>
      <c r="AR81" s="23">
        <v>-0.25</v>
      </c>
      <c r="AS81" s="23">
        <v>-0.39</v>
      </c>
      <c r="AT81" s="23">
        <v>0</v>
      </c>
      <c r="AU81" s="23">
        <v>0.26</v>
      </c>
      <c r="AV81" s="23">
        <v>-0.47</v>
      </c>
      <c r="AW81" s="23">
        <v>-0.21199999999999999</v>
      </c>
      <c r="AX81" s="23">
        <v>-0.06</v>
      </c>
      <c r="AY81" s="23">
        <v>-0.152</v>
      </c>
      <c r="AZ81" s="23">
        <v>-5.2499999999999998E-2</v>
      </c>
      <c r="BA81" s="23">
        <v>-0.1295</v>
      </c>
      <c r="BB81" s="23">
        <v>-1.7500000000000002E-2</v>
      </c>
      <c r="BC81" s="23">
        <v>-5.7500000000000002E-2</v>
      </c>
      <c r="BD81" s="23">
        <v>-0.01</v>
      </c>
      <c r="BE81" s="23">
        <v>-7.2499999999999995E-2</v>
      </c>
      <c r="BF81" s="23">
        <v>0.06</v>
      </c>
      <c r="BG81" s="23">
        <v>0.155</v>
      </c>
      <c r="BH81" s="23">
        <v>0.155</v>
      </c>
      <c r="BI81" s="23">
        <v>0.125</v>
      </c>
      <c r="BJ81" s="23">
        <v>0.36</v>
      </c>
      <c r="BK81" s="23">
        <v>2.5000000000000001E-3</v>
      </c>
      <c r="BL81" s="23">
        <v>-1.4999999999999999E-2</v>
      </c>
      <c r="BM81" s="23">
        <v>5.0000000000000001E-3</v>
      </c>
      <c r="BN81" s="23">
        <v>-0.01</v>
      </c>
      <c r="BO81" s="23">
        <v>0</v>
      </c>
      <c r="BP81" s="23">
        <v>5.0000000000000001E-3</v>
      </c>
      <c r="BQ81" s="23">
        <v>2.5000000000000001E-3</v>
      </c>
      <c r="BR81" s="23">
        <v>0.02</v>
      </c>
      <c r="BS81">
        <v>5.0000000000000001E-3</v>
      </c>
      <c r="BT81">
        <v>3.5999999999999997E-2</v>
      </c>
      <c r="BU81">
        <v>3.5999999999999997E-2</v>
      </c>
      <c r="BV81">
        <v>0.03</v>
      </c>
    </row>
    <row r="82" spans="1:74" x14ac:dyDescent="0.25">
      <c r="A82" s="24" t="e">
        <f>#REF!-B82</f>
        <v>#REF!</v>
      </c>
      <c r="B82" s="24">
        <v>3.2510000000000003</v>
      </c>
      <c r="C82" s="138">
        <f t="shared" si="4"/>
        <v>39569</v>
      </c>
      <c r="D82">
        <v>3.4824999999999999</v>
      </c>
      <c r="E82" s="24">
        <v>0.23</v>
      </c>
      <c r="F82" s="23">
        <v>5.4237523814977699E-2</v>
      </c>
      <c r="G82" s="23">
        <v>-0.13</v>
      </c>
      <c r="H82" s="23">
        <v>-0.15</v>
      </c>
      <c r="I82" s="27">
        <v>-0.09</v>
      </c>
      <c r="J82" s="27">
        <v>-0.13</v>
      </c>
      <c r="K82" s="23">
        <v>-0.09</v>
      </c>
      <c r="L82" s="23">
        <v>-5.2499999999999998E-2</v>
      </c>
      <c r="M82" s="23">
        <v>-7.2499999999999995E-2</v>
      </c>
      <c r="N82" s="23">
        <v>-0.12</v>
      </c>
      <c r="O82" s="23">
        <v>-0.12</v>
      </c>
      <c r="P82" s="23">
        <v>-0.13</v>
      </c>
      <c r="Q82" s="23">
        <v>-6.6250000000000003E-2</v>
      </c>
      <c r="R82" s="23">
        <v>-6.25E-2</v>
      </c>
      <c r="S82" s="23">
        <v>0.125</v>
      </c>
      <c r="T82" s="23">
        <v>0.155</v>
      </c>
      <c r="U82" s="23">
        <v>0.04</v>
      </c>
      <c r="V82" s="23">
        <v>0.5</v>
      </c>
      <c r="W82" s="23">
        <v>0.125</v>
      </c>
      <c r="X82" s="23">
        <v>0.13500000000000001</v>
      </c>
      <c r="Y82" s="23">
        <v>-2.1499999999999998E-2</v>
      </c>
      <c r="Z82" s="23">
        <v>-0.05</v>
      </c>
      <c r="AA82" s="23">
        <v>1.55E-2</v>
      </c>
      <c r="AB82" s="23">
        <v>-2E-3</v>
      </c>
      <c r="AC82" s="23">
        <v>2.5000000000000001E-3</v>
      </c>
      <c r="AD82" s="23">
        <v>-2.2499999999999999E-2</v>
      </c>
      <c r="AE82" s="23">
        <v>-7.2499999999999995E-2</v>
      </c>
      <c r="AF82" s="23">
        <v>-6.0999999999999999E-2</v>
      </c>
      <c r="AG82" s="23">
        <v>-8.3500000000000005E-2</v>
      </c>
      <c r="AH82" s="23">
        <v>-1.7500000000000002E-2</v>
      </c>
      <c r="AI82" s="23">
        <v>-7.1999999999999995E-2</v>
      </c>
      <c r="AJ82" s="23">
        <v>-7.0000000000000007E-2</v>
      </c>
      <c r="AK82" s="23">
        <v>-1.7000000000000001E-2</v>
      </c>
      <c r="AL82" s="23">
        <v>2.3E-2</v>
      </c>
      <c r="AM82" s="23">
        <v>0.33</v>
      </c>
      <c r="AN82" s="23">
        <v>0.02</v>
      </c>
      <c r="AO82" s="23">
        <v>-0.47</v>
      </c>
      <c r="AP82" s="23">
        <v>-7.0000000000000007E-2</v>
      </c>
      <c r="AQ82" s="23">
        <v>-0.19500000000000001</v>
      </c>
      <c r="AR82" s="23">
        <v>-0.25</v>
      </c>
      <c r="AS82" s="23">
        <v>-0.39</v>
      </c>
      <c r="AT82" s="23">
        <v>0</v>
      </c>
      <c r="AU82" s="23">
        <v>0.26</v>
      </c>
      <c r="AV82" s="23">
        <v>-0.47</v>
      </c>
      <c r="AW82" s="23">
        <v>-0.1895</v>
      </c>
      <c r="AX82" s="23">
        <v>-0.06</v>
      </c>
      <c r="AY82" s="23">
        <v>-0.1295</v>
      </c>
      <c r="AZ82" s="23">
        <v>-5.2499999999999998E-2</v>
      </c>
      <c r="BA82" s="23">
        <v>-0.122</v>
      </c>
      <c r="BB82" s="23">
        <v>-1.7500000000000002E-2</v>
      </c>
      <c r="BC82" s="23">
        <v>-5.7500000000000002E-2</v>
      </c>
      <c r="BD82" s="23">
        <v>-0.01</v>
      </c>
      <c r="BE82" s="23">
        <v>-7.2499999999999995E-2</v>
      </c>
      <c r="BF82" s="23">
        <v>0.06</v>
      </c>
      <c r="BG82" s="23">
        <v>0.155</v>
      </c>
      <c r="BH82" s="23">
        <v>0.155</v>
      </c>
      <c r="BI82" s="23">
        <v>0.125</v>
      </c>
      <c r="BJ82" s="23">
        <v>0.32500000000000001</v>
      </c>
      <c r="BK82" s="23">
        <v>2.5000000000000001E-3</v>
      </c>
      <c r="BL82" s="23">
        <v>-1.4999999999999999E-2</v>
      </c>
      <c r="BM82" s="23">
        <v>5.0000000000000001E-3</v>
      </c>
      <c r="BN82" s="23">
        <v>-0.01</v>
      </c>
      <c r="BO82" s="23">
        <v>0</v>
      </c>
      <c r="BP82" s="23">
        <v>5.0000000000000001E-3</v>
      </c>
      <c r="BQ82" s="23">
        <v>2.5000000000000001E-3</v>
      </c>
      <c r="BR82" s="23">
        <v>0.02</v>
      </c>
      <c r="BS82">
        <v>5.0000000000000001E-3</v>
      </c>
      <c r="BT82">
        <v>3.5999999999999997E-2</v>
      </c>
      <c r="BU82">
        <v>3.5999999999999997E-2</v>
      </c>
      <c r="BV82">
        <v>0.03</v>
      </c>
    </row>
    <row r="83" spans="1:74" x14ac:dyDescent="0.25">
      <c r="A83" s="24" t="e">
        <f>#REF!-B83</f>
        <v>#REF!</v>
      </c>
      <c r="B83" s="24">
        <v>3.3510000000000004</v>
      </c>
      <c r="C83" s="138">
        <f t="shared" si="4"/>
        <v>39600</v>
      </c>
      <c r="D83">
        <v>3.5175000000000001</v>
      </c>
      <c r="E83" s="24">
        <v>0.23</v>
      </c>
      <c r="F83" s="23">
        <v>5.4419037593017403E-2</v>
      </c>
      <c r="G83" s="23">
        <v>-0.13</v>
      </c>
      <c r="H83" s="23">
        <v>-0.15</v>
      </c>
      <c r="I83" s="27">
        <v>-0.09</v>
      </c>
      <c r="J83" s="27">
        <v>-0.13</v>
      </c>
      <c r="K83" s="23">
        <v>-0.09</v>
      </c>
      <c r="L83" s="23">
        <v>-5.2499999999999998E-2</v>
      </c>
      <c r="M83" s="23">
        <v>-7.2499999999999995E-2</v>
      </c>
      <c r="N83" s="23">
        <v>-0.12</v>
      </c>
      <c r="O83" s="23">
        <v>-0.12</v>
      </c>
      <c r="P83" s="23">
        <v>-0.13</v>
      </c>
      <c r="Q83" s="23">
        <v>-6.3750000000000001E-2</v>
      </c>
      <c r="R83" s="23">
        <v>-6.25E-2</v>
      </c>
      <c r="S83" s="23">
        <v>0.125</v>
      </c>
      <c r="T83" s="23">
        <v>0.155</v>
      </c>
      <c r="U83" s="23">
        <v>0.04</v>
      </c>
      <c r="V83" s="23">
        <v>0.5</v>
      </c>
      <c r="W83" s="23">
        <v>0.14499999999999999</v>
      </c>
      <c r="X83" s="23">
        <v>0.16500000000000001</v>
      </c>
      <c r="Y83" s="23">
        <v>-2.1499999999999998E-2</v>
      </c>
      <c r="Z83" s="23">
        <v>-4.7500000000000001E-2</v>
      </c>
      <c r="AA83" s="23">
        <v>1.55E-2</v>
      </c>
      <c r="AB83" s="23">
        <v>-2E-3</v>
      </c>
      <c r="AC83" s="23">
        <v>2.5000000000000001E-3</v>
      </c>
      <c r="AD83" s="23">
        <v>-2.2499999999999999E-2</v>
      </c>
      <c r="AE83" s="23">
        <v>-7.2499999999999995E-2</v>
      </c>
      <c r="AF83" s="23">
        <v>-6.0999999999999999E-2</v>
      </c>
      <c r="AG83" s="23">
        <v>-8.3500000000000005E-2</v>
      </c>
      <c r="AH83" s="23">
        <v>-1.7500000000000002E-2</v>
      </c>
      <c r="AI83" s="23">
        <v>-7.1999999999999995E-2</v>
      </c>
      <c r="AJ83" s="23">
        <v>-6.5000000000000002E-2</v>
      </c>
      <c r="AK83" s="23">
        <v>-1.7000000000000001E-2</v>
      </c>
      <c r="AL83" s="23">
        <v>2.3E-2</v>
      </c>
      <c r="AM83" s="23">
        <v>0.37</v>
      </c>
      <c r="AN83" s="23">
        <v>2.5000000000000001E-2</v>
      </c>
      <c r="AO83" s="23">
        <v>-0.47</v>
      </c>
      <c r="AP83" s="23">
        <v>-7.0000000000000007E-2</v>
      </c>
      <c r="AQ83" s="23">
        <v>-0.19500000000000001</v>
      </c>
      <c r="AR83" s="23">
        <v>-0.25</v>
      </c>
      <c r="AS83" s="23">
        <v>-0.39</v>
      </c>
      <c r="AT83" s="23">
        <v>0</v>
      </c>
      <c r="AU83" s="23">
        <v>0.26</v>
      </c>
      <c r="AV83" s="23">
        <v>-0.47</v>
      </c>
      <c r="AW83" s="23">
        <v>-0.13700000000000001</v>
      </c>
      <c r="AX83" s="23">
        <v>-0.06</v>
      </c>
      <c r="AY83" s="23">
        <v>-7.6999999999999999E-2</v>
      </c>
      <c r="AZ83" s="23">
        <v>-5.2499999999999998E-2</v>
      </c>
      <c r="BA83" s="23">
        <v>-7.9500000000000001E-2</v>
      </c>
      <c r="BB83" s="23">
        <v>-1.7500000000000002E-2</v>
      </c>
      <c r="BC83" s="23">
        <v>-5.7500000000000002E-2</v>
      </c>
      <c r="BD83" s="23">
        <v>-5.0000000000000001E-3</v>
      </c>
      <c r="BE83" s="23">
        <v>-7.2499999999999995E-2</v>
      </c>
      <c r="BF83" s="23">
        <v>0.06</v>
      </c>
      <c r="BG83" s="23">
        <v>0.155</v>
      </c>
      <c r="BH83" s="23">
        <v>0.155</v>
      </c>
      <c r="BI83" s="23">
        <v>0.125</v>
      </c>
      <c r="BJ83" s="23">
        <v>0.33500000000000002</v>
      </c>
      <c r="BK83" s="23">
        <v>2.5000000000000001E-3</v>
      </c>
      <c r="BL83" s="23">
        <v>-1.4999999999999999E-2</v>
      </c>
      <c r="BM83" s="23">
        <v>5.0000000000000001E-3</v>
      </c>
      <c r="BN83" s="23">
        <v>-0.01</v>
      </c>
      <c r="BO83" s="23">
        <v>0</v>
      </c>
      <c r="BP83" s="23">
        <v>5.0000000000000001E-3</v>
      </c>
      <c r="BQ83" s="23">
        <v>2.5000000000000001E-3</v>
      </c>
      <c r="BR83" s="23">
        <v>3.5000000000000003E-2</v>
      </c>
      <c r="BS83">
        <v>5.0000000000000001E-3</v>
      </c>
      <c r="BT83">
        <v>3.5999999999999997E-2</v>
      </c>
      <c r="BU83">
        <v>3.5999999999999997E-2</v>
      </c>
      <c r="BV83">
        <v>0.03</v>
      </c>
    </row>
    <row r="84" spans="1:74" x14ac:dyDescent="0.25">
      <c r="A84" s="24" t="e">
        <f>#REF!-B84</f>
        <v>#REF!</v>
      </c>
      <c r="B84" s="24">
        <v>3.5660000000000003</v>
      </c>
      <c r="C84" s="138">
        <f t="shared" si="4"/>
        <v>39630</v>
      </c>
      <c r="D84">
        <v>3.5575000000000001</v>
      </c>
      <c r="E84" s="24">
        <v>0.23</v>
      </c>
      <c r="F84" s="23">
        <v>5.4594696098345899E-2</v>
      </c>
      <c r="G84" s="23">
        <v>-0.13</v>
      </c>
      <c r="H84" s="23">
        <v>-0.15</v>
      </c>
      <c r="I84" s="27">
        <v>-0.09</v>
      </c>
      <c r="J84" s="27">
        <v>-0.13</v>
      </c>
      <c r="K84" s="23">
        <v>-0.09</v>
      </c>
      <c r="L84" s="23">
        <v>-5.2499999999999998E-2</v>
      </c>
      <c r="M84" s="23">
        <v>-7.2499999999999995E-2</v>
      </c>
      <c r="N84" s="23">
        <v>-0.12</v>
      </c>
      <c r="O84" s="23">
        <v>-0.12</v>
      </c>
      <c r="P84" s="23">
        <v>-0.13</v>
      </c>
      <c r="Q84" s="23">
        <v>-6.25E-2</v>
      </c>
      <c r="R84" s="23">
        <v>-6.25E-2</v>
      </c>
      <c r="S84" s="23">
        <v>0.125</v>
      </c>
      <c r="T84" s="23">
        <v>0.155</v>
      </c>
      <c r="U84" s="23">
        <v>0.04</v>
      </c>
      <c r="V84" s="23">
        <v>0.5</v>
      </c>
      <c r="W84" s="23">
        <v>0.15</v>
      </c>
      <c r="X84" s="23">
        <v>0.20499999999999999</v>
      </c>
      <c r="Y84" s="23">
        <v>-2.1499999999999998E-2</v>
      </c>
      <c r="Z84" s="23">
        <v>-4.7500000000000001E-2</v>
      </c>
      <c r="AA84" s="23">
        <v>1.55E-2</v>
      </c>
      <c r="AB84" s="23">
        <v>-2E-3</v>
      </c>
      <c r="AC84" s="23">
        <v>2.5000000000000001E-3</v>
      </c>
      <c r="AD84" s="23">
        <v>-2.2499999999999999E-2</v>
      </c>
      <c r="AE84" s="23">
        <v>-7.2499999999999995E-2</v>
      </c>
      <c r="AF84" s="23">
        <v>-6.0999999999999999E-2</v>
      </c>
      <c r="AG84" s="23">
        <v>-8.3500000000000005E-2</v>
      </c>
      <c r="AH84" s="23">
        <v>-1.7500000000000002E-2</v>
      </c>
      <c r="AI84" s="23">
        <v>-7.1999999999999995E-2</v>
      </c>
      <c r="AJ84" s="23">
        <v>-6.25E-2</v>
      </c>
      <c r="AK84" s="23">
        <v>-1.7000000000000001E-2</v>
      </c>
      <c r="AL84" s="23">
        <v>2.3E-2</v>
      </c>
      <c r="AM84" s="23">
        <v>0.41</v>
      </c>
      <c r="AN84" s="23">
        <v>2.75E-2</v>
      </c>
      <c r="AO84" s="23">
        <v>-0.47</v>
      </c>
      <c r="AP84" s="23">
        <v>-7.0000000000000007E-2</v>
      </c>
      <c r="AQ84" s="23">
        <v>-0.19500000000000001</v>
      </c>
      <c r="AR84" s="23">
        <v>-0.25</v>
      </c>
      <c r="AS84" s="23">
        <v>-0.39</v>
      </c>
      <c r="AT84" s="23">
        <v>0</v>
      </c>
      <c r="AU84" s="23">
        <v>0.26</v>
      </c>
      <c r="AV84" s="23">
        <v>-0.47</v>
      </c>
      <c r="AW84" s="23">
        <v>-0.14699999999999999</v>
      </c>
      <c r="AX84" s="23">
        <v>-0.06</v>
      </c>
      <c r="AY84" s="23">
        <v>-8.6999999999999994E-2</v>
      </c>
      <c r="AZ84" s="23">
        <v>-5.2499999999999998E-2</v>
      </c>
      <c r="BA84" s="23">
        <v>-7.6999999999999999E-2</v>
      </c>
      <c r="BB84" s="23">
        <v>-1.7500000000000002E-2</v>
      </c>
      <c r="BC84" s="23">
        <v>-5.7500000000000002E-2</v>
      </c>
      <c r="BD84" s="23">
        <v>-2.5000000000000001E-3</v>
      </c>
      <c r="BE84" s="23">
        <v>-7.2499999999999995E-2</v>
      </c>
      <c r="BF84" s="23">
        <v>0.06</v>
      </c>
      <c r="BG84" s="23">
        <v>0.155</v>
      </c>
      <c r="BH84" s="23">
        <v>0.155</v>
      </c>
      <c r="BI84" s="23">
        <v>0.125</v>
      </c>
      <c r="BJ84" s="23">
        <v>0.35</v>
      </c>
      <c r="BK84" s="23">
        <v>2.5000000000000001E-3</v>
      </c>
      <c r="BL84" s="23">
        <v>-0.01</v>
      </c>
      <c r="BM84" s="23">
        <v>5.0000000000000001E-3</v>
      </c>
      <c r="BN84" s="23">
        <v>-0.01</v>
      </c>
      <c r="BO84" s="23">
        <v>0</v>
      </c>
      <c r="BP84" s="23">
        <v>5.0000000000000001E-3</v>
      </c>
      <c r="BQ84" s="23">
        <v>2.5000000000000001E-3</v>
      </c>
      <c r="BR84" s="23">
        <v>3.5000000000000003E-2</v>
      </c>
      <c r="BS84">
        <v>5.0000000000000001E-3</v>
      </c>
      <c r="BT84">
        <v>3.5999999999999997E-2</v>
      </c>
      <c r="BU84">
        <v>3.5999999999999997E-2</v>
      </c>
      <c r="BV84">
        <v>0.03</v>
      </c>
    </row>
    <row r="85" spans="1:74" x14ac:dyDescent="0.25">
      <c r="A85" s="24" t="e">
        <f>#REF!-B85</f>
        <v>#REF!</v>
      </c>
      <c r="B85" s="24">
        <v>3.4550000000000001</v>
      </c>
      <c r="C85" s="138">
        <f t="shared" si="4"/>
        <v>39661</v>
      </c>
      <c r="D85">
        <v>3.5975000000000001</v>
      </c>
      <c r="E85" s="24">
        <v>0.23</v>
      </c>
      <c r="F85" s="23">
        <v>5.47762098979847E-2</v>
      </c>
      <c r="G85" s="23">
        <v>-0.13</v>
      </c>
      <c r="H85" s="23">
        <v>-0.15</v>
      </c>
      <c r="I85" s="27">
        <v>-0.09</v>
      </c>
      <c r="J85" s="27">
        <v>-0.13</v>
      </c>
      <c r="K85" s="23">
        <v>-0.09</v>
      </c>
      <c r="L85" s="23">
        <v>-5.2499999999999998E-2</v>
      </c>
      <c r="M85" s="23">
        <v>-7.2499999999999995E-2</v>
      </c>
      <c r="N85" s="23">
        <v>-0.12</v>
      </c>
      <c r="O85" s="23">
        <v>-0.12</v>
      </c>
      <c r="P85" s="23">
        <v>-0.13</v>
      </c>
      <c r="Q85" s="23">
        <v>-6.1249999999999999E-2</v>
      </c>
      <c r="R85" s="23">
        <v>-6.25E-2</v>
      </c>
      <c r="S85" s="23">
        <v>0.125</v>
      </c>
      <c r="T85" s="23">
        <v>0.155</v>
      </c>
      <c r="U85" s="23">
        <v>0.04</v>
      </c>
      <c r="V85" s="23">
        <v>0.5</v>
      </c>
      <c r="W85" s="23">
        <v>0.15</v>
      </c>
      <c r="X85" s="23">
        <v>0.20499999999999999</v>
      </c>
      <c r="Y85" s="23">
        <v>-2.1499999999999998E-2</v>
      </c>
      <c r="Z85" s="23">
        <v>-4.7500000000000001E-2</v>
      </c>
      <c r="AA85" s="23">
        <v>1.0500000000000001E-2</v>
      </c>
      <c r="AB85" s="23">
        <v>-7.0000000000000001E-3</v>
      </c>
      <c r="AC85" s="23">
        <v>2.5000000000000001E-3</v>
      </c>
      <c r="AD85" s="23">
        <v>-2.2499999999999999E-2</v>
      </c>
      <c r="AE85" s="23">
        <v>-7.2499999999999995E-2</v>
      </c>
      <c r="AF85" s="23">
        <v>-6.0999999999999999E-2</v>
      </c>
      <c r="AG85" s="23">
        <v>-8.3500000000000005E-2</v>
      </c>
      <c r="AH85" s="23">
        <v>-1.7500000000000002E-2</v>
      </c>
      <c r="AI85" s="23">
        <v>-7.1999999999999995E-2</v>
      </c>
      <c r="AJ85" s="23">
        <v>-0.06</v>
      </c>
      <c r="AK85" s="23">
        <v>-1.7000000000000001E-2</v>
      </c>
      <c r="AL85" s="23">
        <v>2.3E-2</v>
      </c>
      <c r="AM85" s="23">
        <v>0.41</v>
      </c>
      <c r="AN85" s="23">
        <v>0.03</v>
      </c>
      <c r="AO85" s="23">
        <v>-0.47</v>
      </c>
      <c r="AP85" s="23">
        <v>-7.0000000000000007E-2</v>
      </c>
      <c r="AQ85" s="23">
        <v>-0.19500000000000001</v>
      </c>
      <c r="AR85" s="23">
        <v>-0.25</v>
      </c>
      <c r="AS85" s="23">
        <v>-0.39</v>
      </c>
      <c r="AT85" s="23">
        <v>0</v>
      </c>
      <c r="AU85" s="23">
        <v>0.26</v>
      </c>
      <c r="AV85" s="23">
        <v>-0.47</v>
      </c>
      <c r="AW85" s="23">
        <v>-0.14199999999999999</v>
      </c>
      <c r="AX85" s="23">
        <v>-0.06</v>
      </c>
      <c r="AY85" s="23">
        <v>-8.2000000000000003E-2</v>
      </c>
      <c r="AZ85" s="23">
        <v>-5.2499999999999998E-2</v>
      </c>
      <c r="BA85" s="23">
        <v>-7.4499999999999997E-2</v>
      </c>
      <c r="BB85" s="23">
        <v>-1.7500000000000002E-2</v>
      </c>
      <c r="BC85" s="23">
        <v>-5.7500000000000002E-2</v>
      </c>
      <c r="BD85" s="23">
        <v>0</v>
      </c>
      <c r="BE85" s="23">
        <v>-7.2499999999999995E-2</v>
      </c>
      <c r="BF85" s="23">
        <v>0.06</v>
      </c>
      <c r="BG85" s="23">
        <v>0.155</v>
      </c>
      <c r="BH85" s="23">
        <v>0.155</v>
      </c>
      <c r="BI85" s="23">
        <v>0.125</v>
      </c>
      <c r="BJ85" s="23">
        <v>0.35</v>
      </c>
      <c r="BK85" s="23">
        <v>2.5000000000000001E-3</v>
      </c>
      <c r="BL85" s="23">
        <v>-0.01</v>
      </c>
      <c r="BM85" s="23">
        <v>5.0000000000000001E-3</v>
      </c>
      <c r="BN85" s="23">
        <v>-0.01</v>
      </c>
      <c r="BO85" s="23">
        <v>0</v>
      </c>
      <c r="BP85" s="23">
        <v>5.0000000000000001E-3</v>
      </c>
      <c r="BQ85" s="23">
        <v>2.5000000000000001E-3</v>
      </c>
      <c r="BR85" s="23">
        <v>0.01</v>
      </c>
      <c r="BS85">
        <v>5.0000000000000001E-3</v>
      </c>
      <c r="BT85">
        <v>3.5999999999999997E-2</v>
      </c>
      <c r="BU85">
        <v>3.5999999999999997E-2</v>
      </c>
      <c r="BV85">
        <v>0.03</v>
      </c>
    </row>
    <row r="86" spans="1:74" x14ac:dyDescent="0.25">
      <c r="A86" s="24" t="e">
        <f>#REF!-B86</f>
        <v>#REF!</v>
      </c>
      <c r="B86" s="24">
        <v>3.3090000000000006</v>
      </c>
      <c r="C86" s="138">
        <f t="shared" si="4"/>
        <v>39692</v>
      </c>
      <c r="D86">
        <v>3.5924999999999998</v>
      </c>
      <c r="E86" s="24">
        <v>0.23</v>
      </c>
      <c r="F86" s="23">
        <v>5.4957723708598298E-2</v>
      </c>
      <c r="G86" s="23">
        <v>-0.13</v>
      </c>
      <c r="H86" s="23">
        <v>-0.15</v>
      </c>
      <c r="I86" s="27">
        <v>-0.09</v>
      </c>
      <c r="J86" s="27">
        <v>-0.13</v>
      </c>
      <c r="K86" s="23">
        <v>-0.09</v>
      </c>
      <c r="L86" s="23">
        <v>-5.2499999999999998E-2</v>
      </c>
      <c r="M86" s="23">
        <v>-7.2499999999999995E-2</v>
      </c>
      <c r="N86" s="23">
        <v>-0.12</v>
      </c>
      <c r="O86" s="23">
        <v>-0.12</v>
      </c>
      <c r="P86" s="23">
        <v>-0.13</v>
      </c>
      <c r="Q86" s="23">
        <v>-6.5000000000000002E-2</v>
      </c>
      <c r="R86" s="23">
        <v>-6.25E-2</v>
      </c>
      <c r="S86" s="23">
        <v>0.125</v>
      </c>
      <c r="T86" s="23">
        <v>0.155</v>
      </c>
      <c r="U86" s="23">
        <v>0.04</v>
      </c>
      <c r="V86" s="23">
        <v>0.5</v>
      </c>
      <c r="W86" s="23">
        <v>0.125</v>
      </c>
      <c r="X86" s="23">
        <v>0.14499999999999999</v>
      </c>
      <c r="Y86" s="23">
        <v>-2.1499999999999998E-2</v>
      </c>
      <c r="Z86" s="23">
        <v>-5.2499999999999998E-2</v>
      </c>
      <c r="AA86" s="23">
        <v>1.0500000000000001E-2</v>
      </c>
      <c r="AB86" s="23">
        <v>-7.0000000000000001E-3</v>
      </c>
      <c r="AC86" s="23">
        <v>2.5000000000000001E-3</v>
      </c>
      <c r="AD86" s="23">
        <v>-2.2499999999999999E-2</v>
      </c>
      <c r="AE86" s="23">
        <v>-7.2499999999999995E-2</v>
      </c>
      <c r="AF86" s="23">
        <v>-6.0999999999999999E-2</v>
      </c>
      <c r="AG86" s="23">
        <v>-8.3500000000000005E-2</v>
      </c>
      <c r="AH86" s="23">
        <v>-1.7500000000000002E-2</v>
      </c>
      <c r="AI86" s="23">
        <v>-7.1999999999999995E-2</v>
      </c>
      <c r="AJ86" s="23">
        <v>-6.7500000000000004E-2</v>
      </c>
      <c r="AK86" s="23">
        <v>-1.7000000000000001E-2</v>
      </c>
      <c r="AL86" s="23">
        <v>2.3E-2</v>
      </c>
      <c r="AM86" s="23">
        <v>0.36</v>
      </c>
      <c r="AN86" s="23">
        <v>2.2499999999999999E-2</v>
      </c>
      <c r="AO86" s="23">
        <v>-0.47</v>
      </c>
      <c r="AP86" s="23">
        <v>-7.0000000000000007E-2</v>
      </c>
      <c r="AQ86" s="23">
        <v>-0.19500000000000001</v>
      </c>
      <c r="AR86" s="23">
        <v>-0.25</v>
      </c>
      <c r="AS86" s="23">
        <v>-0.39</v>
      </c>
      <c r="AT86" s="23">
        <v>0</v>
      </c>
      <c r="AU86" s="23">
        <v>0.26</v>
      </c>
      <c r="AV86" s="23">
        <v>-0.47</v>
      </c>
      <c r="AW86" s="23">
        <v>-0.152</v>
      </c>
      <c r="AX86" s="23">
        <v>-0.06</v>
      </c>
      <c r="AY86" s="23">
        <v>-9.1999999999999998E-2</v>
      </c>
      <c r="AZ86" s="23">
        <v>-5.2499999999999998E-2</v>
      </c>
      <c r="BA86" s="23">
        <v>-7.9500000000000001E-2</v>
      </c>
      <c r="BB86" s="23">
        <v>-1.7500000000000002E-2</v>
      </c>
      <c r="BC86" s="23">
        <v>-5.7500000000000002E-2</v>
      </c>
      <c r="BD86" s="23">
        <v>-7.4999999999999997E-3</v>
      </c>
      <c r="BE86" s="23">
        <v>-7.2499999999999995E-2</v>
      </c>
      <c r="BF86" s="23">
        <v>0.06</v>
      </c>
      <c r="BG86" s="23">
        <v>0.155</v>
      </c>
      <c r="BH86" s="23">
        <v>0.155</v>
      </c>
      <c r="BI86" s="23">
        <v>0.125</v>
      </c>
      <c r="BJ86" s="23">
        <v>0.315</v>
      </c>
      <c r="BK86" s="23">
        <v>2.5000000000000001E-3</v>
      </c>
      <c r="BL86" s="23">
        <v>-0.01</v>
      </c>
      <c r="BM86" s="23">
        <v>5.0000000000000001E-3</v>
      </c>
      <c r="BN86" s="23">
        <v>-0.01</v>
      </c>
      <c r="BO86" s="23">
        <v>0</v>
      </c>
      <c r="BP86" s="23">
        <v>5.0000000000000001E-3</v>
      </c>
      <c r="BQ86" s="23">
        <v>2.5000000000000001E-3</v>
      </c>
      <c r="BR86" s="23">
        <v>0.01</v>
      </c>
      <c r="BS86">
        <v>5.0000000000000001E-3</v>
      </c>
      <c r="BT86">
        <v>3.5999999999999997E-2</v>
      </c>
      <c r="BU86">
        <v>3.5999999999999997E-2</v>
      </c>
      <c r="BV86">
        <v>0.03</v>
      </c>
    </row>
    <row r="87" spans="1:74" x14ac:dyDescent="0.25">
      <c r="A87" s="24" t="e">
        <f>#REF!-B87</f>
        <v>#REF!</v>
      </c>
      <c r="B87" s="24">
        <v>3.1660000000000004</v>
      </c>
      <c r="C87" s="138">
        <f t="shared" si="4"/>
        <v>39722</v>
      </c>
      <c r="D87">
        <v>3.6175000000000002</v>
      </c>
      <c r="E87" s="24">
        <v>0.23</v>
      </c>
      <c r="F87" s="23">
        <v>5.51333822454474E-2</v>
      </c>
      <c r="G87" s="23">
        <v>-0.13</v>
      </c>
      <c r="H87" s="23">
        <v>-0.15</v>
      </c>
      <c r="I87" s="27">
        <v>-0.09</v>
      </c>
      <c r="J87" s="27">
        <v>-0.13</v>
      </c>
      <c r="K87" s="23">
        <v>-0.09</v>
      </c>
      <c r="L87" s="23">
        <v>-5.2499999999999998E-2</v>
      </c>
      <c r="M87" s="23">
        <v>-7.2499999999999995E-2</v>
      </c>
      <c r="N87" s="23">
        <v>-0.12</v>
      </c>
      <c r="O87" s="23">
        <v>-0.12</v>
      </c>
      <c r="P87" s="23">
        <v>-0.13</v>
      </c>
      <c r="Q87" s="23">
        <v>-7.0000000000000007E-2</v>
      </c>
      <c r="R87" s="23">
        <v>-6.25E-2</v>
      </c>
      <c r="S87" s="23">
        <v>0.125</v>
      </c>
      <c r="T87" s="23">
        <v>0.155</v>
      </c>
      <c r="U87" s="23">
        <v>0.04</v>
      </c>
      <c r="V87" s="23">
        <v>0.5</v>
      </c>
      <c r="W87" s="23">
        <v>0.14499999999999999</v>
      </c>
      <c r="X87" s="23">
        <v>0.17499999999999999</v>
      </c>
      <c r="Y87" s="23">
        <v>-2.1499999999999998E-2</v>
      </c>
      <c r="Z87" s="23">
        <v>-5.2499999999999998E-2</v>
      </c>
      <c r="AA87" s="23">
        <v>5.4999999999999997E-3</v>
      </c>
      <c r="AB87" s="23">
        <v>-1.2E-2</v>
      </c>
      <c r="AC87" s="23">
        <v>2.5000000000000001E-3</v>
      </c>
      <c r="AD87" s="23">
        <v>-2.2499999999999999E-2</v>
      </c>
      <c r="AE87" s="23">
        <v>-7.2499999999999995E-2</v>
      </c>
      <c r="AF87" s="23">
        <v>-6.0999999999999999E-2</v>
      </c>
      <c r="AG87" s="23">
        <v>-8.3500000000000005E-2</v>
      </c>
      <c r="AH87" s="23">
        <v>-1.7500000000000002E-2</v>
      </c>
      <c r="AI87" s="23">
        <v>-7.1999999999999995E-2</v>
      </c>
      <c r="AJ87" s="23">
        <v>-7.7499999999999999E-2</v>
      </c>
      <c r="AK87" s="23">
        <v>-1.7000000000000001E-2</v>
      </c>
      <c r="AL87" s="23">
        <v>2.3E-2</v>
      </c>
      <c r="AM87" s="23">
        <v>0.4</v>
      </c>
      <c r="AN87" s="23">
        <v>1.2500000000000001E-2</v>
      </c>
      <c r="AO87" s="23">
        <v>-0.47</v>
      </c>
      <c r="AP87" s="23">
        <v>-7.0000000000000007E-2</v>
      </c>
      <c r="AQ87" s="23">
        <v>-0.19500000000000001</v>
      </c>
      <c r="AR87" s="23">
        <v>-0.25</v>
      </c>
      <c r="AS87" s="23">
        <v>-0.39</v>
      </c>
      <c r="AT87" s="23">
        <v>0</v>
      </c>
      <c r="AU87" s="23">
        <v>0.26</v>
      </c>
      <c r="AV87" s="23">
        <v>-0.47</v>
      </c>
      <c r="AW87" s="23">
        <v>-0.13950000000000001</v>
      </c>
      <c r="AX87" s="23">
        <v>-0.06</v>
      </c>
      <c r="AY87" s="23">
        <v>-7.9500000000000001E-2</v>
      </c>
      <c r="AZ87" s="23">
        <v>-5.2499999999999998E-2</v>
      </c>
      <c r="BA87" s="23">
        <v>-8.2000000000000003E-2</v>
      </c>
      <c r="BB87" s="23">
        <v>-1.7500000000000002E-2</v>
      </c>
      <c r="BC87" s="23">
        <v>-5.7500000000000002E-2</v>
      </c>
      <c r="BD87" s="23">
        <v>-1.7500000000000002E-2</v>
      </c>
      <c r="BE87" s="23">
        <v>-7.2499999999999995E-2</v>
      </c>
      <c r="BF87" s="23">
        <v>0.06</v>
      </c>
      <c r="BG87" s="23">
        <v>0.155</v>
      </c>
      <c r="BH87" s="23">
        <v>0.155</v>
      </c>
      <c r="BI87" s="23">
        <v>0.125</v>
      </c>
      <c r="BJ87" s="23">
        <v>0.36</v>
      </c>
      <c r="BK87" s="23">
        <v>2.5000000000000001E-3</v>
      </c>
      <c r="BL87" s="23">
        <v>-1.4999999999999999E-2</v>
      </c>
      <c r="BM87" s="23">
        <v>5.0000000000000001E-3</v>
      </c>
      <c r="BN87" s="23">
        <v>-0.01</v>
      </c>
      <c r="BO87" s="23">
        <v>0</v>
      </c>
      <c r="BP87" s="23">
        <v>5.0000000000000001E-3</v>
      </c>
      <c r="BQ87" s="23">
        <v>2.5000000000000001E-3</v>
      </c>
      <c r="BR87" s="23">
        <v>0.01</v>
      </c>
      <c r="BS87">
        <v>5.0000000000000001E-3</v>
      </c>
      <c r="BT87">
        <v>3.5999999999999997E-2</v>
      </c>
      <c r="BU87">
        <v>3.5999999999999997E-2</v>
      </c>
      <c r="BV87">
        <v>0.03</v>
      </c>
    </row>
    <row r="88" spans="1:74" x14ac:dyDescent="0.25">
      <c r="A88" s="24" t="e">
        <f>#REF!-B88</f>
        <v>#REF!</v>
      </c>
      <c r="B88" s="24">
        <v>3.1419999999999999</v>
      </c>
      <c r="C88" s="138">
        <f t="shared" si="4"/>
        <v>39753</v>
      </c>
      <c r="D88">
        <v>3.7694999999999999</v>
      </c>
      <c r="E88" s="24">
        <v>0.23</v>
      </c>
      <c r="F88" s="23">
        <v>5.5314896077653899E-2</v>
      </c>
      <c r="G88" s="23">
        <v>-0.13</v>
      </c>
      <c r="H88" s="23">
        <v>-0.15</v>
      </c>
      <c r="I88" s="27">
        <v>-0.01</v>
      </c>
      <c r="J88" s="27">
        <v>-0.13</v>
      </c>
      <c r="K88" s="23">
        <v>0</v>
      </c>
      <c r="L88" s="23">
        <v>-5.2499999999999998E-2</v>
      </c>
      <c r="M88" s="23">
        <v>-8.7499999999999994E-2</v>
      </c>
      <c r="N88" s="23">
        <v>-0.12</v>
      </c>
      <c r="O88" s="23">
        <v>-0.12</v>
      </c>
      <c r="P88" s="23">
        <v>-0.13</v>
      </c>
      <c r="Q88" s="23">
        <v>-8.2500000000000004E-2</v>
      </c>
      <c r="R88" s="23">
        <v>-5.2499999999999998E-2</v>
      </c>
      <c r="S88" s="23">
        <v>0.155</v>
      </c>
      <c r="T88" s="23">
        <v>0.17499999999999999</v>
      </c>
      <c r="U88" s="23">
        <v>0.13</v>
      </c>
      <c r="V88" s="23">
        <v>0.5</v>
      </c>
      <c r="W88" s="23">
        <v>0.19500000000000001</v>
      </c>
      <c r="X88" s="23">
        <v>0.21</v>
      </c>
      <c r="Y88" s="23">
        <v>-1.9E-2</v>
      </c>
      <c r="Z88" s="23">
        <v>-3.5000000000000003E-2</v>
      </c>
      <c r="AA88" s="23">
        <v>6.4999999999999997E-3</v>
      </c>
      <c r="AB88" s="23">
        <v>-1.35E-2</v>
      </c>
      <c r="AC88" s="23">
        <v>2.5000000000000001E-3</v>
      </c>
      <c r="AD88" s="23">
        <v>-2.2499999999999999E-2</v>
      </c>
      <c r="AE88" s="23">
        <v>-7.4999999999999997E-2</v>
      </c>
      <c r="AF88" s="23">
        <v>-6.3500000000000001E-2</v>
      </c>
      <c r="AG88" s="23">
        <v>-8.5999999999999993E-2</v>
      </c>
      <c r="AH88" s="23">
        <v>-1.4E-2</v>
      </c>
      <c r="AI88" s="23">
        <v>-6.4000000000000001E-2</v>
      </c>
      <c r="AJ88" s="23">
        <v>-0.1125</v>
      </c>
      <c r="AK88" s="23">
        <v>-8.9999989999999998E-3</v>
      </c>
      <c r="AL88" s="23">
        <v>3.1E-2</v>
      </c>
      <c r="AM88" s="23">
        <v>0.65</v>
      </c>
      <c r="AN88" s="23">
        <v>-2.2499999999999999E-2</v>
      </c>
      <c r="AO88" s="23">
        <v>-0.34</v>
      </c>
      <c r="AP88" s="23">
        <v>-7.0000000000000007E-2</v>
      </c>
      <c r="AQ88" s="23">
        <v>-0.13</v>
      </c>
      <c r="AR88" s="23">
        <v>0.248</v>
      </c>
      <c r="AS88" s="23">
        <v>-0.26</v>
      </c>
      <c r="AT88" s="23">
        <v>0</v>
      </c>
      <c r="AU88" s="23">
        <v>0.24</v>
      </c>
      <c r="AV88" s="23">
        <v>-0.34</v>
      </c>
      <c r="AW88" s="23">
        <v>-0.14699999999999999</v>
      </c>
      <c r="AX88" s="23">
        <v>-0.06</v>
      </c>
      <c r="AY88" s="23">
        <v>-8.6999999999999994E-2</v>
      </c>
      <c r="AZ88" s="23">
        <v>-5.2499999999999998E-2</v>
      </c>
      <c r="BA88" s="23">
        <v>-7.6999999999999999E-2</v>
      </c>
      <c r="BB88" s="23">
        <v>-1.9E-2</v>
      </c>
      <c r="BC88" s="23">
        <v>-7.2499999999999995E-2</v>
      </c>
      <c r="BD88" s="23">
        <v>-5.2499999999999998E-2</v>
      </c>
      <c r="BE88" s="23">
        <v>-7.4999999999999997E-2</v>
      </c>
      <c r="BF88" s="23">
        <v>0</v>
      </c>
      <c r="BG88" s="23">
        <v>0.17</v>
      </c>
      <c r="BH88" s="23">
        <v>0.17499999999999999</v>
      </c>
      <c r="BI88" s="23">
        <v>0.155</v>
      </c>
      <c r="BJ88" s="23">
        <v>0.46</v>
      </c>
      <c r="BK88" s="23">
        <v>2.5000000000000001E-3</v>
      </c>
      <c r="BL88" s="23">
        <v>-0.02</v>
      </c>
      <c r="BM88" s="23">
        <v>5.0000000000000001E-3</v>
      </c>
      <c r="BN88" s="23">
        <v>0</v>
      </c>
      <c r="BO88" s="23">
        <v>0</v>
      </c>
      <c r="BP88" s="23">
        <v>5.0000000000000001E-3</v>
      </c>
      <c r="BQ88" s="23">
        <v>5.0000000000000001E-3</v>
      </c>
      <c r="BR88" s="23">
        <v>5.5E-2</v>
      </c>
      <c r="BS88">
        <v>0.02</v>
      </c>
      <c r="BT88">
        <v>3.7999999999999999E-2</v>
      </c>
      <c r="BU88">
        <v>3.7999999999999999E-2</v>
      </c>
      <c r="BV88">
        <v>0.03</v>
      </c>
    </row>
    <row r="89" spans="1:74" x14ac:dyDescent="0.25">
      <c r="A89" s="24" t="e">
        <f>#REF!-B89</f>
        <v>#REF!</v>
      </c>
      <c r="B89" s="24">
        <v>3.1260000000000003</v>
      </c>
      <c r="C89" s="138">
        <f t="shared" si="4"/>
        <v>39783</v>
      </c>
      <c r="D89">
        <v>3.9125000000000001</v>
      </c>
      <c r="E89" s="24">
        <v>0.23</v>
      </c>
      <c r="F89" s="23">
        <v>5.5490554635397898E-2</v>
      </c>
      <c r="G89" s="23">
        <v>-0.13250000000000001</v>
      </c>
      <c r="H89" s="23">
        <v>-0.1525</v>
      </c>
      <c r="I89" s="27">
        <v>-5.0000000000000001E-3</v>
      </c>
      <c r="J89" s="27">
        <v>-0.13</v>
      </c>
      <c r="K89" s="23">
        <v>5.0000000000000001E-3</v>
      </c>
      <c r="L89" s="23">
        <v>-5.2499999999999998E-2</v>
      </c>
      <c r="M89" s="23">
        <v>-8.7499999999999994E-2</v>
      </c>
      <c r="N89" s="23">
        <v>-0.1225</v>
      </c>
      <c r="O89" s="23">
        <v>-0.1225</v>
      </c>
      <c r="P89" s="23">
        <v>-0.13250000000000001</v>
      </c>
      <c r="Q89" s="23">
        <v>-9.375E-2</v>
      </c>
      <c r="R89" s="23">
        <v>-5.2499999999999998E-2</v>
      </c>
      <c r="S89" s="23">
        <v>0.155</v>
      </c>
      <c r="T89" s="23">
        <v>0.17499999999999999</v>
      </c>
      <c r="U89" s="23">
        <v>0.13</v>
      </c>
      <c r="V89" s="23">
        <v>0.5</v>
      </c>
      <c r="W89" s="23">
        <v>0.215</v>
      </c>
      <c r="X89" s="23">
        <v>0.28999999999999998</v>
      </c>
      <c r="Y89" s="23">
        <v>-1.9E-2</v>
      </c>
      <c r="Z89" s="23">
        <v>-3.5000000000000003E-2</v>
      </c>
      <c r="AA89" s="23">
        <v>6.4999999999999997E-3</v>
      </c>
      <c r="AB89" s="23">
        <v>-1.35E-2</v>
      </c>
      <c r="AC89" s="23">
        <v>2.5000000000000001E-3</v>
      </c>
      <c r="AD89" s="23">
        <v>-2.2499999999999999E-2</v>
      </c>
      <c r="AE89" s="23">
        <v>-7.4999999999999997E-2</v>
      </c>
      <c r="AF89" s="23">
        <v>-6.1499999999999999E-2</v>
      </c>
      <c r="AG89" s="23">
        <v>-8.4000000000000005E-2</v>
      </c>
      <c r="AH89" s="23">
        <v>-1.15E-2</v>
      </c>
      <c r="AI89" s="23">
        <v>-6.4000000000000001E-2</v>
      </c>
      <c r="AJ89" s="23">
        <v>-0.13500000000000001</v>
      </c>
      <c r="AK89" s="23">
        <v>-8.9999989999999998E-3</v>
      </c>
      <c r="AL89" s="23">
        <v>3.1E-2</v>
      </c>
      <c r="AM89" s="23">
        <v>0.98</v>
      </c>
      <c r="AN89" s="23">
        <v>-4.4999999999999998E-2</v>
      </c>
      <c r="AO89" s="23">
        <v>-0.34</v>
      </c>
      <c r="AP89" s="23">
        <v>-7.0000000000000007E-2</v>
      </c>
      <c r="AQ89" s="23">
        <v>-0.13</v>
      </c>
      <c r="AR89" s="23">
        <v>0.308</v>
      </c>
      <c r="AS89" s="23">
        <v>-0.26</v>
      </c>
      <c r="AT89" s="23">
        <v>0</v>
      </c>
      <c r="AU89" s="23">
        <v>0.24</v>
      </c>
      <c r="AV89" s="23">
        <v>-0.34</v>
      </c>
      <c r="AW89" s="23">
        <v>-0.17449999999999999</v>
      </c>
      <c r="AX89" s="23">
        <v>-0.06</v>
      </c>
      <c r="AY89" s="23">
        <v>-0.1145</v>
      </c>
      <c r="AZ89" s="23">
        <v>-5.2499999999999998E-2</v>
      </c>
      <c r="BA89" s="23">
        <v>-0.1045</v>
      </c>
      <c r="BB89" s="23">
        <v>-1.6500000000000001E-2</v>
      </c>
      <c r="BC89" s="23">
        <v>-7.2499999999999995E-2</v>
      </c>
      <c r="BD89" s="23">
        <v>-7.4999999999999997E-2</v>
      </c>
      <c r="BE89" s="23">
        <v>-7.4999999999999997E-2</v>
      </c>
      <c r="BF89" s="23">
        <v>0</v>
      </c>
      <c r="BG89" s="23">
        <v>0.17</v>
      </c>
      <c r="BH89" s="23">
        <v>0.17499999999999999</v>
      </c>
      <c r="BI89" s="23">
        <v>0.155</v>
      </c>
      <c r="BJ89" s="23">
        <v>0.77</v>
      </c>
      <c r="BK89" s="23">
        <v>2.5000000000000001E-3</v>
      </c>
      <c r="BL89" s="23">
        <v>-2.5000000000000001E-2</v>
      </c>
      <c r="BM89" s="23">
        <v>5.0000000000000001E-3</v>
      </c>
      <c r="BN89" s="23">
        <v>0</v>
      </c>
      <c r="BO89" s="23">
        <v>0</v>
      </c>
      <c r="BP89" s="23">
        <v>5.0000000000000001E-3</v>
      </c>
      <c r="BQ89" s="23">
        <v>5.0000000000000001E-3</v>
      </c>
      <c r="BR89" s="23">
        <v>0.25</v>
      </c>
      <c r="BS89">
        <v>0.02</v>
      </c>
      <c r="BT89">
        <v>3.7999999999999999E-2</v>
      </c>
      <c r="BU89">
        <v>3.7999999999999999E-2</v>
      </c>
      <c r="BV89">
        <v>0.03</v>
      </c>
    </row>
    <row r="90" spans="1:74" x14ac:dyDescent="0.25">
      <c r="A90" s="24" t="e">
        <f>#REF!-B90</f>
        <v>#REF!</v>
      </c>
      <c r="B90" s="24">
        <v>3.1910000000000003</v>
      </c>
      <c r="C90" s="138">
        <f t="shared" si="4"/>
        <v>39814</v>
      </c>
      <c r="D90">
        <v>3.9649999999999999</v>
      </c>
      <c r="E90" s="24">
        <v>0.23</v>
      </c>
      <c r="F90" s="23">
        <v>5.5629285809112097E-2</v>
      </c>
      <c r="G90" s="23">
        <v>-0.13500000000000001</v>
      </c>
      <c r="H90" s="23">
        <v>-0.155</v>
      </c>
      <c r="I90" s="27">
        <v>1.4999999999999999E-2</v>
      </c>
      <c r="J90" s="27">
        <v>-0.13</v>
      </c>
      <c r="K90" s="23">
        <v>2.5000000000000001E-2</v>
      </c>
      <c r="L90" s="23">
        <v>-5.2499999999999998E-2</v>
      </c>
      <c r="M90" s="23">
        <v>-8.7499999999999994E-2</v>
      </c>
      <c r="N90" s="23">
        <v>-0.125</v>
      </c>
      <c r="O90" s="23">
        <v>-0.125</v>
      </c>
      <c r="P90" s="23">
        <v>-0.13500000000000001</v>
      </c>
      <c r="Q90" s="23">
        <v>-9.5000000000000001E-2</v>
      </c>
      <c r="R90" s="23">
        <v>-5.2499999999999998E-2</v>
      </c>
      <c r="S90" s="23">
        <v>0.155</v>
      </c>
      <c r="T90" s="23">
        <v>0.17499999999999999</v>
      </c>
      <c r="U90" s="23">
        <v>0.13</v>
      </c>
      <c r="V90" s="23">
        <v>0.5</v>
      </c>
      <c r="W90" s="23">
        <v>0.23499999999999999</v>
      </c>
      <c r="X90" s="23">
        <v>0.34</v>
      </c>
      <c r="Y90" s="23">
        <v>-1.7000000000000001E-2</v>
      </c>
      <c r="Z90" s="23">
        <v>-3.5000000000000003E-2</v>
      </c>
      <c r="AA90" s="23">
        <v>6.4999999999999997E-3</v>
      </c>
      <c r="AB90" s="23">
        <v>-1.35E-2</v>
      </c>
      <c r="AC90" s="23">
        <v>2.5000000000000001E-3</v>
      </c>
      <c r="AD90" s="23">
        <v>-2.2499999999999999E-2</v>
      </c>
      <c r="AE90" s="23">
        <v>-7.4999999999999997E-2</v>
      </c>
      <c r="AF90" s="23">
        <v>-6.1499999999999999E-2</v>
      </c>
      <c r="AG90" s="23">
        <v>-8.4000000000000005E-2</v>
      </c>
      <c r="AH90" s="23">
        <v>-1.15E-2</v>
      </c>
      <c r="AI90" s="23">
        <v>-6.4000000000000001E-2</v>
      </c>
      <c r="AJ90" s="23">
        <v>-0.13750000000000001</v>
      </c>
      <c r="AK90" s="23">
        <v>-8.9999989999999998E-3</v>
      </c>
      <c r="AL90" s="23">
        <v>3.1E-2</v>
      </c>
      <c r="AM90" s="23">
        <v>1.6</v>
      </c>
      <c r="AN90" s="23">
        <v>-4.7500000000000001E-2</v>
      </c>
      <c r="AO90" s="23">
        <v>-0.34</v>
      </c>
      <c r="AP90" s="23">
        <v>-7.0000000000000007E-2</v>
      </c>
      <c r="AQ90" s="23">
        <v>-0.13</v>
      </c>
      <c r="AR90" s="23">
        <v>0.378</v>
      </c>
      <c r="AS90" s="23">
        <v>-0.26</v>
      </c>
      <c r="AT90" s="23">
        <v>0</v>
      </c>
      <c r="AU90" s="23">
        <v>0.24</v>
      </c>
      <c r="AV90" s="23">
        <v>-0.34</v>
      </c>
      <c r="AW90" s="23">
        <v>-0.1895</v>
      </c>
      <c r="AX90" s="23">
        <v>-0.06</v>
      </c>
      <c r="AY90" s="23">
        <v>-0.1295</v>
      </c>
      <c r="AZ90" s="23">
        <v>-5.2499999999999998E-2</v>
      </c>
      <c r="BA90" s="23">
        <v>-0.105</v>
      </c>
      <c r="BB90" s="23">
        <v>-1.6500000000000001E-2</v>
      </c>
      <c r="BC90" s="23">
        <v>-7.2499999999999995E-2</v>
      </c>
      <c r="BD90" s="23">
        <v>-7.7499999999999999E-2</v>
      </c>
      <c r="BE90" s="23">
        <v>-7.4999999999999997E-2</v>
      </c>
      <c r="BF90" s="23">
        <v>0</v>
      </c>
      <c r="BG90" s="23">
        <v>0.17</v>
      </c>
      <c r="BH90" s="23">
        <v>0.17499999999999999</v>
      </c>
      <c r="BI90" s="23">
        <v>0.155</v>
      </c>
      <c r="BJ90" s="23">
        <v>1.04</v>
      </c>
      <c r="BK90" s="23">
        <v>2.5000000000000001E-3</v>
      </c>
      <c r="BL90" s="23">
        <v>-2.5000000000000001E-2</v>
      </c>
      <c r="BM90" s="23">
        <v>5.0000000000000001E-3</v>
      </c>
      <c r="BN90" s="23">
        <v>0</v>
      </c>
      <c r="BO90" s="23">
        <v>0</v>
      </c>
      <c r="BP90" s="23">
        <v>5.0000000000000001E-3</v>
      </c>
      <c r="BQ90" s="23">
        <v>5.0000000000000001E-3</v>
      </c>
      <c r="BR90" s="23">
        <v>0.45</v>
      </c>
      <c r="BS90">
        <v>0.02</v>
      </c>
      <c r="BT90">
        <v>3.7999999999999999E-2</v>
      </c>
      <c r="BU90">
        <v>3.7999999999999999E-2</v>
      </c>
      <c r="BV90">
        <v>0.03</v>
      </c>
    </row>
    <row r="91" spans="1:74" x14ac:dyDescent="0.25">
      <c r="A91" s="24" t="e">
        <f>#REF!-B91</f>
        <v>#REF!</v>
      </c>
      <c r="B91" s="24">
        <v>3.1860000000000004</v>
      </c>
      <c r="C91" s="138">
        <f t="shared" si="4"/>
        <v>39845</v>
      </c>
      <c r="D91">
        <v>3.88</v>
      </c>
      <c r="E91" s="24">
        <v>0.22750000000000001</v>
      </c>
      <c r="F91" s="23">
        <v>5.5732784192703999E-2</v>
      </c>
      <c r="G91" s="23">
        <v>-0.1275</v>
      </c>
      <c r="H91" s="23">
        <v>-0.14749999999999999</v>
      </c>
      <c r="I91" s="27">
        <v>0.01</v>
      </c>
      <c r="J91" s="27">
        <v>-0.13</v>
      </c>
      <c r="K91" s="23">
        <v>0.02</v>
      </c>
      <c r="L91" s="23">
        <v>-5.2499999999999998E-2</v>
      </c>
      <c r="M91" s="23">
        <v>-8.7499999999999994E-2</v>
      </c>
      <c r="N91" s="23">
        <v>-0.11749999999999999</v>
      </c>
      <c r="O91" s="23">
        <v>-0.11749999999999999</v>
      </c>
      <c r="P91" s="23">
        <v>-0.1275</v>
      </c>
      <c r="Q91" s="23">
        <v>-8.6249999999999993E-2</v>
      </c>
      <c r="R91" s="23">
        <v>-5.2499999999999998E-2</v>
      </c>
      <c r="S91" s="23">
        <v>0.155</v>
      </c>
      <c r="T91" s="23">
        <v>0.17499999999999999</v>
      </c>
      <c r="U91" s="23">
        <v>0.13</v>
      </c>
      <c r="V91" s="23">
        <v>0.5</v>
      </c>
      <c r="W91" s="23">
        <v>0.23499999999999999</v>
      </c>
      <c r="X91" s="23">
        <v>0.34</v>
      </c>
      <c r="Y91" s="23">
        <v>-1.7000000000000001E-2</v>
      </c>
      <c r="Z91" s="23">
        <v>-3.5000000000000003E-2</v>
      </c>
      <c r="AA91" s="23">
        <v>6.4999999999999997E-3</v>
      </c>
      <c r="AB91" s="23">
        <v>-1.35E-2</v>
      </c>
      <c r="AC91" s="23">
        <v>2.5000000000000001E-3</v>
      </c>
      <c r="AD91" s="23">
        <v>-2.2499999999999999E-2</v>
      </c>
      <c r="AE91" s="23">
        <v>-7.4999999999999997E-2</v>
      </c>
      <c r="AF91" s="23">
        <v>-6.1499999999999999E-2</v>
      </c>
      <c r="AG91" s="23">
        <v>-8.4000000000000005E-2</v>
      </c>
      <c r="AH91" s="23">
        <v>-1.15E-2</v>
      </c>
      <c r="AI91" s="23">
        <v>-6.4000000000000001E-2</v>
      </c>
      <c r="AJ91" s="23">
        <v>-0.12</v>
      </c>
      <c r="AK91" s="23">
        <v>-8.9999989999999998E-3</v>
      </c>
      <c r="AL91" s="23">
        <v>3.1E-2</v>
      </c>
      <c r="AM91" s="23">
        <v>1.6</v>
      </c>
      <c r="AN91" s="23">
        <v>-0.03</v>
      </c>
      <c r="AO91" s="23">
        <v>-0.34</v>
      </c>
      <c r="AP91" s="23">
        <v>-7.0000000000000007E-2</v>
      </c>
      <c r="AQ91" s="23">
        <v>-0.13</v>
      </c>
      <c r="AR91" s="23">
        <v>0.248</v>
      </c>
      <c r="AS91" s="23">
        <v>-0.26</v>
      </c>
      <c r="AT91" s="23">
        <v>0</v>
      </c>
      <c r="AU91" s="23">
        <v>0.24</v>
      </c>
      <c r="AV91" s="23">
        <v>-0.34</v>
      </c>
      <c r="AW91" s="23">
        <v>-0.17949999999999999</v>
      </c>
      <c r="AX91" s="23">
        <v>-0.06</v>
      </c>
      <c r="AY91" s="23">
        <v>-0.1195</v>
      </c>
      <c r="AZ91" s="23">
        <v>-5.2499999999999998E-2</v>
      </c>
      <c r="BA91" s="23">
        <v>-0.105</v>
      </c>
      <c r="BB91" s="23">
        <v>-1.6500000000000001E-2</v>
      </c>
      <c r="BC91" s="23">
        <v>-7.2499999999999995E-2</v>
      </c>
      <c r="BD91" s="23">
        <v>-0.06</v>
      </c>
      <c r="BE91" s="23">
        <v>-7.4999999999999997E-2</v>
      </c>
      <c r="BF91" s="23">
        <v>0</v>
      </c>
      <c r="BG91" s="23">
        <v>0.17</v>
      </c>
      <c r="BH91" s="23">
        <v>0.17499999999999999</v>
      </c>
      <c r="BI91" s="23">
        <v>0.155</v>
      </c>
      <c r="BJ91" s="23">
        <v>1.04</v>
      </c>
      <c r="BK91" s="23">
        <v>2.5000000000000001E-3</v>
      </c>
      <c r="BL91" s="23">
        <v>-2.5000000000000001E-2</v>
      </c>
      <c r="BM91" s="23">
        <v>5.0000000000000001E-3</v>
      </c>
      <c r="BN91" s="23">
        <v>0</v>
      </c>
      <c r="BO91" s="23">
        <v>0</v>
      </c>
      <c r="BP91" s="23">
        <v>5.0000000000000001E-3</v>
      </c>
      <c r="BQ91" s="23">
        <v>5.0000000000000001E-3</v>
      </c>
      <c r="BR91" s="23">
        <v>0.45</v>
      </c>
      <c r="BS91">
        <v>0.02</v>
      </c>
      <c r="BT91">
        <v>3.7999999999999999E-2</v>
      </c>
      <c r="BU91">
        <v>3.7999999999999999E-2</v>
      </c>
      <c r="BV91">
        <v>0.03</v>
      </c>
    </row>
    <row r="92" spans="1:74" x14ac:dyDescent="0.25">
      <c r="A92" s="24" t="e">
        <f>#REF!-B92</f>
        <v>#REF!</v>
      </c>
      <c r="B92" s="24">
        <v>3.1720000000000002</v>
      </c>
      <c r="C92" s="138">
        <f t="shared" si="4"/>
        <v>39873</v>
      </c>
      <c r="D92">
        <v>3.75</v>
      </c>
      <c r="E92" s="24">
        <v>0.22</v>
      </c>
      <c r="F92" s="23">
        <v>5.5826266606755499E-2</v>
      </c>
      <c r="G92" s="23">
        <v>-0.125</v>
      </c>
      <c r="H92" s="23">
        <v>-0.14499999999999999</v>
      </c>
      <c r="I92" s="27">
        <v>-0.01</v>
      </c>
      <c r="J92" s="27">
        <v>-0.13</v>
      </c>
      <c r="K92" s="23">
        <v>0</v>
      </c>
      <c r="L92" s="23">
        <v>-5.2499999999999998E-2</v>
      </c>
      <c r="M92" s="23">
        <v>-8.7499999999999994E-2</v>
      </c>
      <c r="N92" s="23">
        <v>-0.115</v>
      </c>
      <c r="O92" s="23">
        <v>-0.115</v>
      </c>
      <c r="P92" s="23">
        <v>-0.125</v>
      </c>
      <c r="Q92" s="23">
        <v>-0.08</v>
      </c>
      <c r="R92" s="23">
        <v>-5.2499999999999998E-2</v>
      </c>
      <c r="S92" s="23">
        <v>0.155</v>
      </c>
      <c r="T92" s="23">
        <v>0.17499999999999999</v>
      </c>
      <c r="U92" s="23">
        <v>0.13</v>
      </c>
      <c r="V92" s="23">
        <v>0.5</v>
      </c>
      <c r="W92" s="23">
        <v>0.19500000000000001</v>
      </c>
      <c r="X92" s="23">
        <v>0.28999999999999998</v>
      </c>
      <c r="Y92" s="23">
        <v>-1.7000000000000001E-2</v>
      </c>
      <c r="Z92" s="23">
        <v>-3.5000000000000003E-2</v>
      </c>
      <c r="AA92" s="23">
        <v>1.4E-2</v>
      </c>
      <c r="AB92" s="23">
        <v>-6.0000000000000001E-3</v>
      </c>
      <c r="AC92" s="23">
        <v>2.5000000000000001E-3</v>
      </c>
      <c r="AD92" s="23">
        <v>-2.2499999999999999E-2</v>
      </c>
      <c r="AE92" s="23">
        <v>-7.4999999999999997E-2</v>
      </c>
      <c r="AF92" s="23">
        <v>-6.1499999999999999E-2</v>
      </c>
      <c r="AG92" s="23">
        <v>-8.4000000000000005E-2</v>
      </c>
      <c r="AH92" s="23">
        <v>-1.15E-2</v>
      </c>
      <c r="AI92" s="23">
        <v>-6.4000000000000001E-2</v>
      </c>
      <c r="AJ92" s="23">
        <v>-0.1075</v>
      </c>
      <c r="AK92" s="23">
        <v>-8.9999989999999998E-3</v>
      </c>
      <c r="AL92" s="23">
        <v>3.1E-2</v>
      </c>
      <c r="AM92" s="23">
        <v>0.64</v>
      </c>
      <c r="AN92" s="23">
        <v>-1.7500000000000002E-2</v>
      </c>
      <c r="AO92" s="23">
        <v>-0.34</v>
      </c>
      <c r="AP92" s="23">
        <v>-7.0000000000000007E-2</v>
      </c>
      <c r="AQ92" s="23">
        <v>-0.13</v>
      </c>
      <c r="AR92" s="23">
        <v>6.8000000000000005E-2</v>
      </c>
      <c r="AS92" s="23">
        <v>-0.26</v>
      </c>
      <c r="AT92" s="23">
        <v>0</v>
      </c>
      <c r="AU92" s="23">
        <v>0.24</v>
      </c>
      <c r="AV92" s="23">
        <v>-0.34</v>
      </c>
      <c r="AW92" s="23">
        <v>-0.16950000000000001</v>
      </c>
      <c r="AX92" s="23">
        <v>-0.06</v>
      </c>
      <c r="AY92" s="23">
        <v>-0.1095</v>
      </c>
      <c r="AZ92" s="23">
        <v>-5.2499999999999998E-2</v>
      </c>
      <c r="BA92" s="23">
        <v>-0.105</v>
      </c>
      <c r="BB92" s="23">
        <v>-1.6500000000000001E-2</v>
      </c>
      <c r="BC92" s="23">
        <v>-7.2499999999999995E-2</v>
      </c>
      <c r="BD92" s="23">
        <v>-4.7500000000000001E-2</v>
      </c>
      <c r="BE92" s="23">
        <v>-7.4999999999999997E-2</v>
      </c>
      <c r="BF92" s="23">
        <v>0</v>
      </c>
      <c r="BG92" s="23">
        <v>0.17</v>
      </c>
      <c r="BH92" s="23">
        <v>0.17499999999999999</v>
      </c>
      <c r="BI92" s="23">
        <v>0.155</v>
      </c>
      <c r="BJ92" s="23">
        <v>0.54</v>
      </c>
      <c r="BK92" s="23">
        <v>2.5000000000000001E-3</v>
      </c>
      <c r="BL92" s="23">
        <v>-0.02</v>
      </c>
      <c r="BM92" s="23">
        <v>5.0000000000000001E-3</v>
      </c>
      <c r="BN92" s="23">
        <v>0</v>
      </c>
      <c r="BO92" s="23">
        <v>0</v>
      </c>
      <c r="BP92" s="23">
        <v>5.0000000000000001E-3</v>
      </c>
      <c r="BQ92" s="23">
        <v>5.0000000000000001E-3</v>
      </c>
      <c r="BR92" s="23">
        <v>0.1</v>
      </c>
      <c r="BS92">
        <v>0.02</v>
      </c>
      <c r="BT92">
        <v>3.7999999999999999E-2</v>
      </c>
      <c r="BU92">
        <v>3.7999999999999999E-2</v>
      </c>
      <c r="BV92">
        <v>0.03</v>
      </c>
    </row>
    <row r="93" spans="1:74" x14ac:dyDescent="0.25">
      <c r="A93" s="24" t="e">
        <f>#REF!-B93</f>
        <v>#REF!</v>
      </c>
      <c r="B93" s="24">
        <v>3.1860000000000004</v>
      </c>
      <c r="C93" s="138">
        <f t="shared" si="4"/>
        <v>39904</v>
      </c>
      <c r="D93">
        <v>3.5649999999999999</v>
      </c>
      <c r="E93" s="24">
        <v>0.20250000000000001</v>
      </c>
      <c r="F93" s="23">
        <v>5.5929764997134403E-2</v>
      </c>
      <c r="G93" s="23">
        <v>-0.13</v>
      </c>
      <c r="H93" s="23">
        <v>-0.15</v>
      </c>
      <c r="I93" s="27">
        <v>-0.09</v>
      </c>
      <c r="J93" s="27">
        <v>-0.13</v>
      </c>
      <c r="K93" s="23">
        <v>-0.09</v>
      </c>
      <c r="L93" s="23">
        <v>-0.05</v>
      </c>
      <c r="M93" s="23">
        <v>-7.0000000000000007E-2</v>
      </c>
      <c r="N93" s="23">
        <v>-0.12</v>
      </c>
      <c r="O93" s="23">
        <v>-0.12</v>
      </c>
      <c r="P93" s="23">
        <v>-0.13</v>
      </c>
      <c r="Q93" s="23">
        <v>-0.06</v>
      </c>
      <c r="R93" s="23">
        <v>-0.05</v>
      </c>
      <c r="S93" s="23">
        <v>0.125</v>
      </c>
      <c r="T93" s="23">
        <v>0.14499999999999999</v>
      </c>
      <c r="U93" s="23">
        <v>0.04</v>
      </c>
      <c r="V93" s="23">
        <v>0.5</v>
      </c>
      <c r="W93" s="23">
        <v>0.14499999999999999</v>
      </c>
      <c r="X93" s="23">
        <v>0.19500000000000001</v>
      </c>
      <c r="Y93" s="23">
        <v>-1.95E-2</v>
      </c>
      <c r="Z93" s="23">
        <v>-0.05</v>
      </c>
      <c r="AA93" s="23">
        <v>1.4E-2</v>
      </c>
      <c r="AB93" s="23">
        <v>-6.0000000000000001E-3</v>
      </c>
      <c r="AC93" s="23">
        <v>2.5000000000000001E-3</v>
      </c>
      <c r="AD93" s="23">
        <v>-2.2499999999999999E-2</v>
      </c>
      <c r="AE93" s="23">
        <v>-7.2499999999999995E-2</v>
      </c>
      <c r="AF93" s="23">
        <v>-5.8999999999999997E-2</v>
      </c>
      <c r="AG93" s="23">
        <v>-8.1500000000000003E-2</v>
      </c>
      <c r="AH93" s="23">
        <v>-1.6500000000000001E-2</v>
      </c>
      <c r="AI93" s="23">
        <v>-7.1999999999999995E-2</v>
      </c>
      <c r="AJ93" s="23">
        <v>-7.0000000000000007E-2</v>
      </c>
      <c r="AK93" s="23">
        <v>-1.7000000000000001E-2</v>
      </c>
      <c r="AL93" s="23">
        <v>2.3E-2</v>
      </c>
      <c r="AM93" s="23">
        <v>0.38</v>
      </c>
      <c r="AN93" s="23">
        <v>0.02</v>
      </c>
      <c r="AO93" s="23">
        <v>-0.47</v>
      </c>
      <c r="AP93" s="23">
        <v>-7.0000000000000007E-2</v>
      </c>
      <c r="AQ93" s="23">
        <v>-0.19500000000000001</v>
      </c>
      <c r="AR93" s="23">
        <v>-0.25</v>
      </c>
      <c r="AS93" s="23">
        <v>-0.39</v>
      </c>
      <c r="AT93" s="23">
        <v>0</v>
      </c>
      <c r="AU93" s="23">
        <v>0.26</v>
      </c>
      <c r="AV93" s="23">
        <v>-0.47</v>
      </c>
      <c r="AW93" s="23">
        <v>-0.21</v>
      </c>
      <c r="AX93" s="23">
        <v>-0.06</v>
      </c>
      <c r="AY93" s="23">
        <v>-0.15</v>
      </c>
      <c r="AZ93" s="23">
        <v>-0.05</v>
      </c>
      <c r="BA93" s="23">
        <v>-0.1275</v>
      </c>
      <c r="BB93" s="23">
        <v>-1.6500000000000001E-2</v>
      </c>
      <c r="BC93" s="23">
        <v>-5.5E-2</v>
      </c>
      <c r="BD93" s="23">
        <v>-0.01</v>
      </c>
      <c r="BE93" s="23">
        <v>-7.2499999999999995E-2</v>
      </c>
      <c r="BF93" s="23">
        <v>0</v>
      </c>
      <c r="BG93" s="23">
        <v>0.14000000000000001</v>
      </c>
      <c r="BH93" s="23">
        <v>0.14499999999999999</v>
      </c>
      <c r="BI93" s="23">
        <v>0.125</v>
      </c>
      <c r="BJ93" s="23">
        <v>0.36</v>
      </c>
      <c r="BK93" s="23">
        <v>2.5000000000000001E-3</v>
      </c>
      <c r="BL93" s="23">
        <v>-1.4999999999999999E-2</v>
      </c>
      <c r="BM93" s="23">
        <v>5.0000000000000001E-3</v>
      </c>
      <c r="BN93" s="23">
        <v>-0.01</v>
      </c>
      <c r="BO93" s="23">
        <v>0</v>
      </c>
      <c r="BP93" s="23">
        <v>5.0000000000000001E-3</v>
      </c>
      <c r="BQ93" s="23">
        <v>2.5000000000000001E-3</v>
      </c>
      <c r="BR93" s="23">
        <v>0.02</v>
      </c>
      <c r="BS93">
        <v>5.0000000000000001E-3</v>
      </c>
      <c r="BT93">
        <v>3.7999999999999999E-2</v>
      </c>
      <c r="BU93">
        <v>3.7999999999999999E-2</v>
      </c>
      <c r="BV93">
        <v>0.03</v>
      </c>
    </row>
    <row r="94" spans="1:74" x14ac:dyDescent="0.25">
      <c r="A94" s="24" t="e">
        <f>#REF!-B94</f>
        <v>#REF!</v>
      </c>
      <c r="B94" s="24">
        <v>3.278</v>
      </c>
      <c r="C94" s="138">
        <f t="shared" si="4"/>
        <v>39934</v>
      </c>
      <c r="D94">
        <v>3.56</v>
      </c>
      <c r="E94" s="24">
        <v>0.20250000000000001</v>
      </c>
      <c r="F94" s="23">
        <v>5.6029924733155503E-2</v>
      </c>
      <c r="G94" s="23">
        <v>-0.13</v>
      </c>
      <c r="H94" s="23">
        <v>-0.15</v>
      </c>
      <c r="I94" s="27">
        <v>-0.09</v>
      </c>
      <c r="J94" s="27">
        <v>-0.13</v>
      </c>
      <c r="K94" s="23">
        <v>-0.09</v>
      </c>
      <c r="L94" s="23">
        <v>-0.05</v>
      </c>
      <c r="M94" s="23">
        <v>-7.0000000000000007E-2</v>
      </c>
      <c r="N94" s="23">
        <v>-0.12</v>
      </c>
      <c r="O94" s="23">
        <v>-0.12</v>
      </c>
      <c r="P94" s="23">
        <v>-0.13</v>
      </c>
      <c r="Q94" s="23">
        <v>-0.06</v>
      </c>
      <c r="R94" s="23">
        <v>-0.05</v>
      </c>
      <c r="S94" s="23">
        <v>0.125</v>
      </c>
      <c r="T94" s="23">
        <v>0.14499999999999999</v>
      </c>
      <c r="U94" s="23">
        <v>0.04</v>
      </c>
      <c r="V94" s="23">
        <v>0.5</v>
      </c>
      <c r="W94" s="23">
        <v>0.125</v>
      </c>
      <c r="X94" s="23">
        <v>0.13500000000000001</v>
      </c>
      <c r="Y94" s="23">
        <v>-1.95E-2</v>
      </c>
      <c r="Z94" s="23">
        <v>-0.05</v>
      </c>
      <c r="AA94" s="23">
        <v>1.6500000000000001E-2</v>
      </c>
      <c r="AB94" s="23">
        <v>-3.5000000000000001E-3</v>
      </c>
      <c r="AC94" s="23">
        <v>2.5000000000000001E-3</v>
      </c>
      <c r="AD94" s="23">
        <v>-2.2499999999999999E-2</v>
      </c>
      <c r="AE94" s="23">
        <v>-7.2499999999999995E-2</v>
      </c>
      <c r="AF94" s="23">
        <v>-5.8999999999999997E-2</v>
      </c>
      <c r="AG94" s="23">
        <v>-8.1500000000000003E-2</v>
      </c>
      <c r="AH94" s="23">
        <v>-1.6500000000000001E-2</v>
      </c>
      <c r="AI94" s="23">
        <v>-7.1999999999999995E-2</v>
      </c>
      <c r="AJ94" s="23">
        <v>-7.0000000000000007E-2</v>
      </c>
      <c r="AK94" s="23">
        <v>-1.7000000000000001E-2</v>
      </c>
      <c r="AL94" s="23">
        <v>2.3E-2</v>
      </c>
      <c r="AM94" s="23">
        <v>0.33</v>
      </c>
      <c r="AN94" s="23">
        <v>0.02</v>
      </c>
      <c r="AO94" s="23">
        <v>-0.47</v>
      </c>
      <c r="AP94" s="23">
        <v>-7.0000000000000007E-2</v>
      </c>
      <c r="AQ94" s="23">
        <v>-0.19500000000000001</v>
      </c>
      <c r="AR94" s="23">
        <v>-0.25</v>
      </c>
      <c r="AS94" s="23">
        <v>-0.39</v>
      </c>
      <c r="AT94" s="23">
        <v>0</v>
      </c>
      <c r="AU94" s="23">
        <v>0.26</v>
      </c>
      <c r="AV94" s="23">
        <v>-0.47</v>
      </c>
      <c r="AW94" s="23">
        <v>-0.1875</v>
      </c>
      <c r="AX94" s="23">
        <v>-0.06</v>
      </c>
      <c r="AY94" s="23">
        <v>-0.1275</v>
      </c>
      <c r="AZ94" s="23">
        <v>-0.05</v>
      </c>
      <c r="BA94" s="23">
        <v>-0.12</v>
      </c>
      <c r="BB94" s="23">
        <v>-1.6500000000000001E-2</v>
      </c>
      <c r="BC94" s="23">
        <v>-5.5E-2</v>
      </c>
      <c r="BD94" s="23">
        <v>-0.01</v>
      </c>
      <c r="BE94" s="23">
        <v>-7.2499999999999995E-2</v>
      </c>
      <c r="BF94" s="23">
        <v>0</v>
      </c>
      <c r="BG94" s="23">
        <v>0.14000000000000001</v>
      </c>
      <c r="BH94" s="23">
        <v>0.14499999999999999</v>
      </c>
      <c r="BI94" s="23">
        <v>0.125</v>
      </c>
      <c r="BJ94" s="23">
        <v>0.32500000000000001</v>
      </c>
      <c r="BK94" s="23">
        <v>2.5000000000000001E-3</v>
      </c>
      <c r="BL94" s="23">
        <v>-1.4999999999999999E-2</v>
      </c>
      <c r="BM94" s="23">
        <v>5.0000000000000001E-3</v>
      </c>
      <c r="BN94" s="23">
        <v>-0.01</v>
      </c>
      <c r="BO94" s="23">
        <v>0</v>
      </c>
      <c r="BP94" s="23">
        <v>5.0000000000000001E-3</v>
      </c>
      <c r="BQ94" s="23">
        <v>2.5000000000000001E-3</v>
      </c>
      <c r="BR94" s="23">
        <v>0.02</v>
      </c>
      <c r="BS94">
        <v>5.0000000000000001E-3</v>
      </c>
      <c r="BT94">
        <v>3.7999999999999999E-2</v>
      </c>
      <c r="BU94">
        <v>3.7999999999999999E-2</v>
      </c>
      <c r="BV94">
        <v>0.03</v>
      </c>
    </row>
    <row r="95" spans="1:74" x14ac:dyDescent="0.25">
      <c r="A95" s="24" t="e">
        <f>#REF!-B95</f>
        <v>#REF!</v>
      </c>
      <c r="B95" s="24">
        <v>3.375</v>
      </c>
      <c r="C95" s="138">
        <f t="shared" si="4"/>
        <v>39965</v>
      </c>
      <c r="D95">
        <v>3.5950000000000002</v>
      </c>
      <c r="E95" s="24">
        <v>0.20250000000000001</v>
      </c>
      <c r="F95" s="23">
        <v>5.6133423130551502E-2</v>
      </c>
      <c r="G95" s="23">
        <v>-0.13</v>
      </c>
      <c r="H95" s="23">
        <v>-0.15</v>
      </c>
      <c r="I95" s="27">
        <v>-0.09</v>
      </c>
      <c r="J95" s="27">
        <v>-0.13</v>
      </c>
      <c r="K95" s="23">
        <v>-0.09</v>
      </c>
      <c r="L95" s="23">
        <v>-0.05</v>
      </c>
      <c r="M95" s="23">
        <v>-7.0000000000000007E-2</v>
      </c>
      <c r="N95" s="23">
        <v>-0.12</v>
      </c>
      <c r="O95" s="23">
        <v>-0.12</v>
      </c>
      <c r="P95" s="23">
        <v>-0.13</v>
      </c>
      <c r="Q95" s="23">
        <v>-5.7500000000000002E-2</v>
      </c>
      <c r="R95" s="23">
        <v>-0.05</v>
      </c>
      <c r="S95" s="23">
        <v>0.125</v>
      </c>
      <c r="T95" s="23">
        <v>0.14499999999999999</v>
      </c>
      <c r="U95" s="23">
        <v>0.04</v>
      </c>
      <c r="V95" s="23">
        <v>0.5</v>
      </c>
      <c r="W95" s="23">
        <v>0.14499999999999999</v>
      </c>
      <c r="X95" s="23">
        <v>0.16500000000000001</v>
      </c>
      <c r="Y95" s="23">
        <v>-1.95E-2</v>
      </c>
      <c r="Z95" s="23">
        <v>-4.7500000000000001E-2</v>
      </c>
      <c r="AA95" s="23">
        <v>1.6500000000000001E-2</v>
      </c>
      <c r="AB95" s="23">
        <v>-3.5000000000000001E-3</v>
      </c>
      <c r="AC95" s="23">
        <v>2.5000000000000001E-3</v>
      </c>
      <c r="AD95" s="23">
        <v>-2.2499999999999999E-2</v>
      </c>
      <c r="AE95" s="23">
        <v>-7.2499999999999995E-2</v>
      </c>
      <c r="AF95" s="23">
        <v>-5.8999999999999997E-2</v>
      </c>
      <c r="AG95" s="23">
        <v>-8.1500000000000003E-2</v>
      </c>
      <c r="AH95" s="23">
        <v>-1.6500000000000001E-2</v>
      </c>
      <c r="AI95" s="23">
        <v>-7.1999999999999995E-2</v>
      </c>
      <c r="AJ95" s="23">
        <v>-6.5000000000000002E-2</v>
      </c>
      <c r="AK95" s="23">
        <v>-1.7000000000000001E-2</v>
      </c>
      <c r="AL95" s="23">
        <v>2.3E-2</v>
      </c>
      <c r="AM95" s="23">
        <v>0.37</v>
      </c>
      <c r="AN95" s="23">
        <v>2.5000000000000001E-2</v>
      </c>
      <c r="AO95" s="23">
        <v>-0.47</v>
      </c>
      <c r="AP95" s="23">
        <v>-7.0000000000000007E-2</v>
      </c>
      <c r="AQ95" s="23">
        <v>-0.19500000000000001</v>
      </c>
      <c r="AR95" s="23">
        <v>-0.25</v>
      </c>
      <c r="AS95" s="23">
        <v>-0.39</v>
      </c>
      <c r="AT95" s="23">
        <v>0</v>
      </c>
      <c r="AU95" s="23">
        <v>0.26</v>
      </c>
      <c r="AV95" s="23">
        <v>-0.47</v>
      </c>
      <c r="AW95" s="23">
        <v>-0.13500000000000001</v>
      </c>
      <c r="AX95" s="23">
        <v>-0.06</v>
      </c>
      <c r="AY95" s="23">
        <v>-7.4999999999999997E-2</v>
      </c>
      <c r="AZ95" s="23">
        <v>-0.05</v>
      </c>
      <c r="BA95" s="23">
        <v>-7.7499999999999999E-2</v>
      </c>
      <c r="BB95" s="23">
        <v>-1.6500000000000001E-2</v>
      </c>
      <c r="BC95" s="23">
        <v>-5.5E-2</v>
      </c>
      <c r="BD95" s="23">
        <v>-5.0000000000000001E-3</v>
      </c>
      <c r="BE95" s="23">
        <v>-7.2499999999999995E-2</v>
      </c>
      <c r="BF95" s="23">
        <v>0</v>
      </c>
      <c r="BG95" s="23">
        <v>0.14000000000000001</v>
      </c>
      <c r="BH95" s="23">
        <v>0.14499999999999999</v>
      </c>
      <c r="BI95" s="23">
        <v>0.125</v>
      </c>
      <c r="BJ95" s="23">
        <v>0.33500000000000002</v>
      </c>
      <c r="BK95" s="23">
        <v>2.5000000000000001E-3</v>
      </c>
      <c r="BL95" s="23">
        <v>-1.4999999999999999E-2</v>
      </c>
      <c r="BM95" s="23">
        <v>5.0000000000000001E-3</v>
      </c>
      <c r="BN95" s="23">
        <v>-0.01</v>
      </c>
      <c r="BO95" s="23">
        <v>0</v>
      </c>
      <c r="BP95" s="23">
        <v>5.0000000000000001E-3</v>
      </c>
      <c r="BQ95" s="23">
        <v>2.5000000000000001E-3</v>
      </c>
      <c r="BR95" s="23">
        <v>3.5000000000000003E-2</v>
      </c>
      <c r="BS95">
        <v>5.0000000000000001E-3</v>
      </c>
      <c r="BT95">
        <v>3.7999999999999999E-2</v>
      </c>
      <c r="BU95">
        <v>3.7999999999999999E-2</v>
      </c>
      <c r="BV95">
        <v>0.03</v>
      </c>
    </row>
    <row r="96" spans="1:74" x14ac:dyDescent="0.25">
      <c r="A96" s="24" t="e">
        <f>#REF!-B96</f>
        <v>#REF!</v>
      </c>
      <c r="B96" s="24">
        <v>3.6030000000000002</v>
      </c>
      <c r="C96" s="138">
        <f t="shared" si="4"/>
        <v>39995</v>
      </c>
      <c r="D96">
        <v>3.6349999999999998</v>
      </c>
      <c r="E96" s="24">
        <v>0.20250000000000001</v>
      </c>
      <c r="F96" s="23">
        <v>5.6233582873363101E-2</v>
      </c>
      <c r="G96" s="23">
        <v>-0.13</v>
      </c>
      <c r="H96" s="23">
        <v>-0.15</v>
      </c>
      <c r="I96" s="27">
        <v>-0.09</v>
      </c>
      <c r="J96" s="27">
        <v>-0.13</v>
      </c>
      <c r="K96" s="23">
        <v>-0.09</v>
      </c>
      <c r="L96" s="23">
        <v>-0.05</v>
      </c>
      <c r="M96" s="23">
        <v>-7.0000000000000007E-2</v>
      </c>
      <c r="N96" s="23">
        <v>-0.12</v>
      </c>
      <c r="O96" s="23">
        <v>-0.12</v>
      </c>
      <c r="P96" s="23">
        <v>-0.13</v>
      </c>
      <c r="Q96" s="23">
        <v>-5.6250000000000001E-2</v>
      </c>
      <c r="R96" s="23">
        <v>-0.05</v>
      </c>
      <c r="S96" s="23">
        <v>0.125</v>
      </c>
      <c r="T96" s="23">
        <v>0.14499999999999999</v>
      </c>
      <c r="U96" s="23">
        <v>0.04</v>
      </c>
      <c r="V96" s="23">
        <v>0.5</v>
      </c>
      <c r="W96" s="23">
        <v>0.15</v>
      </c>
      <c r="X96" s="23">
        <v>0.20499999999999999</v>
      </c>
      <c r="Y96" s="23">
        <v>-1.95E-2</v>
      </c>
      <c r="Z96" s="23">
        <v>-4.7500000000000001E-2</v>
      </c>
      <c r="AA96" s="23">
        <v>1.6500000000000001E-2</v>
      </c>
      <c r="AB96" s="23">
        <v>-3.5000000000000001E-3</v>
      </c>
      <c r="AC96" s="23">
        <v>2.5000000000000001E-3</v>
      </c>
      <c r="AD96" s="23">
        <v>-2.2499999999999999E-2</v>
      </c>
      <c r="AE96" s="23">
        <v>-7.2499999999999995E-2</v>
      </c>
      <c r="AF96" s="23">
        <v>-5.8999999999999997E-2</v>
      </c>
      <c r="AG96" s="23">
        <v>-8.1500000000000003E-2</v>
      </c>
      <c r="AH96" s="23">
        <v>-1.6500000000000001E-2</v>
      </c>
      <c r="AI96" s="23">
        <v>-7.1999999999999995E-2</v>
      </c>
      <c r="AJ96" s="23">
        <v>-6.25E-2</v>
      </c>
      <c r="AK96" s="23">
        <v>-1.7000000000000001E-2</v>
      </c>
      <c r="AL96" s="23">
        <v>2.3E-2</v>
      </c>
      <c r="AM96" s="23">
        <v>0.41</v>
      </c>
      <c r="AN96" s="23">
        <v>2.75E-2</v>
      </c>
      <c r="AO96" s="23">
        <v>-0.47</v>
      </c>
      <c r="AP96" s="23">
        <v>-7.0000000000000007E-2</v>
      </c>
      <c r="AQ96" s="23">
        <v>-0.19500000000000001</v>
      </c>
      <c r="AR96" s="23">
        <v>-0.25</v>
      </c>
      <c r="AS96" s="23">
        <v>-0.39</v>
      </c>
      <c r="AT96" s="23">
        <v>0</v>
      </c>
      <c r="AU96" s="23">
        <v>0.26</v>
      </c>
      <c r="AV96" s="23">
        <v>-0.47</v>
      </c>
      <c r="AW96" s="23">
        <v>-0.14499999999999999</v>
      </c>
      <c r="AX96" s="23">
        <v>-0.06</v>
      </c>
      <c r="AY96" s="23">
        <v>-8.5000000000000006E-2</v>
      </c>
      <c r="AZ96" s="23">
        <v>-0.05</v>
      </c>
      <c r="BA96" s="23">
        <v>-7.4999999999999997E-2</v>
      </c>
      <c r="BB96" s="23">
        <v>-1.6500000000000001E-2</v>
      </c>
      <c r="BC96" s="23">
        <v>-5.5E-2</v>
      </c>
      <c r="BD96" s="23">
        <v>-2.5000000000000001E-3</v>
      </c>
      <c r="BE96" s="23">
        <v>-7.2499999999999995E-2</v>
      </c>
      <c r="BF96" s="23">
        <v>0</v>
      </c>
      <c r="BG96" s="23">
        <v>0.14000000000000001</v>
      </c>
      <c r="BH96" s="23">
        <v>0.14499999999999999</v>
      </c>
      <c r="BI96" s="23">
        <v>0.125</v>
      </c>
      <c r="BJ96" s="23">
        <v>0.35</v>
      </c>
      <c r="BK96" s="23">
        <v>2.5000000000000001E-3</v>
      </c>
      <c r="BL96" s="23">
        <v>-0.01</v>
      </c>
      <c r="BM96" s="23">
        <v>5.0000000000000001E-3</v>
      </c>
      <c r="BN96" s="23">
        <v>-0.01</v>
      </c>
      <c r="BO96" s="23">
        <v>0</v>
      </c>
      <c r="BP96" s="23">
        <v>5.0000000000000001E-3</v>
      </c>
      <c r="BQ96" s="23">
        <v>2.5000000000000001E-3</v>
      </c>
      <c r="BR96" s="23">
        <v>3.5000000000000003E-2</v>
      </c>
      <c r="BS96">
        <v>5.0000000000000001E-3</v>
      </c>
      <c r="BT96">
        <v>3.7999999999999999E-2</v>
      </c>
      <c r="BU96">
        <v>3.7999999999999999E-2</v>
      </c>
      <c r="BV96">
        <v>0.03</v>
      </c>
    </row>
    <row r="97" spans="1:74" x14ac:dyDescent="0.25">
      <c r="A97" s="24" t="e">
        <f>#REF!-B97</f>
        <v>#REF!</v>
      </c>
      <c r="B97" s="24">
        <v>3.4960000000000004</v>
      </c>
      <c r="C97" s="138">
        <f t="shared" si="4"/>
        <v>40026</v>
      </c>
      <c r="D97">
        <v>3.6749999999999998</v>
      </c>
      <c r="E97" s="24">
        <v>0.20250000000000001</v>
      </c>
      <c r="F97" s="23">
        <v>5.6337081277775702E-2</v>
      </c>
      <c r="G97" s="23">
        <v>-0.13</v>
      </c>
      <c r="H97" s="23">
        <v>-0.15</v>
      </c>
      <c r="I97" s="27">
        <v>-0.09</v>
      </c>
      <c r="J97" s="27">
        <v>-0.13</v>
      </c>
      <c r="K97" s="23">
        <v>-0.09</v>
      </c>
      <c r="L97" s="23">
        <v>-0.05</v>
      </c>
      <c r="M97" s="23">
        <v>-7.0000000000000007E-2</v>
      </c>
      <c r="N97" s="23">
        <v>-0.12</v>
      </c>
      <c r="O97" s="23">
        <v>-0.12</v>
      </c>
      <c r="P97" s="23">
        <v>-0.13</v>
      </c>
      <c r="Q97" s="23">
        <v>-5.5E-2</v>
      </c>
      <c r="R97" s="23">
        <v>-0.05</v>
      </c>
      <c r="S97" s="23">
        <v>0.125</v>
      </c>
      <c r="T97" s="23">
        <v>0.14499999999999999</v>
      </c>
      <c r="U97" s="23">
        <v>0.04</v>
      </c>
      <c r="V97" s="23">
        <v>0.5</v>
      </c>
      <c r="W97" s="23">
        <v>0.15</v>
      </c>
      <c r="X97" s="23">
        <v>0.20499999999999999</v>
      </c>
      <c r="Y97" s="23">
        <v>-1.95E-2</v>
      </c>
      <c r="Z97" s="23">
        <v>-4.7500000000000001E-2</v>
      </c>
      <c r="AA97" s="23">
        <v>1.15E-2</v>
      </c>
      <c r="AB97" s="23">
        <v>-8.5000000000000006E-3</v>
      </c>
      <c r="AC97" s="23">
        <v>2.5000000000000001E-3</v>
      </c>
      <c r="AD97" s="23">
        <v>-2.2499999999999999E-2</v>
      </c>
      <c r="AE97" s="23">
        <v>-7.2499999999999995E-2</v>
      </c>
      <c r="AF97" s="23">
        <v>-5.8999999999999997E-2</v>
      </c>
      <c r="AG97" s="23">
        <v>-8.1500000000000003E-2</v>
      </c>
      <c r="AH97" s="23">
        <v>-1.6500000000000001E-2</v>
      </c>
      <c r="AI97" s="23">
        <v>-7.1999999999999995E-2</v>
      </c>
      <c r="AJ97" s="23">
        <v>-0.06</v>
      </c>
      <c r="AK97" s="23">
        <v>-1.7000000000000001E-2</v>
      </c>
      <c r="AL97" s="23">
        <v>2.3E-2</v>
      </c>
      <c r="AM97" s="23">
        <v>0.41</v>
      </c>
      <c r="AN97" s="23">
        <v>0.03</v>
      </c>
      <c r="AO97" s="23">
        <v>-0.47</v>
      </c>
      <c r="AP97" s="23">
        <v>-7.0000000000000007E-2</v>
      </c>
      <c r="AQ97" s="23">
        <v>-0.19500000000000001</v>
      </c>
      <c r="AR97" s="23">
        <v>-0.25</v>
      </c>
      <c r="AS97" s="23">
        <v>-0.39</v>
      </c>
      <c r="AT97" s="23">
        <v>0</v>
      </c>
      <c r="AU97" s="23">
        <v>0.26</v>
      </c>
      <c r="AV97" s="23">
        <v>-0.47</v>
      </c>
      <c r="AW97" s="23">
        <v>-0.14000000000000001</v>
      </c>
      <c r="AX97" s="23">
        <v>-0.06</v>
      </c>
      <c r="AY97" s="23">
        <v>-0.08</v>
      </c>
      <c r="AZ97" s="23">
        <v>-0.05</v>
      </c>
      <c r="BA97" s="23">
        <v>-7.2499999999999995E-2</v>
      </c>
      <c r="BB97" s="23">
        <v>-1.6500000000000001E-2</v>
      </c>
      <c r="BC97" s="23">
        <v>-5.5E-2</v>
      </c>
      <c r="BD97" s="23">
        <v>0</v>
      </c>
      <c r="BE97" s="23">
        <v>-7.2499999999999995E-2</v>
      </c>
      <c r="BF97" s="23">
        <v>0</v>
      </c>
      <c r="BG97" s="23">
        <v>0.14000000000000001</v>
      </c>
      <c r="BH97" s="23">
        <v>0.14499999999999999</v>
      </c>
      <c r="BI97" s="23">
        <v>0.125</v>
      </c>
      <c r="BJ97" s="23">
        <v>0.35</v>
      </c>
      <c r="BK97" s="23">
        <v>2.5000000000000001E-3</v>
      </c>
      <c r="BL97" s="23">
        <v>-0.01</v>
      </c>
      <c r="BM97" s="23">
        <v>5.0000000000000001E-3</v>
      </c>
      <c r="BN97" s="23">
        <v>-0.01</v>
      </c>
      <c r="BO97" s="23">
        <v>0</v>
      </c>
      <c r="BP97" s="23">
        <v>5.0000000000000001E-3</v>
      </c>
      <c r="BQ97" s="23">
        <v>2.5000000000000001E-3</v>
      </c>
      <c r="BR97" s="23">
        <v>0.01</v>
      </c>
      <c r="BS97">
        <v>5.0000000000000001E-3</v>
      </c>
      <c r="BT97">
        <v>3.7999999999999999E-2</v>
      </c>
      <c r="BU97">
        <v>3.7999999999999999E-2</v>
      </c>
      <c r="BV97">
        <v>0.03</v>
      </c>
    </row>
    <row r="98" spans="1:74" x14ac:dyDescent="0.25">
      <c r="A98" s="24" t="e">
        <f>#REF!-B98</f>
        <v>#REF!</v>
      </c>
      <c r="B98" s="24">
        <v>3.3530000000000002</v>
      </c>
      <c r="C98" s="138">
        <f t="shared" si="4"/>
        <v>40057</v>
      </c>
      <c r="D98">
        <v>3.67</v>
      </c>
      <c r="E98" s="24">
        <v>0.20250000000000001</v>
      </c>
      <c r="F98" s="23">
        <v>5.6440579685754798E-2</v>
      </c>
      <c r="G98" s="23">
        <v>-0.13</v>
      </c>
      <c r="H98" s="23">
        <v>-0.15</v>
      </c>
      <c r="I98" s="27">
        <v>-0.09</v>
      </c>
      <c r="J98" s="27">
        <v>-0.13</v>
      </c>
      <c r="K98" s="23">
        <v>-0.09</v>
      </c>
      <c r="L98" s="23">
        <v>-0.05</v>
      </c>
      <c r="M98" s="23">
        <v>-7.0000000000000007E-2</v>
      </c>
      <c r="N98" s="23">
        <v>-0.12</v>
      </c>
      <c r="O98" s="23">
        <v>-0.12</v>
      </c>
      <c r="P98" s="23">
        <v>-0.13</v>
      </c>
      <c r="Q98" s="23">
        <v>-5.8749999999999997E-2</v>
      </c>
      <c r="R98" s="23">
        <v>-0.05</v>
      </c>
      <c r="S98" s="23">
        <v>0.125</v>
      </c>
      <c r="T98" s="23">
        <v>0.14499999999999999</v>
      </c>
      <c r="U98" s="23">
        <v>0.04</v>
      </c>
      <c r="V98" s="23">
        <v>0.5</v>
      </c>
      <c r="W98" s="23">
        <v>0.125</v>
      </c>
      <c r="X98" s="23">
        <v>0.14499999999999999</v>
      </c>
      <c r="Y98" s="23">
        <v>-1.95E-2</v>
      </c>
      <c r="Z98" s="23">
        <v>-5.2499999999999998E-2</v>
      </c>
      <c r="AA98" s="23">
        <v>1.15E-2</v>
      </c>
      <c r="AB98" s="23">
        <v>-8.5000000000000006E-3</v>
      </c>
      <c r="AC98" s="23">
        <v>2.5000000000000001E-3</v>
      </c>
      <c r="AD98" s="23">
        <v>-2.2499999999999999E-2</v>
      </c>
      <c r="AE98" s="23">
        <v>-7.2499999999999995E-2</v>
      </c>
      <c r="AF98" s="23">
        <v>-5.8999999999999997E-2</v>
      </c>
      <c r="AG98" s="23">
        <v>-8.1500000000000003E-2</v>
      </c>
      <c r="AH98" s="23">
        <v>-1.6500000000000001E-2</v>
      </c>
      <c r="AI98" s="23">
        <v>-7.1999999999999995E-2</v>
      </c>
      <c r="AJ98" s="23">
        <v>-6.7500000000000004E-2</v>
      </c>
      <c r="AK98" s="23">
        <v>-1.7000000000000001E-2</v>
      </c>
      <c r="AL98" s="23">
        <v>2.3E-2</v>
      </c>
      <c r="AM98" s="23">
        <v>0.36</v>
      </c>
      <c r="AN98" s="23">
        <v>2.2499999999999999E-2</v>
      </c>
      <c r="AO98" s="23">
        <v>-0.47</v>
      </c>
      <c r="AP98" s="23">
        <v>-7.0000000000000007E-2</v>
      </c>
      <c r="AQ98" s="23">
        <v>-0.19500000000000001</v>
      </c>
      <c r="AR98" s="23">
        <v>-0.25</v>
      </c>
      <c r="AS98" s="23">
        <v>-0.39</v>
      </c>
      <c r="AT98" s="23">
        <v>0</v>
      </c>
      <c r="AU98" s="23">
        <v>0.26</v>
      </c>
      <c r="AV98" s="23">
        <v>-0.47</v>
      </c>
      <c r="AW98" s="23">
        <v>-0.15</v>
      </c>
      <c r="AX98" s="23">
        <v>-0.06</v>
      </c>
      <c r="AY98" s="23">
        <v>-0.09</v>
      </c>
      <c r="AZ98" s="23">
        <v>-0.05</v>
      </c>
      <c r="BA98" s="23">
        <v>-7.7499999999999999E-2</v>
      </c>
      <c r="BB98" s="23">
        <v>-1.6500000000000001E-2</v>
      </c>
      <c r="BC98" s="23">
        <v>-5.5E-2</v>
      </c>
      <c r="BD98" s="23">
        <v>-7.4999999999999997E-3</v>
      </c>
      <c r="BE98" s="23">
        <v>-7.2499999999999995E-2</v>
      </c>
      <c r="BF98" s="23">
        <v>0</v>
      </c>
      <c r="BG98" s="23">
        <v>0.14000000000000001</v>
      </c>
      <c r="BH98" s="23">
        <v>0.14499999999999999</v>
      </c>
      <c r="BI98" s="23">
        <v>0.125</v>
      </c>
      <c r="BJ98" s="23">
        <v>0.315</v>
      </c>
      <c r="BK98" s="23">
        <v>2.5000000000000001E-3</v>
      </c>
      <c r="BL98" s="23">
        <v>-0.01</v>
      </c>
      <c r="BM98" s="23">
        <v>5.0000000000000001E-3</v>
      </c>
      <c r="BN98" s="23">
        <v>-0.01</v>
      </c>
      <c r="BO98" s="23">
        <v>0</v>
      </c>
      <c r="BP98" s="23">
        <v>5.0000000000000001E-3</v>
      </c>
      <c r="BQ98" s="23">
        <v>2.5000000000000001E-3</v>
      </c>
      <c r="BR98" s="23">
        <v>0.01</v>
      </c>
      <c r="BS98">
        <v>5.0000000000000001E-3</v>
      </c>
      <c r="BT98">
        <v>3.7999999999999999E-2</v>
      </c>
      <c r="BU98">
        <v>3.7999999999999999E-2</v>
      </c>
      <c r="BV98">
        <v>0.03</v>
      </c>
    </row>
    <row r="99" spans="1:74" x14ac:dyDescent="0.25">
      <c r="A99" s="24" t="e">
        <f>#REF!-B99</f>
        <v>#REF!</v>
      </c>
      <c r="B99" s="24">
        <v>3.2130000000000001</v>
      </c>
      <c r="C99" s="138">
        <f t="shared" si="4"/>
        <v>40087</v>
      </c>
      <c r="D99">
        <v>3.6949999999999998</v>
      </c>
      <c r="E99" s="24">
        <v>0.20250000000000001</v>
      </c>
      <c r="F99" s="23">
        <v>5.6540739438806199E-2</v>
      </c>
      <c r="G99" s="23">
        <v>-0.13</v>
      </c>
      <c r="H99" s="23">
        <v>-0.15</v>
      </c>
      <c r="I99" s="27">
        <v>-0.09</v>
      </c>
      <c r="J99" s="27">
        <v>-0.13</v>
      </c>
      <c r="K99" s="23">
        <v>-0.09</v>
      </c>
      <c r="L99" s="23">
        <v>-0.05</v>
      </c>
      <c r="M99" s="23">
        <v>-7.0000000000000007E-2</v>
      </c>
      <c r="N99" s="23">
        <v>-0.12</v>
      </c>
      <c r="O99" s="23">
        <v>-0.12</v>
      </c>
      <c r="P99" s="23">
        <v>-0.13</v>
      </c>
      <c r="Q99" s="23">
        <v>-6.3750000000000001E-2</v>
      </c>
      <c r="R99" s="23">
        <v>-0.05</v>
      </c>
      <c r="S99" s="23">
        <v>0.125</v>
      </c>
      <c r="T99" s="23">
        <v>0.14499999999999999</v>
      </c>
      <c r="U99" s="23">
        <v>0.04</v>
      </c>
      <c r="V99" s="23">
        <v>0.5</v>
      </c>
      <c r="W99" s="23">
        <v>0.14499999999999999</v>
      </c>
      <c r="X99" s="23">
        <v>0.17499999999999999</v>
      </c>
      <c r="Y99" s="23">
        <v>-1.95E-2</v>
      </c>
      <c r="Z99" s="23">
        <v>-5.2499999999999998E-2</v>
      </c>
      <c r="AA99" s="23">
        <v>6.4999999999999997E-3</v>
      </c>
      <c r="AB99" s="23">
        <v>-1.35E-2</v>
      </c>
      <c r="AC99" s="23">
        <v>2.5000000000000001E-3</v>
      </c>
      <c r="AD99" s="23">
        <v>-2.2499999999999999E-2</v>
      </c>
      <c r="AE99" s="23">
        <v>-7.2499999999999995E-2</v>
      </c>
      <c r="AF99" s="23">
        <v>-5.8999999999999997E-2</v>
      </c>
      <c r="AG99" s="23">
        <v>-8.1500000000000003E-2</v>
      </c>
      <c r="AH99" s="23">
        <v>-1.6500000000000001E-2</v>
      </c>
      <c r="AI99" s="23">
        <v>-7.1999999999999995E-2</v>
      </c>
      <c r="AJ99" s="23">
        <v>-7.7499999999999999E-2</v>
      </c>
      <c r="AK99" s="23">
        <v>-1.7000000000000001E-2</v>
      </c>
      <c r="AL99" s="23">
        <v>2.3E-2</v>
      </c>
      <c r="AM99" s="23">
        <v>0.4</v>
      </c>
      <c r="AN99" s="23">
        <v>1.2500000000000001E-2</v>
      </c>
      <c r="AO99" s="23">
        <v>-0.47</v>
      </c>
      <c r="AP99" s="23">
        <v>-7.0000000000000007E-2</v>
      </c>
      <c r="AQ99" s="23">
        <v>-0.19500000000000001</v>
      </c>
      <c r="AR99" s="23">
        <v>-0.25</v>
      </c>
      <c r="AS99" s="23">
        <v>-0.39</v>
      </c>
      <c r="AT99" s="23">
        <v>0</v>
      </c>
      <c r="AU99" s="23">
        <v>0.26</v>
      </c>
      <c r="AV99" s="23">
        <v>-0.47</v>
      </c>
      <c r="AW99" s="23">
        <v>-0.13750000000000001</v>
      </c>
      <c r="AX99" s="23">
        <v>-0.06</v>
      </c>
      <c r="AY99" s="23">
        <v>-7.7499999999999999E-2</v>
      </c>
      <c r="AZ99" s="23">
        <v>-0.05</v>
      </c>
      <c r="BA99" s="23">
        <v>-0.08</v>
      </c>
      <c r="BB99" s="23">
        <v>-1.6500000000000001E-2</v>
      </c>
      <c r="BC99" s="23">
        <v>-5.5E-2</v>
      </c>
      <c r="BD99" s="23">
        <v>-1.7500000000000002E-2</v>
      </c>
      <c r="BE99" s="23">
        <v>-7.2499999999999995E-2</v>
      </c>
      <c r="BF99" s="23">
        <v>0</v>
      </c>
      <c r="BG99" s="23">
        <v>0.14000000000000001</v>
      </c>
      <c r="BH99" s="23">
        <v>0.14499999999999999</v>
      </c>
      <c r="BI99" s="23">
        <v>0.125</v>
      </c>
      <c r="BJ99" s="23">
        <v>0.36</v>
      </c>
      <c r="BK99" s="23">
        <v>2.5000000000000001E-3</v>
      </c>
      <c r="BL99" s="23">
        <v>-1.4999999999999999E-2</v>
      </c>
      <c r="BM99" s="23">
        <v>5.0000000000000001E-3</v>
      </c>
      <c r="BN99" s="23">
        <v>-0.01</v>
      </c>
      <c r="BO99" s="23">
        <v>0</v>
      </c>
      <c r="BP99" s="23">
        <v>5.0000000000000001E-3</v>
      </c>
      <c r="BQ99" s="23">
        <v>2.5000000000000001E-3</v>
      </c>
      <c r="BR99" s="23">
        <v>0.01</v>
      </c>
      <c r="BS99">
        <v>5.0000000000000001E-3</v>
      </c>
      <c r="BT99">
        <v>3.7999999999999999E-2</v>
      </c>
      <c r="BU99">
        <v>3.7999999999999999E-2</v>
      </c>
      <c r="BV99">
        <v>0.03</v>
      </c>
    </row>
    <row r="100" spans="1:74" x14ac:dyDescent="0.25">
      <c r="A100" s="24" t="e">
        <f>#REF!-B100</f>
        <v>#REF!</v>
      </c>
      <c r="B100" s="24">
        <v>3.19</v>
      </c>
      <c r="C100" s="138">
        <f t="shared" si="4"/>
        <v>40118</v>
      </c>
      <c r="D100">
        <v>3.847</v>
      </c>
      <c r="E100" s="24">
        <v>0.20250000000000001</v>
      </c>
      <c r="F100" s="23">
        <v>5.66442378538001E-2</v>
      </c>
      <c r="G100" s="23">
        <v>-0.13</v>
      </c>
      <c r="H100" s="23">
        <v>-0.15</v>
      </c>
      <c r="I100" s="27">
        <v>-0.01</v>
      </c>
      <c r="J100" s="27">
        <v>-0.13</v>
      </c>
      <c r="K100" s="23">
        <v>0</v>
      </c>
      <c r="L100" s="23">
        <v>-4.9500000000000002E-2</v>
      </c>
      <c r="M100" s="23">
        <v>-8.4500000000000006E-2</v>
      </c>
      <c r="N100" s="23">
        <v>-0.12</v>
      </c>
      <c r="O100" s="23">
        <v>-0.12</v>
      </c>
      <c r="P100" s="23">
        <v>-0.13</v>
      </c>
      <c r="Q100" s="23">
        <v>-8.1000000000000003E-2</v>
      </c>
      <c r="R100" s="23">
        <v>-4.9500000000000002E-2</v>
      </c>
      <c r="S100" s="23">
        <v>0.155</v>
      </c>
      <c r="T100" s="23">
        <v>0.17499999999999999</v>
      </c>
      <c r="U100" s="23">
        <v>0.13</v>
      </c>
      <c r="V100" s="23">
        <v>0.5</v>
      </c>
      <c r="W100" s="23">
        <v>0.19500000000000001</v>
      </c>
      <c r="X100" s="23">
        <v>0.21</v>
      </c>
      <c r="Y100" s="23">
        <v>-1.7000000000000001E-2</v>
      </c>
      <c r="Z100" s="23">
        <v>-3.3500000000000002E-2</v>
      </c>
      <c r="AA100" s="23">
        <v>7.4999999999999997E-3</v>
      </c>
      <c r="AB100" s="23">
        <v>-0.01</v>
      </c>
      <c r="AC100" s="23">
        <v>2.5000000000000001E-3</v>
      </c>
      <c r="AD100" s="23">
        <v>-2.2499999999999999E-2</v>
      </c>
      <c r="AE100" s="23">
        <v>-7.4999999999999997E-2</v>
      </c>
      <c r="AF100" s="23">
        <v>-6.1499999999999999E-2</v>
      </c>
      <c r="AG100" s="23">
        <v>-8.4000000000000005E-2</v>
      </c>
      <c r="AH100" s="23">
        <v>-1.2999999999999999E-2</v>
      </c>
      <c r="AI100" s="23">
        <v>-6.4000000000000001E-2</v>
      </c>
      <c r="AJ100" s="23">
        <v>-0.1125</v>
      </c>
      <c r="AK100" s="23">
        <v>-8.9999989999999998E-3</v>
      </c>
      <c r="AL100" s="23">
        <v>3.1E-2</v>
      </c>
      <c r="AM100" s="23">
        <v>0.65</v>
      </c>
      <c r="AN100" s="23">
        <v>-2.2499999999999999E-2</v>
      </c>
      <c r="AO100" s="23">
        <v>-0.34</v>
      </c>
      <c r="AP100" s="23">
        <v>-7.0000000000000007E-2</v>
      </c>
      <c r="AQ100" s="23">
        <v>-0.13</v>
      </c>
      <c r="AR100" s="23">
        <v>0.248</v>
      </c>
      <c r="AS100" s="23">
        <v>-0.26</v>
      </c>
      <c r="AT100" s="23">
        <v>0</v>
      </c>
      <c r="AU100" s="23">
        <v>0.24</v>
      </c>
      <c r="AV100" s="23">
        <v>-0.34</v>
      </c>
      <c r="AW100" s="23">
        <v>-0.14499999999999999</v>
      </c>
      <c r="AX100" s="23">
        <v>-0.06</v>
      </c>
      <c r="AY100" s="23">
        <v>-8.5000000000000006E-2</v>
      </c>
      <c r="AZ100" s="23">
        <v>-4.9500000000000002E-2</v>
      </c>
      <c r="BA100" s="23">
        <v>-7.4999999999999997E-2</v>
      </c>
      <c r="BB100" s="23">
        <v>-1.7999999999999999E-2</v>
      </c>
      <c r="BC100" s="23">
        <v>-6.9500000000000006E-2</v>
      </c>
      <c r="BD100" s="23">
        <v>-5.2499999999999998E-2</v>
      </c>
      <c r="BE100" s="23">
        <v>-7.4999999999999997E-2</v>
      </c>
      <c r="BF100" s="23">
        <v>0</v>
      </c>
      <c r="BG100" s="23">
        <v>0.17</v>
      </c>
      <c r="BH100" s="23">
        <v>0.17499999999999999</v>
      </c>
      <c r="BI100" s="23">
        <v>0.155</v>
      </c>
      <c r="BJ100" s="23">
        <v>0.46</v>
      </c>
      <c r="BK100" s="23">
        <v>2.5000000000000001E-3</v>
      </c>
      <c r="BL100" s="23">
        <v>-0.02</v>
      </c>
      <c r="BM100" s="23">
        <v>5.0000000000000001E-3</v>
      </c>
      <c r="BN100" s="23">
        <v>0</v>
      </c>
      <c r="BO100" s="23">
        <v>0</v>
      </c>
      <c r="BP100" s="23">
        <v>5.0000000000000001E-3</v>
      </c>
      <c r="BQ100" s="23">
        <v>5.0000000000000001E-3</v>
      </c>
      <c r="BR100" s="23">
        <v>5.5E-2</v>
      </c>
      <c r="BS100">
        <v>0.02</v>
      </c>
      <c r="BT100">
        <v>0.04</v>
      </c>
      <c r="BU100">
        <v>0.04</v>
      </c>
      <c r="BV100">
        <v>0.03</v>
      </c>
    </row>
    <row r="101" spans="1:74" x14ac:dyDescent="0.25">
      <c r="A101" s="24" t="e">
        <f>#REF!-B101</f>
        <v>#REF!</v>
      </c>
      <c r="B101" s="24">
        <v>3.1749999999999998</v>
      </c>
      <c r="C101" s="138">
        <f t="shared" si="4"/>
        <v>40148</v>
      </c>
      <c r="D101">
        <v>3.99</v>
      </c>
      <c r="E101" s="24">
        <v>0.20250000000000001</v>
      </c>
      <c r="F101" s="23">
        <v>5.67443976136408E-2</v>
      </c>
      <c r="G101" s="23">
        <v>-0.13250000000000001</v>
      </c>
      <c r="H101" s="23">
        <v>-0.1525</v>
      </c>
      <c r="I101" s="27">
        <v>-5.0000000000000001E-3</v>
      </c>
      <c r="J101" s="27">
        <v>-0.13</v>
      </c>
      <c r="K101" s="23">
        <v>5.0000000000000001E-3</v>
      </c>
      <c r="L101" s="23">
        <v>-4.9500000000000002E-2</v>
      </c>
      <c r="M101" s="23">
        <v>-8.4500000000000006E-2</v>
      </c>
      <c r="N101" s="23">
        <v>-0.1225</v>
      </c>
      <c r="O101" s="23">
        <v>-0.1225</v>
      </c>
      <c r="P101" s="23">
        <v>-0.13250000000000001</v>
      </c>
      <c r="Q101" s="23">
        <v>-9.2249999999999999E-2</v>
      </c>
      <c r="R101" s="23">
        <v>-4.9500000000000002E-2</v>
      </c>
      <c r="S101" s="23">
        <v>0.155</v>
      </c>
      <c r="T101" s="23">
        <v>0.17499999999999999</v>
      </c>
      <c r="U101" s="23">
        <v>0.13</v>
      </c>
      <c r="V101" s="23">
        <v>0.5</v>
      </c>
      <c r="W101" s="23">
        <v>0.215</v>
      </c>
      <c r="X101" s="23">
        <v>0.28999999999999998</v>
      </c>
      <c r="Y101" s="23">
        <v>-1.7000000000000001E-2</v>
      </c>
      <c r="Z101" s="23">
        <v>-3.3500000000000002E-2</v>
      </c>
      <c r="AA101" s="23">
        <v>7.4999999999999997E-3</v>
      </c>
      <c r="AB101" s="23">
        <v>-0.01</v>
      </c>
      <c r="AC101" s="23">
        <v>2.5000000000000001E-3</v>
      </c>
      <c r="AD101" s="23">
        <v>-2.2499999999999999E-2</v>
      </c>
      <c r="AE101" s="23">
        <v>-7.4999999999999997E-2</v>
      </c>
      <c r="AF101" s="23">
        <v>-5.9499999999999997E-2</v>
      </c>
      <c r="AG101" s="23">
        <v>-8.2000000000000003E-2</v>
      </c>
      <c r="AH101" s="23">
        <v>-1.0500000000000001E-2</v>
      </c>
      <c r="AI101" s="23">
        <v>-6.4000000000000001E-2</v>
      </c>
      <c r="AJ101" s="23">
        <v>-0.13500000000000001</v>
      </c>
      <c r="AK101" s="23">
        <v>-8.9999989999999998E-3</v>
      </c>
      <c r="AL101" s="23">
        <v>3.1E-2</v>
      </c>
      <c r="AM101" s="23">
        <v>0.98</v>
      </c>
      <c r="AN101" s="23">
        <v>-4.4999999999999998E-2</v>
      </c>
      <c r="AO101" s="23">
        <v>-0.34</v>
      </c>
      <c r="AP101" s="23">
        <v>-7.0000000000000007E-2</v>
      </c>
      <c r="AQ101" s="23">
        <v>-0.13</v>
      </c>
      <c r="AR101" s="23">
        <v>0.308</v>
      </c>
      <c r="AS101" s="23">
        <v>-0.26</v>
      </c>
      <c r="AT101" s="23">
        <v>0</v>
      </c>
      <c r="AU101" s="23">
        <v>0.24</v>
      </c>
      <c r="AV101" s="23">
        <v>-0.34</v>
      </c>
      <c r="AW101" s="23">
        <v>-0.17249999999999999</v>
      </c>
      <c r="AX101" s="23">
        <v>-0.06</v>
      </c>
      <c r="AY101" s="23">
        <v>-0.1125</v>
      </c>
      <c r="AZ101" s="23">
        <v>-4.9500000000000002E-2</v>
      </c>
      <c r="BA101" s="23">
        <v>-0.10249999999999999</v>
      </c>
      <c r="BB101" s="23">
        <v>-1.55E-2</v>
      </c>
      <c r="BC101" s="23">
        <v>-6.9500000000000006E-2</v>
      </c>
      <c r="BD101" s="23">
        <v>-7.4999999999999997E-2</v>
      </c>
      <c r="BE101" s="23">
        <v>-7.4999999999999997E-2</v>
      </c>
      <c r="BF101" s="23">
        <v>0</v>
      </c>
      <c r="BG101" s="23">
        <v>0.17</v>
      </c>
      <c r="BH101" s="23">
        <v>0.17499999999999999</v>
      </c>
      <c r="BI101" s="23">
        <v>0.155</v>
      </c>
      <c r="BJ101" s="23">
        <v>0.77</v>
      </c>
      <c r="BK101" s="23">
        <v>2.5000000000000001E-3</v>
      </c>
      <c r="BL101" s="23">
        <v>-2.5000000000000001E-2</v>
      </c>
      <c r="BM101" s="23">
        <v>5.0000000000000001E-3</v>
      </c>
      <c r="BN101" s="23">
        <v>0</v>
      </c>
      <c r="BO101" s="23">
        <v>0</v>
      </c>
      <c r="BP101" s="23">
        <v>5.0000000000000001E-3</v>
      </c>
      <c r="BQ101" s="23">
        <v>5.0000000000000001E-3</v>
      </c>
      <c r="BR101" s="23">
        <v>0.25</v>
      </c>
      <c r="BS101">
        <v>0.02</v>
      </c>
      <c r="BT101">
        <v>0.04</v>
      </c>
      <c r="BU101">
        <v>0.04</v>
      </c>
      <c r="BV101">
        <v>0.03</v>
      </c>
    </row>
    <row r="102" spans="1:74" x14ac:dyDescent="0.25">
      <c r="A102" s="24" t="e">
        <f>#REF!-B102</f>
        <v>#REF!</v>
      </c>
      <c r="B102" s="24">
        <v>3.24</v>
      </c>
      <c r="C102" s="138">
        <f t="shared" si="4"/>
        <v>40179</v>
      </c>
      <c r="D102">
        <v>4.0449999999999999</v>
      </c>
      <c r="E102" s="24">
        <v>0.20250000000000001</v>
      </c>
      <c r="F102" s="23">
        <v>5.6847896035649603E-2</v>
      </c>
      <c r="G102" s="23">
        <v>-0.13500000000000001</v>
      </c>
      <c r="H102" s="23">
        <v>-0.155</v>
      </c>
      <c r="I102" s="27">
        <v>1.4999999999999999E-2</v>
      </c>
      <c r="J102" s="27">
        <v>-0.13</v>
      </c>
      <c r="K102" s="23">
        <v>2.5000000000000001E-2</v>
      </c>
      <c r="L102" s="23">
        <v>-4.9500000000000002E-2</v>
      </c>
      <c r="M102" s="23">
        <v>-8.4500000000000006E-2</v>
      </c>
      <c r="N102" s="23">
        <v>-0.125</v>
      </c>
      <c r="O102" s="23">
        <v>-0.125</v>
      </c>
      <c r="P102" s="23">
        <v>-0.13500000000000001</v>
      </c>
      <c r="Q102" s="23">
        <v>-9.35E-2</v>
      </c>
      <c r="R102" s="23">
        <v>-4.9500000000000002E-2</v>
      </c>
      <c r="S102" s="23">
        <v>0.155</v>
      </c>
      <c r="T102" s="23">
        <v>0.17499999999999999</v>
      </c>
      <c r="U102" s="23">
        <v>0.13</v>
      </c>
      <c r="V102" s="23">
        <v>0.5</v>
      </c>
      <c r="W102" s="23">
        <v>0.23499999999999999</v>
      </c>
      <c r="X102" s="23">
        <v>0.34</v>
      </c>
      <c r="Y102" s="23">
        <v>-1.4999999999999999E-2</v>
      </c>
      <c r="Z102" s="23">
        <v>-3.3500000000000002E-2</v>
      </c>
      <c r="AA102" s="23">
        <v>7.4999999999999997E-3</v>
      </c>
      <c r="AB102" s="23">
        <v>-0.01</v>
      </c>
      <c r="AC102" s="23">
        <v>2.5000000000000001E-3</v>
      </c>
      <c r="AD102" s="23">
        <v>-2.2499999999999999E-2</v>
      </c>
      <c r="AE102" s="23">
        <v>-7.4999999999999997E-2</v>
      </c>
      <c r="AF102" s="23">
        <v>-5.9499999999999997E-2</v>
      </c>
      <c r="AG102" s="23">
        <v>-8.2000000000000003E-2</v>
      </c>
      <c r="AH102" s="23">
        <v>-1.0500000000000001E-2</v>
      </c>
      <c r="AI102" s="23">
        <v>-6.4000000000000001E-2</v>
      </c>
      <c r="AJ102" s="23">
        <v>-0.13750000000000001</v>
      </c>
      <c r="AK102" s="23">
        <v>-8.9999989999999998E-3</v>
      </c>
      <c r="AL102" s="23">
        <v>3.1E-2</v>
      </c>
      <c r="AM102" s="23">
        <v>1.6</v>
      </c>
      <c r="AN102" s="23">
        <v>-4.7500000000000001E-2</v>
      </c>
      <c r="AO102" s="23">
        <v>-0.34</v>
      </c>
      <c r="AP102" s="23">
        <v>-7.0000000000000007E-2</v>
      </c>
      <c r="AQ102" s="23">
        <v>-0.13</v>
      </c>
      <c r="AR102" s="23">
        <v>0.378</v>
      </c>
      <c r="AS102" s="23">
        <v>-0.26</v>
      </c>
      <c r="AT102" s="23">
        <v>0</v>
      </c>
      <c r="AU102" s="23">
        <v>0.24</v>
      </c>
      <c r="AV102" s="23">
        <v>-0.34</v>
      </c>
      <c r="AW102" s="23">
        <v>-0.1875</v>
      </c>
      <c r="AX102" s="23">
        <v>-0.06</v>
      </c>
      <c r="AY102" s="23">
        <v>-0.1275</v>
      </c>
      <c r="AZ102" s="23">
        <v>-4.9500000000000002E-2</v>
      </c>
      <c r="BA102" s="23">
        <v>-0.10299999999999999</v>
      </c>
      <c r="BB102" s="23">
        <v>-1.55E-2</v>
      </c>
      <c r="BC102" s="23">
        <v>-6.9500000000000006E-2</v>
      </c>
      <c r="BD102" s="23">
        <v>-7.7499999999999999E-2</v>
      </c>
      <c r="BE102" s="23">
        <v>-7.4999999999999997E-2</v>
      </c>
      <c r="BF102" s="23">
        <v>0</v>
      </c>
      <c r="BG102" s="23">
        <v>0.17</v>
      </c>
      <c r="BH102" s="23">
        <v>0.17499999999999999</v>
      </c>
      <c r="BI102" s="23">
        <v>0.155</v>
      </c>
      <c r="BJ102" s="23">
        <v>1.04</v>
      </c>
      <c r="BK102" s="23">
        <v>2.5000000000000001E-3</v>
      </c>
      <c r="BL102" s="23">
        <v>-2.5000000000000001E-2</v>
      </c>
      <c r="BM102" s="23">
        <v>5.0000000000000001E-3</v>
      </c>
      <c r="BN102" s="23">
        <v>0</v>
      </c>
      <c r="BO102" s="23">
        <v>0</v>
      </c>
      <c r="BP102" s="23">
        <v>5.0000000000000001E-3</v>
      </c>
      <c r="BQ102" s="23">
        <v>5.0000000000000001E-3</v>
      </c>
      <c r="BR102" s="23">
        <v>0.45</v>
      </c>
      <c r="BS102">
        <v>0.02</v>
      </c>
      <c r="BT102">
        <v>0.04</v>
      </c>
      <c r="BU102">
        <v>0.04</v>
      </c>
      <c r="BV102">
        <v>0.03</v>
      </c>
    </row>
    <row r="103" spans="1:74" x14ac:dyDescent="0.25">
      <c r="A103" s="24" t="e">
        <f>#REF!-B103</f>
        <v>#REF!</v>
      </c>
      <c r="B103" s="24">
        <v>3.2349999999999999</v>
      </c>
      <c r="C103" s="138">
        <f t="shared" si="4"/>
        <v>40210</v>
      </c>
      <c r="D103">
        <v>3.96</v>
      </c>
      <c r="E103" s="24">
        <v>0.2</v>
      </c>
      <c r="F103" s="23">
        <v>5.6951394461223E-2</v>
      </c>
      <c r="G103" s="23">
        <v>-0.1275</v>
      </c>
      <c r="H103" s="23">
        <v>-0.14749999999999999</v>
      </c>
      <c r="I103" s="27">
        <v>0.01</v>
      </c>
      <c r="J103" s="27">
        <v>-0.13</v>
      </c>
      <c r="K103" s="23">
        <v>0.02</v>
      </c>
      <c r="L103" s="23">
        <v>-4.9500000000000002E-2</v>
      </c>
      <c r="M103" s="23">
        <v>-8.4500000000000006E-2</v>
      </c>
      <c r="N103" s="23">
        <v>-0.11749999999999999</v>
      </c>
      <c r="O103" s="23">
        <v>-0.11749999999999999</v>
      </c>
      <c r="P103" s="23">
        <v>-0.1275</v>
      </c>
      <c r="Q103" s="23">
        <v>-8.4750000000000006E-2</v>
      </c>
      <c r="R103" s="23">
        <v>-4.9500000000000002E-2</v>
      </c>
      <c r="S103" s="23">
        <v>0.155</v>
      </c>
      <c r="T103" s="23">
        <v>0.17499999999999999</v>
      </c>
      <c r="U103" s="23">
        <v>0.13</v>
      </c>
      <c r="V103" s="23">
        <v>0.5</v>
      </c>
      <c r="W103" s="23">
        <v>0.23499999999999999</v>
      </c>
      <c r="X103" s="23">
        <v>0.34</v>
      </c>
      <c r="Y103" s="23">
        <v>-1.4999999999999999E-2</v>
      </c>
      <c r="Z103" s="23">
        <v>-3.3500000000000002E-2</v>
      </c>
      <c r="AA103" s="23">
        <v>7.4999999999999997E-3</v>
      </c>
      <c r="AB103" s="23">
        <v>-0.01</v>
      </c>
      <c r="AC103" s="23">
        <v>2.5000000000000001E-3</v>
      </c>
      <c r="AD103" s="23">
        <v>-2.2499999999999999E-2</v>
      </c>
      <c r="AE103" s="23">
        <v>-7.4999999999999997E-2</v>
      </c>
      <c r="AF103" s="23">
        <v>-5.9499999999999997E-2</v>
      </c>
      <c r="AG103" s="23">
        <v>-8.2000000000000003E-2</v>
      </c>
      <c r="AH103" s="23">
        <v>-1.0500000000000001E-2</v>
      </c>
      <c r="AI103" s="23">
        <v>-6.4000000000000001E-2</v>
      </c>
      <c r="AJ103" s="23">
        <v>-0.12</v>
      </c>
      <c r="AK103" s="23">
        <v>-8.9999989999999998E-3</v>
      </c>
      <c r="AL103" s="23">
        <v>3.1E-2</v>
      </c>
      <c r="AM103" s="23">
        <v>1.6</v>
      </c>
      <c r="AN103" s="23">
        <v>-0.03</v>
      </c>
      <c r="AO103" s="23">
        <v>-0.34</v>
      </c>
      <c r="AP103" s="23">
        <v>-7.0000000000000007E-2</v>
      </c>
      <c r="AQ103" s="23">
        <v>-0.13</v>
      </c>
      <c r="AR103" s="23">
        <v>0.248</v>
      </c>
      <c r="AS103" s="23">
        <v>-0.26</v>
      </c>
      <c r="AT103" s="23">
        <v>0</v>
      </c>
      <c r="AU103" s="23">
        <v>0.24</v>
      </c>
      <c r="AV103" s="23">
        <v>-0.34</v>
      </c>
      <c r="AW103" s="23">
        <v>-0.17749999999999999</v>
      </c>
      <c r="AX103" s="23">
        <v>-0.06</v>
      </c>
      <c r="AY103" s="23">
        <v>-0.11749999999999999</v>
      </c>
      <c r="AZ103" s="23">
        <v>-4.9500000000000002E-2</v>
      </c>
      <c r="BA103" s="23">
        <v>-0.10299999999999999</v>
      </c>
      <c r="BB103" s="23">
        <v>-1.55E-2</v>
      </c>
      <c r="BC103" s="23">
        <v>-6.9500000000000006E-2</v>
      </c>
      <c r="BD103" s="23">
        <v>-0.06</v>
      </c>
      <c r="BE103" s="23">
        <v>-7.4999999999999997E-2</v>
      </c>
      <c r="BF103" s="23">
        <v>0</v>
      </c>
      <c r="BG103" s="23">
        <v>0.17</v>
      </c>
      <c r="BH103" s="23">
        <v>0.17499999999999999</v>
      </c>
      <c r="BI103" s="23">
        <v>0.155</v>
      </c>
      <c r="BJ103" s="23">
        <v>1.04</v>
      </c>
      <c r="BK103" s="23">
        <v>2.5000000000000001E-3</v>
      </c>
      <c r="BL103" s="23">
        <v>-2.5000000000000001E-2</v>
      </c>
      <c r="BM103" s="23">
        <v>5.0000000000000001E-3</v>
      </c>
      <c r="BN103" s="23">
        <v>0</v>
      </c>
      <c r="BO103" s="23">
        <v>0</v>
      </c>
      <c r="BP103" s="23">
        <v>5.0000000000000001E-3</v>
      </c>
      <c r="BQ103" s="23">
        <v>5.0000000000000001E-3</v>
      </c>
      <c r="BR103" s="23">
        <v>0.45</v>
      </c>
      <c r="BS103">
        <v>0.02</v>
      </c>
      <c r="BT103">
        <v>0.04</v>
      </c>
      <c r="BU103">
        <v>0.04</v>
      </c>
      <c r="BV103">
        <v>0.03</v>
      </c>
    </row>
    <row r="104" spans="1:74" x14ac:dyDescent="0.25">
      <c r="A104" s="24" t="e">
        <f>#REF!-B104</f>
        <v>#REF!</v>
      </c>
      <c r="B104" s="24">
        <v>3.22</v>
      </c>
      <c r="C104" s="138">
        <f t="shared" si="4"/>
        <v>40238</v>
      </c>
      <c r="D104">
        <v>3.83</v>
      </c>
      <c r="E104" s="24">
        <v>0.19500000000000001</v>
      </c>
      <c r="F104" s="23">
        <v>5.7044876913192197E-2</v>
      </c>
      <c r="G104" s="23">
        <v>-0.125</v>
      </c>
      <c r="H104" s="23">
        <v>-0.14499999999999999</v>
      </c>
      <c r="I104" s="27">
        <v>-0.01</v>
      </c>
      <c r="J104" s="27">
        <v>-0.13</v>
      </c>
      <c r="K104" s="23">
        <v>0</v>
      </c>
      <c r="L104" s="23">
        <v>-4.9500000000000002E-2</v>
      </c>
      <c r="M104" s="23">
        <v>-8.4500000000000006E-2</v>
      </c>
      <c r="N104" s="23">
        <v>-0.115</v>
      </c>
      <c r="O104" s="23">
        <v>-0.115</v>
      </c>
      <c r="P104" s="23">
        <v>-0.125</v>
      </c>
      <c r="Q104" s="23">
        <v>-7.85E-2</v>
      </c>
      <c r="R104" s="23">
        <v>-4.9500000000000002E-2</v>
      </c>
      <c r="S104" s="23">
        <v>0.155</v>
      </c>
      <c r="T104" s="23">
        <v>0.17499999999999999</v>
      </c>
      <c r="U104" s="23">
        <v>0.13</v>
      </c>
      <c r="V104" s="23">
        <v>0.5</v>
      </c>
      <c r="W104" s="23">
        <v>0.19500000000000001</v>
      </c>
      <c r="X104" s="23">
        <v>0.28999999999999998</v>
      </c>
      <c r="Y104" s="23">
        <v>-1.4999999999999999E-2</v>
      </c>
      <c r="Z104" s="23">
        <v>-3.3500000000000002E-2</v>
      </c>
      <c r="AA104" s="23">
        <v>1.4999999999999999E-2</v>
      </c>
      <c r="AB104" s="23">
        <v>-2.5000000000000001E-3</v>
      </c>
      <c r="AC104" s="23">
        <v>2.5000000000000001E-3</v>
      </c>
      <c r="AD104" s="23">
        <v>-2.2499999999999999E-2</v>
      </c>
      <c r="AE104" s="23">
        <v>-7.4999999999999997E-2</v>
      </c>
      <c r="AF104" s="23">
        <v>-5.9499999999999997E-2</v>
      </c>
      <c r="AG104" s="23">
        <v>-8.2000000000000003E-2</v>
      </c>
      <c r="AH104" s="23">
        <v>-1.0500000000000001E-2</v>
      </c>
      <c r="AI104" s="23">
        <v>-6.4000000000000001E-2</v>
      </c>
      <c r="AJ104" s="23">
        <v>-0.1075</v>
      </c>
      <c r="AK104" s="23">
        <v>-8.9999989999999998E-3</v>
      </c>
      <c r="AL104" s="23">
        <v>3.1E-2</v>
      </c>
      <c r="AM104" s="23">
        <v>0.64</v>
      </c>
      <c r="AN104" s="23">
        <v>-1.7500000000000002E-2</v>
      </c>
      <c r="AO104" s="23">
        <v>-0.34</v>
      </c>
      <c r="AP104" s="23">
        <v>-7.0000000000000007E-2</v>
      </c>
      <c r="AQ104" s="23">
        <v>-0.13</v>
      </c>
      <c r="AR104" s="23">
        <v>6.8000000000000005E-2</v>
      </c>
      <c r="AS104" s="23">
        <v>-0.26</v>
      </c>
      <c r="AT104" s="23">
        <v>0</v>
      </c>
      <c r="AU104" s="23">
        <v>0.24</v>
      </c>
      <c r="AV104" s="23">
        <v>-0.34</v>
      </c>
      <c r="AW104" s="23">
        <v>-0.16750000000000001</v>
      </c>
      <c r="AX104" s="23">
        <v>-0.06</v>
      </c>
      <c r="AY104" s="23">
        <v>-0.1075</v>
      </c>
      <c r="AZ104" s="23">
        <v>-4.9500000000000002E-2</v>
      </c>
      <c r="BA104" s="23">
        <v>-0.10299999999999999</v>
      </c>
      <c r="BB104" s="23">
        <v>-1.55E-2</v>
      </c>
      <c r="BC104" s="23">
        <v>-6.9500000000000006E-2</v>
      </c>
      <c r="BD104" s="23">
        <v>-4.7500000000000001E-2</v>
      </c>
      <c r="BE104" s="23">
        <v>-7.4999999999999997E-2</v>
      </c>
      <c r="BF104" s="23">
        <v>0</v>
      </c>
      <c r="BG104" s="23">
        <v>0.17</v>
      </c>
      <c r="BH104" s="23">
        <v>0.17499999999999999</v>
      </c>
      <c r="BI104" s="23">
        <v>0.155</v>
      </c>
      <c r="BJ104" s="23">
        <v>0.54</v>
      </c>
      <c r="BK104" s="23">
        <v>2.5000000000000001E-3</v>
      </c>
      <c r="BL104" s="23">
        <v>-0.02</v>
      </c>
      <c r="BM104" s="23">
        <v>5.0000000000000001E-3</v>
      </c>
      <c r="BN104" s="23">
        <v>0</v>
      </c>
      <c r="BO104" s="23">
        <v>0</v>
      </c>
      <c r="BP104" s="23">
        <v>5.0000000000000001E-3</v>
      </c>
      <c r="BQ104" s="23">
        <v>5.0000000000000001E-3</v>
      </c>
      <c r="BR104" s="23">
        <v>0.1</v>
      </c>
      <c r="BS104">
        <v>0.02</v>
      </c>
      <c r="BT104">
        <v>0.04</v>
      </c>
      <c r="BU104">
        <v>0.04</v>
      </c>
      <c r="BV104">
        <v>0.03</v>
      </c>
    </row>
    <row r="105" spans="1:74" x14ac:dyDescent="0.25">
      <c r="A105" s="24" t="e">
        <f>#REF!-B105</f>
        <v>#REF!</v>
      </c>
      <c r="B105" s="24">
        <v>3.2330000000000001</v>
      </c>
      <c r="C105" s="138">
        <f t="shared" si="4"/>
        <v>40269</v>
      </c>
      <c r="D105">
        <v>3.645</v>
      </c>
      <c r="E105" s="24">
        <v>0.19</v>
      </c>
      <c r="F105" s="23">
        <v>5.7148375345549098E-2</v>
      </c>
      <c r="G105" s="23">
        <v>-0.13</v>
      </c>
      <c r="H105" s="23">
        <v>-0.15</v>
      </c>
      <c r="I105" s="27">
        <v>-0.09</v>
      </c>
      <c r="J105" s="27">
        <v>-0.13</v>
      </c>
      <c r="K105" s="23">
        <v>-0.09</v>
      </c>
      <c r="L105" s="23">
        <v>-4.7E-2</v>
      </c>
      <c r="M105" s="23">
        <v>-6.7000000000000004E-2</v>
      </c>
      <c r="N105" s="23">
        <v>-0.12</v>
      </c>
      <c r="O105" s="23">
        <v>-0.12</v>
      </c>
      <c r="P105" s="23">
        <v>-0.13</v>
      </c>
      <c r="Q105" s="23">
        <v>-5.8500000000000003E-2</v>
      </c>
      <c r="R105" s="23">
        <v>-4.7E-2</v>
      </c>
      <c r="S105" s="23">
        <v>0.125</v>
      </c>
      <c r="T105" s="23">
        <v>0.14499999999999999</v>
      </c>
      <c r="U105" s="23">
        <v>0.04</v>
      </c>
      <c r="V105" s="23">
        <v>0.5</v>
      </c>
      <c r="W105" s="23">
        <v>0.14499999999999999</v>
      </c>
      <c r="X105" s="23">
        <v>0.19500000000000001</v>
      </c>
      <c r="Y105" s="23">
        <v>-1.7500000000000002E-2</v>
      </c>
      <c r="Z105" s="23">
        <v>-4.8500000000000001E-2</v>
      </c>
      <c r="AA105" s="23">
        <v>1.4999999999999999E-2</v>
      </c>
      <c r="AB105" s="23">
        <v>-2.5000000000000001E-3</v>
      </c>
      <c r="AC105" s="23">
        <v>2.5000000000000001E-3</v>
      </c>
      <c r="AD105" s="23">
        <v>-2.2499999999999999E-2</v>
      </c>
      <c r="AE105" s="23">
        <v>-7.2499999999999995E-2</v>
      </c>
      <c r="AF105" s="23">
        <v>-5.7000000000000002E-2</v>
      </c>
      <c r="AG105" s="23">
        <v>-7.9500000000000001E-2</v>
      </c>
      <c r="AH105" s="23">
        <v>-1.55E-2</v>
      </c>
      <c r="AI105" s="23">
        <v>-7.1999999999999995E-2</v>
      </c>
      <c r="AJ105" s="23">
        <v>-7.0000000000000007E-2</v>
      </c>
      <c r="AK105" s="23">
        <v>-1.7000000000000001E-2</v>
      </c>
      <c r="AL105" s="23">
        <v>2.3E-2</v>
      </c>
      <c r="AM105" s="23">
        <v>0.38</v>
      </c>
      <c r="AN105" s="23">
        <v>0.02</v>
      </c>
      <c r="AO105" s="23">
        <v>-0.45</v>
      </c>
      <c r="AP105" s="23">
        <v>-7.0000000000000007E-2</v>
      </c>
      <c r="AQ105" s="23">
        <v>-0.19500000000000001</v>
      </c>
      <c r="AR105" s="23">
        <v>-0.25</v>
      </c>
      <c r="AS105" s="23">
        <v>-0.37</v>
      </c>
      <c r="AT105" s="23">
        <v>0</v>
      </c>
      <c r="AU105" s="23">
        <v>0.26</v>
      </c>
      <c r="AV105" s="23">
        <v>-0.45</v>
      </c>
      <c r="AW105" s="23">
        <v>-0.20799999999999999</v>
      </c>
      <c r="AX105" s="23">
        <v>-0.06</v>
      </c>
      <c r="AY105" s="23">
        <v>-0.14799999999999999</v>
      </c>
      <c r="AZ105" s="23">
        <v>-4.7E-2</v>
      </c>
      <c r="BA105" s="23">
        <v>-0.1255</v>
      </c>
      <c r="BB105" s="23">
        <v>-1.55E-2</v>
      </c>
      <c r="BC105" s="23">
        <v>-5.1999999999999998E-2</v>
      </c>
      <c r="BD105" s="23">
        <v>-0.01</v>
      </c>
      <c r="BE105" s="23">
        <v>-7.2499999999999995E-2</v>
      </c>
      <c r="BF105" s="23">
        <v>0</v>
      </c>
      <c r="BG105" s="23">
        <v>0.14000000000000001</v>
      </c>
      <c r="BH105" s="23">
        <v>0.14499999999999999</v>
      </c>
      <c r="BI105" s="23">
        <v>0.125</v>
      </c>
      <c r="BJ105" s="23">
        <v>0.36</v>
      </c>
      <c r="BK105" s="23">
        <v>2.5000000000000001E-3</v>
      </c>
      <c r="BL105" s="23">
        <v>-1.4999999999999999E-2</v>
      </c>
      <c r="BM105" s="23">
        <v>5.0000000000000001E-3</v>
      </c>
      <c r="BN105" s="23">
        <v>-0.01</v>
      </c>
      <c r="BO105" s="23">
        <v>0</v>
      </c>
      <c r="BP105" s="23">
        <v>5.0000000000000001E-3</v>
      </c>
      <c r="BQ105" s="23">
        <v>2.5000000000000001E-3</v>
      </c>
      <c r="BR105" s="23">
        <v>0.02</v>
      </c>
      <c r="BS105">
        <v>5.0000000000000001E-3</v>
      </c>
      <c r="BT105">
        <v>0.04</v>
      </c>
      <c r="BU105">
        <v>0.04</v>
      </c>
      <c r="BV105">
        <v>0.03</v>
      </c>
    </row>
    <row r="106" spans="1:74" x14ac:dyDescent="0.25">
      <c r="A106" s="24" t="e">
        <f>#REF!-B106</f>
        <v>#REF!</v>
      </c>
      <c r="B106" s="24">
        <v>3.32</v>
      </c>
      <c r="C106" s="138">
        <f t="shared" si="4"/>
        <v>40299</v>
      </c>
      <c r="D106">
        <v>3.64</v>
      </c>
      <c r="E106" s="24">
        <v>0.185</v>
      </c>
      <c r="F106" s="23">
        <v>5.7248535122191899E-2</v>
      </c>
      <c r="G106" s="23">
        <v>-0.13</v>
      </c>
      <c r="H106" s="23">
        <v>-0.15</v>
      </c>
      <c r="I106" s="27">
        <v>-0.09</v>
      </c>
      <c r="J106" s="27">
        <v>-0.13</v>
      </c>
      <c r="K106" s="23">
        <v>-0.09</v>
      </c>
      <c r="L106" s="23">
        <v>-4.7E-2</v>
      </c>
      <c r="M106" s="23">
        <v>-6.7000000000000004E-2</v>
      </c>
      <c r="N106" s="23">
        <v>-0.12</v>
      </c>
      <c r="O106" s="23">
        <v>-0.12</v>
      </c>
      <c r="P106" s="23">
        <v>-0.13</v>
      </c>
      <c r="Q106" s="23">
        <v>-5.8500000000000003E-2</v>
      </c>
      <c r="R106" s="23">
        <v>-4.7E-2</v>
      </c>
      <c r="S106" s="23">
        <v>0.125</v>
      </c>
      <c r="T106" s="23">
        <v>0.14499999999999999</v>
      </c>
      <c r="U106" s="23">
        <v>0.04</v>
      </c>
      <c r="V106" s="23">
        <v>0.5</v>
      </c>
      <c r="W106" s="23">
        <v>0.125</v>
      </c>
      <c r="X106" s="23">
        <v>0.13500000000000001</v>
      </c>
      <c r="Y106" s="23">
        <v>-1.7500000000000002E-2</v>
      </c>
      <c r="Z106" s="23">
        <v>-4.8500000000000001E-2</v>
      </c>
      <c r="AA106" s="23">
        <v>1.7500000000000002E-2</v>
      </c>
      <c r="AB106" s="23">
        <v>2E-3</v>
      </c>
      <c r="AC106" s="23">
        <v>2.5000000000000001E-3</v>
      </c>
      <c r="AD106" s="23">
        <v>-2.2499999999999999E-2</v>
      </c>
      <c r="AE106" s="23">
        <v>-7.2499999999999995E-2</v>
      </c>
      <c r="AF106" s="23">
        <v>-5.7000000000000002E-2</v>
      </c>
      <c r="AG106" s="23">
        <v>-7.9500000000000001E-2</v>
      </c>
      <c r="AH106" s="23">
        <v>-1.55E-2</v>
      </c>
      <c r="AI106" s="23">
        <v>-7.1999999999999995E-2</v>
      </c>
      <c r="AJ106" s="23">
        <v>-7.0000000000000007E-2</v>
      </c>
      <c r="AK106" s="23">
        <v>-1.7000000000000001E-2</v>
      </c>
      <c r="AL106" s="23">
        <v>2.3E-2</v>
      </c>
      <c r="AM106" s="23">
        <v>0.33</v>
      </c>
      <c r="AN106" s="23">
        <v>0.02</v>
      </c>
      <c r="AO106" s="23">
        <v>-0.45</v>
      </c>
      <c r="AP106" s="23">
        <v>-7.0000000000000007E-2</v>
      </c>
      <c r="AQ106" s="23">
        <v>-0.19500000000000001</v>
      </c>
      <c r="AR106" s="23">
        <v>-0.25</v>
      </c>
      <c r="AS106" s="23">
        <v>-0.37</v>
      </c>
      <c r="AT106" s="23">
        <v>0</v>
      </c>
      <c r="AU106" s="23">
        <v>0.26</v>
      </c>
      <c r="AV106" s="23">
        <v>-0.45</v>
      </c>
      <c r="AW106" s="23">
        <v>-0.1855</v>
      </c>
      <c r="AX106" s="23">
        <v>-0.06</v>
      </c>
      <c r="AY106" s="23">
        <v>-0.1255</v>
      </c>
      <c r="AZ106" s="23">
        <v>-4.7E-2</v>
      </c>
      <c r="BA106" s="23">
        <v>-0.11799999999999999</v>
      </c>
      <c r="BB106" s="23">
        <v>-1.55E-2</v>
      </c>
      <c r="BC106" s="23">
        <v>-5.1999999999999998E-2</v>
      </c>
      <c r="BD106" s="23">
        <v>-0.01</v>
      </c>
      <c r="BE106" s="23">
        <v>-7.2499999999999995E-2</v>
      </c>
      <c r="BF106" s="23">
        <v>0</v>
      </c>
      <c r="BG106" s="23">
        <v>0.14000000000000001</v>
      </c>
      <c r="BH106" s="23">
        <v>0.14499999999999999</v>
      </c>
      <c r="BI106" s="23">
        <v>0.125</v>
      </c>
      <c r="BJ106" s="23">
        <v>0.32500000000000001</v>
      </c>
      <c r="BK106" s="23">
        <v>2.5000000000000001E-3</v>
      </c>
      <c r="BL106" s="23">
        <v>-1.4999999999999999E-2</v>
      </c>
      <c r="BM106" s="23">
        <v>5.0000000000000001E-3</v>
      </c>
      <c r="BN106" s="23">
        <v>-0.01</v>
      </c>
      <c r="BO106" s="23">
        <v>0</v>
      </c>
      <c r="BP106" s="23">
        <v>5.0000000000000001E-3</v>
      </c>
      <c r="BQ106" s="23">
        <v>2.5000000000000001E-3</v>
      </c>
      <c r="BR106" s="23">
        <v>0.02</v>
      </c>
      <c r="BS106">
        <v>5.0000000000000001E-3</v>
      </c>
      <c r="BT106">
        <v>0.04</v>
      </c>
      <c r="BU106">
        <v>0.04</v>
      </c>
      <c r="BV106">
        <v>0.03</v>
      </c>
    </row>
    <row r="107" spans="1:74" x14ac:dyDescent="0.25">
      <c r="A107" s="24" t="e">
        <f>#REF!-B107</f>
        <v>#REF!</v>
      </c>
      <c r="B107" s="24">
        <v>3.4140000000000006</v>
      </c>
      <c r="C107" s="138">
        <f t="shared" si="4"/>
        <v>40330</v>
      </c>
      <c r="D107">
        <v>3.6749999999999998</v>
      </c>
      <c r="E107" s="24">
        <v>0.185</v>
      </c>
      <c r="F107" s="23">
        <v>5.7352033561562703E-2</v>
      </c>
      <c r="G107" s="23">
        <v>-0.13</v>
      </c>
      <c r="H107" s="23">
        <v>-0.15</v>
      </c>
      <c r="I107" s="27">
        <v>-0.09</v>
      </c>
      <c r="J107" s="27">
        <v>-0.13</v>
      </c>
      <c r="K107" s="23">
        <v>-0.09</v>
      </c>
      <c r="L107" s="23">
        <v>-4.7E-2</v>
      </c>
      <c r="M107" s="23">
        <v>-6.7000000000000004E-2</v>
      </c>
      <c r="N107" s="23">
        <v>-0.12</v>
      </c>
      <c r="O107" s="23">
        <v>-0.12</v>
      </c>
      <c r="P107" s="23">
        <v>-0.13</v>
      </c>
      <c r="Q107" s="23">
        <v>-5.6000000000000001E-2</v>
      </c>
      <c r="R107" s="23">
        <v>-4.7E-2</v>
      </c>
      <c r="S107" s="23">
        <v>0.125</v>
      </c>
      <c r="T107" s="23">
        <v>0.14499999999999999</v>
      </c>
      <c r="U107" s="23">
        <v>0.04</v>
      </c>
      <c r="V107" s="23">
        <v>0.5</v>
      </c>
      <c r="W107" s="23">
        <v>0.14499999999999999</v>
      </c>
      <c r="X107" s="23">
        <v>0.16500000000000001</v>
      </c>
      <c r="Y107" s="23">
        <v>-1.7500000000000002E-2</v>
      </c>
      <c r="Z107" s="23">
        <v>-4.5999999999999999E-2</v>
      </c>
      <c r="AA107" s="23">
        <v>1.7500000000000002E-2</v>
      </c>
      <c r="AB107" s="23">
        <v>0</v>
      </c>
      <c r="AC107" s="23">
        <v>2.5000000000000001E-3</v>
      </c>
      <c r="AD107" s="23">
        <v>-2.2499999999999999E-2</v>
      </c>
      <c r="AE107" s="23">
        <v>-7.2499999999999995E-2</v>
      </c>
      <c r="AF107" s="23">
        <v>-5.7000000000000002E-2</v>
      </c>
      <c r="AG107" s="23">
        <v>-7.9500000000000001E-2</v>
      </c>
      <c r="AH107" s="23">
        <v>-1.55E-2</v>
      </c>
      <c r="AI107" s="23">
        <v>-7.1999999999999995E-2</v>
      </c>
      <c r="AJ107" s="23">
        <v>-6.5000000000000002E-2</v>
      </c>
      <c r="AK107" s="23">
        <v>-1.7000000000000001E-2</v>
      </c>
      <c r="AL107" s="23">
        <v>2.3E-2</v>
      </c>
      <c r="AM107" s="23">
        <v>0.37</v>
      </c>
      <c r="AN107" s="23">
        <v>2.5000000000000001E-2</v>
      </c>
      <c r="AO107" s="23">
        <v>-0.45</v>
      </c>
      <c r="AP107" s="23">
        <v>-7.0000000000000007E-2</v>
      </c>
      <c r="AQ107" s="23">
        <v>-0.19500000000000001</v>
      </c>
      <c r="AR107" s="23">
        <v>-0.25</v>
      </c>
      <c r="AS107" s="23">
        <v>-0.37</v>
      </c>
      <c r="AT107" s="23">
        <v>0</v>
      </c>
      <c r="AU107" s="23">
        <v>0.26</v>
      </c>
      <c r="AV107" s="23">
        <v>-0.45</v>
      </c>
      <c r="AW107" s="23">
        <v>-0.13300000000000001</v>
      </c>
      <c r="AX107" s="23">
        <v>-0.06</v>
      </c>
      <c r="AY107" s="23">
        <v>-7.2999999999999995E-2</v>
      </c>
      <c r="AZ107" s="23">
        <v>-4.7E-2</v>
      </c>
      <c r="BA107" s="23">
        <v>-7.5499999999999998E-2</v>
      </c>
      <c r="BB107" s="23">
        <v>-1.55E-2</v>
      </c>
      <c r="BC107" s="23">
        <v>-5.1999999999999998E-2</v>
      </c>
      <c r="BD107" s="23">
        <v>-5.0000000000000001E-3</v>
      </c>
      <c r="BE107" s="23">
        <v>-7.2499999999999995E-2</v>
      </c>
      <c r="BF107" s="23">
        <v>0</v>
      </c>
      <c r="BG107" s="23">
        <v>0.14000000000000001</v>
      </c>
      <c r="BH107" s="23">
        <v>0.14499999999999999</v>
      </c>
      <c r="BI107" s="23">
        <v>0.125</v>
      </c>
      <c r="BJ107" s="23">
        <v>0.33500000000000002</v>
      </c>
      <c r="BK107" s="23">
        <v>2.5000000000000001E-3</v>
      </c>
      <c r="BL107" s="23">
        <v>-1.4999999999999999E-2</v>
      </c>
      <c r="BM107" s="23">
        <v>5.0000000000000001E-3</v>
      </c>
      <c r="BN107" s="23">
        <v>-0.01</v>
      </c>
      <c r="BO107" s="23">
        <v>0</v>
      </c>
      <c r="BP107" s="23">
        <v>5.0000000000000001E-3</v>
      </c>
      <c r="BQ107" s="23">
        <v>2.5000000000000001E-3</v>
      </c>
      <c r="BR107" s="23">
        <v>3.5000000000000003E-2</v>
      </c>
      <c r="BS107">
        <v>5.0000000000000001E-3</v>
      </c>
      <c r="BT107">
        <v>0.04</v>
      </c>
      <c r="BU107">
        <v>0.04</v>
      </c>
      <c r="BV107">
        <v>0.03</v>
      </c>
    </row>
    <row r="108" spans="1:74" x14ac:dyDescent="0.25">
      <c r="A108" s="24" t="e">
        <f>#REF!-B108</f>
        <v>#REF!</v>
      </c>
      <c r="B108" s="24">
        <v>3.6549999999999998</v>
      </c>
      <c r="C108" s="138">
        <f t="shared" si="4"/>
        <v>40360</v>
      </c>
      <c r="D108">
        <v>3.7149999999999999</v>
      </c>
      <c r="E108" s="24">
        <v>0.185</v>
      </c>
      <c r="F108" s="23">
        <v>5.7452193344991603E-2</v>
      </c>
      <c r="G108" s="23">
        <v>-0.13</v>
      </c>
      <c r="H108" s="23">
        <v>-0.15</v>
      </c>
      <c r="I108" s="27">
        <v>-0.09</v>
      </c>
      <c r="J108" s="27">
        <v>-0.13</v>
      </c>
      <c r="K108" s="23">
        <v>-0.09</v>
      </c>
      <c r="L108" s="23">
        <v>-4.7E-2</v>
      </c>
      <c r="M108" s="23">
        <v>-6.7000000000000004E-2</v>
      </c>
      <c r="N108" s="23">
        <v>-0.12</v>
      </c>
      <c r="O108" s="23">
        <v>-0.12</v>
      </c>
      <c r="P108" s="23">
        <v>-0.13</v>
      </c>
      <c r="Q108" s="23">
        <v>-5.475E-2</v>
      </c>
      <c r="R108" s="23">
        <v>-4.7E-2</v>
      </c>
      <c r="S108" s="23">
        <v>0.125</v>
      </c>
      <c r="T108" s="23">
        <v>0.14499999999999999</v>
      </c>
      <c r="U108" s="23">
        <v>0.04</v>
      </c>
      <c r="V108" s="23">
        <v>0.5</v>
      </c>
      <c r="W108" s="23">
        <v>0.15</v>
      </c>
      <c r="X108" s="23">
        <v>0.20499999999999999</v>
      </c>
      <c r="Y108" s="23">
        <v>-1.7500000000000002E-2</v>
      </c>
      <c r="Z108" s="23">
        <v>-4.5999999999999999E-2</v>
      </c>
      <c r="AA108" s="23">
        <v>1.7500000000000002E-2</v>
      </c>
      <c r="AB108" s="23">
        <v>0</v>
      </c>
      <c r="AC108" s="23">
        <v>2.5000000000000001E-3</v>
      </c>
      <c r="AD108" s="23">
        <v>-2.2499999999999999E-2</v>
      </c>
      <c r="AE108" s="23">
        <v>-7.2499999999999995E-2</v>
      </c>
      <c r="AF108" s="23">
        <v>-5.7000000000000002E-2</v>
      </c>
      <c r="AG108" s="23">
        <v>-7.9500000000000001E-2</v>
      </c>
      <c r="AH108" s="23">
        <v>-1.55E-2</v>
      </c>
      <c r="AI108" s="23">
        <v>-7.1999999999999995E-2</v>
      </c>
      <c r="AJ108" s="23">
        <v>-6.25E-2</v>
      </c>
      <c r="AK108" s="23">
        <v>-1.7000000000000001E-2</v>
      </c>
      <c r="AL108" s="23">
        <v>2.3E-2</v>
      </c>
      <c r="AM108" s="23">
        <v>0.41</v>
      </c>
      <c r="AN108" s="23">
        <v>2.75E-2</v>
      </c>
      <c r="AO108" s="23">
        <v>-0.45</v>
      </c>
      <c r="AP108" s="23">
        <v>-7.0000000000000007E-2</v>
      </c>
      <c r="AQ108" s="23">
        <v>-0.19500000000000001</v>
      </c>
      <c r="AR108" s="23">
        <v>-0.25</v>
      </c>
      <c r="AS108" s="23">
        <v>-0.37</v>
      </c>
      <c r="AT108" s="23">
        <v>0</v>
      </c>
      <c r="AU108" s="23">
        <v>0.26</v>
      </c>
      <c r="AV108" s="23">
        <v>-0.45</v>
      </c>
      <c r="AW108" s="23">
        <v>-0.14299999999999999</v>
      </c>
      <c r="AX108" s="23">
        <v>-0.06</v>
      </c>
      <c r="AY108" s="23">
        <v>-8.3000000000000004E-2</v>
      </c>
      <c r="AZ108" s="23">
        <v>-4.7E-2</v>
      </c>
      <c r="BA108" s="23">
        <v>-7.2999999999999995E-2</v>
      </c>
      <c r="BB108" s="23">
        <v>-1.55E-2</v>
      </c>
      <c r="BC108" s="23">
        <v>-5.1999999999999998E-2</v>
      </c>
      <c r="BD108" s="23">
        <v>-2.5000000000000001E-3</v>
      </c>
      <c r="BE108" s="23">
        <v>-7.2499999999999995E-2</v>
      </c>
      <c r="BF108" s="23">
        <v>0</v>
      </c>
      <c r="BG108" s="23">
        <v>0.14000000000000001</v>
      </c>
      <c r="BH108" s="23">
        <v>0.14499999999999999</v>
      </c>
      <c r="BI108" s="23">
        <v>0.125</v>
      </c>
      <c r="BJ108" s="23">
        <v>0.35</v>
      </c>
      <c r="BK108" s="23">
        <v>2.5000000000000001E-3</v>
      </c>
      <c r="BL108" s="23">
        <v>-0.01</v>
      </c>
      <c r="BM108" s="23">
        <v>5.0000000000000001E-3</v>
      </c>
      <c r="BN108" s="23">
        <v>-0.01</v>
      </c>
      <c r="BO108" s="23">
        <v>0</v>
      </c>
      <c r="BP108" s="23">
        <v>5.0000000000000001E-3</v>
      </c>
      <c r="BQ108" s="23">
        <v>2.5000000000000001E-3</v>
      </c>
      <c r="BR108" s="23">
        <v>3.5000000000000003E-2</v>
      </c>
      <c r="BS108">
        <v>5.0000000000000001E-3</v>
      </c>
      <c r="BT108">
        <v>0.04</v>
      </c>
      <c r="BU108">
        <v>0.04</v>
      </c>
      <c r="BV108">
        <v>0.03</v>
      </c>
    </row>
    <row r="109" spans="1:74" x14ac:dyDescent="0.25">
      <c r="A109" s="24" t="e">
        <f>#REF!-B109</f>
        <v>#REF!</v>
      </c>
      <c r="B109" s="24">
        <v>3.552</v>
      </c>
      <c r="C109" s="138">
        <f t="shared" si="4"/>
        <v>40391</v>
      </c>
      <c r="D109">
        <v>3.7549999999999999</v>
      </c>
      <c r="E109" s="24">
        <v>0.185</v>
      </c>
      <c r="F109" s="23">
        <v>5.7555691791374597E-2</v>
      </c>
      <c r="G109" s="23">
        <v>-0.13</v>
      </c>
      <c r="H109" s="23">
        <v>-0.15</v>
      </c>
      <c r="I109" s="27">
        <v>-0.09</v>
      </c>
      <c r="J109" s="27">
        <v>-0.13</v>
      </c>
      <c r="K109" s="23">
        <v>-0.09</v>
      </c>
      <c r="L109" s="23">
        <v>-4.7E-2</v>
      </c>
      <c r="M109" s="23">
        <v>-6.7000000000000004E-2</v>
      </c>
      <c r="N109" s="23">
        <v>-0.12</v>
      </c>
      <c r="O109" s="23">
        <v>-0.12</v>
      </c>
      <c r="P109" s="23">
        <v>-0.13</v>
      </c>
      <c r="Q109" s="23">
        <v>-5.3499999999999999E-2</v>
      </c>
      <c r="R109" s="23">
        <v>-4.7E-2</v>
      </c>
      <c r="S109" s="23">
        <v>0.125</v>
      </c>
      <c r="T109" s="23">
        <v>0.14499999999999999</v>
      </c>
      <c r="U109" s="23">
        <v>0.04</v>
      </c>
      <c r="V109" s="23">
        <v>0.5</v>
      </c>
      <c r="W109" s="23">
        <v>0.15</v>
      </c>
      <c r="X109" s="23">
        <v>0.20499999999999999</v>
      </c>
      <c r="Y109" s="23">
        <v>-1.7500000000000002E-2</v>
      </c>
      <c r="Z109" s="23">
        <v>-4.5999999999999999E-2</v>
      </c>
      <c r="AA109" s="23">
        <v>1.2500000000000001E-2</v>
      </c>
      <c r="AB109" s="23">
        <v>-5.0000000000000001E-3</v>
      </c>
      <c r="AC109" s="23">
        <v>2.5000000000000001E-3</v>
      </c>
      <c r="AD109" s="23">
        <v>-2.2499999999999999E-2</v>
      </c>
      <c r="AE109" s="23">
        <v>-7.2499999999999995E-2</v>
      </c>
      <c r="AF109" s="23">
        <v>-5.7000000000000002E-2</v>
      </c>
      <c r="AG109" s="23">
        <v>-7.9500000000000001E-2</v>
      </c>
      <c r="AH109" s="23">
        <v>-1.55E-2</v>
      </c>
      <c r="AI109" s="23">
        <v>-7.1999999999999995E-2</v>
      </c>
      <c r="AJ109" s="23">
        <v>-0.06</v>
      </c>
      <c r="AK109" s="23">
        <v>-1.7000000000000001E-2</v>
      </c>
      <c r="AL109" s="23">
        <v>2.3E-2</v>
      </c>
      <c r="AM109" s="23">
        <v>0.41</v>
      </c>
      <c r="AN109" s="23">
        <v>0.03</v>
      </c>
      <c r="AO109" s="23">
        <v>-0.45</v>
      </c>
      <c r="AP109" s="23">
        <v>-7.0000000000000007E-2</v>
      </c>
      <c r="AQ109" s="23">
        <v>-0.19500000000000001</v>
      </c>
      <c r="AR109" s="23">
        <v>-0.25</v>
      </c>
      <c r="AS109" s="23">
        <v>-0.37</v>
      </c>
      <c r="AT109" s="23">
        <v>0</v>
      </c>
      <c r="AU109" s="23">
        <v>0.26</v>
      </c>
      <c r="AV109" s="23">
        <v>-0.45</v>
      </c>
      <c r="AW109" s="23">
        <v>-0.13800000000000001</v>
      </c>
      <c r="AX109" s="23">
        <v>-0.06</v>
      </c>
      <c r="AY109" s="23">
        <v>-7.8E-2</v>
      </c>
      <c r="AZ109" s="23">
        <v>-4.7E-2</v>
      </c>
      <c r="BA109" s="23">
        <v>-7.0499999999999993E-2</v>
      </c>
      <c r="BB109" s="23">
        <v>-1.55E-2</v>
      </c>
      <c r="BC109" s="23">
        <v>-5.1999999999999998E-2</v>
      </c>
      <c r="BD109" s="23">
        <v>0</v>
      </c>
      <c r="BE109" s="23">
        <v>-7.2499999999999995E-2</v>
      </c>
      <c r="BF109" s="23">
        <v>0</v>
      </c>
      <c r="BG109" s="23">
        <v>0.14000000000000001</v>
      </c>
      <c r="BH109" s="23">
        <v>0.14499999999999999</v>
      </c>
      <c r="BI109" s="23">
        <v>0.125</v>
      </c>
      <c r="BJ109" s="23">
        <v>0.35</v>
      </c>
      <c r="BK109" s="23">
        <v>2.5000000000000001E-3</v>
      </c>
      <c r="BL109" s="23">
        <v>-0.01</v>
      </c>
      <c r="BM109" s="23">
        <v>5.0000000000000001E-3</v>
      </c>
      <c r="BN109" s="23">
        <v>-0.01</v>
      </c>
      <c r="BO109" s="23">
        <v>0</v>
      </c>
      <c r="BP109" s="23">
        <v>5.0000000000000001E-3</v>
      </c>
      <c r="BQ109" s="23">
        <v>2.5000000000000001E-3</v>
      </c>
      <c r="BR109" s="23">
        <v>0.01</v>
      </c>
      <c r="BS109">
        <v>5.0000000000000001E-3</v>
      </c>
      <c r="BT109">
        <v>0.04</v>
      </c>
      <c r="BU109">
        <v>0.04</v>
      </c>
      <c r="BV109">
        <v>0.03</v>
      </c>
    </row>
    <row r="110" spans="1:74" x14ac:dyDescent="0.25">
      <c r="A110" s="24" t="e">
        <f>#REF!-B110</f>
        <v>#REF!</v>
      </c>
      <c r="B110" s="24">
        <v>3.4119999999999999</v>
      </c>
      <c r="C110" s="138">
        <f t="shared" si="4"/>
        <v>40422</v>
      </c>
      <c r="D110">
        <v>3.75</v>
      </c>
      <c r="E110" s="24">
        <v>0.185</v>
      </c>
      <c r="F110" s="23">
        <v>5.7659190241320601E-2</v>
      </c>
      <c r="G110" s="23">
        <v>-0.13</v>
      </c>
      <c r="H110" s="23">
        <v>-0.15</v>
      </c>
      <c r="I110" s="27">
        <v>-0.09</v>
      </c>
      <c r="J110" s="27">
        <v>-0.13</v>
      </c>
      <c r="K110" s="23">
        <v>-0.09</v>
      </c>
      <c r="L110" s="23">
        <v>-4.7E-2</v>
      </c>
      <c r="M110" s="23">
        <v>-6.7000000000000004E-2</v>
      </c>
      <c r="N110" s="23">
        <v>-0.12</v>
      </c>
      <c r="O110" s="23">
        <v>-0.12</v>
      </c>
      <c r="P110" s="23">
        <v>-0.13</v>
      </c>
      <c r="Q110" s="23">
        <v>-5.7250000000000002E-2</v>
      </c>
      <c r="R110" s="23">
        <v>-4.7E-2</v>
      </c>
      <c r="S110" s="23">
        <v>0.125</v>
      </c>
      <c r="T110" s="23">
        <v>0.14499999999999999</v>
      </c>
      <c r="U110" s="23">
        <v>0.04</v>
      </c>
      <c r="V110" s="23">
        <v>0.5</v>
      </c>
      <c r="W110" s="23">
        <v>0.125</v>
      </c>
      <c r="X110" s="23">
        <v>0.14499999999999999</v>
      </c>
      <c r="Y110" s="23">
        <v>-1.7500000000000002E-2</v>
      </c>
      <c r="Z110" s="23">
        <v>-5.0999999999999997E-2</v>
      </c>
      <c r="AA110" s="23">
        <v>1.2500000000000001E-2</v>
      </c>
      <c r="AB110" s="23">
        <v>-5.0000000000000001E-3</v>
      </c>
      <c r="AC110" s="23">
        <v>2.5000000000000001E-3</v>
      </c>
      <c r="AD110" s="23">
        <v>-2.2499999999999999E-2</v>
      </c>
      <c r="AE110" s="23">
        <v>-7.2499999999999995E-2</v>
      </c>
      <c r="AF110" s="23">
        <v>-5.7000000000000002E-2</v>
      </c>
      <c r="AG110" s="23">
        <v>-7.9500000000000001E-2</v>
      </c>
      <c r="AH110" s="23">
        <v>-1.55E-2</v>
      </c>
      <c r="AI110" s="23">
        <v>-7.1999999999999995E-2</v>
      </c>
      <c r="AJ110" s="23">
        <v>-6.7500000000000004E-2</v>
      </c>
      <c r="AK110" s="23">
        <v>-1.7000000000000001E-2</v>
      </c>
      <c r="AL110" s="23">
        <v>2.3E-2</v>
      </c>
      <c r="AM110" s="23">
        <v>0.36</v>
      </c>
      <c r="AN110" s="23">
        <v>2.2499999999999999E-2</v>
      </c>
      <c r="AO110" s="23">
        <v>-0.45</v>
      </c>
      <c r="AP110" s="23">
        <v>-7.0000000000000007E-2</v>
      </c>
      <c r="AQ110" s="23">
        <v>-0.19500000000000001</v>
      </c>
      <c r="AR110" s="23">
        <v>-0.25</v>
      </c>
      <c r="AS110" s="23">
        <v>-0.37</v>
      </c>
      <c r="AT110" s="23">
        <v>0</v>
      </c>
      <c r="AU110" s="23">
        <v>0.26</v>
      </c>
      <c r="AV110" s="23">
        <v>-0.45</v>
      </c>
      <c r="AW110" s="23">
        <v>-0.14799999999999999</v>
      </c>
      <c r="AX110" s="23">
        <v>-0.06</v>
      </c>
      <c r="AY110" s="23">
        <v>-8.7999999999999995E-2</v>
      </c>
      <c r="AZ110" s="23">
        <v>-4.7E-2</v>
      </c>
      <c r="BA110" s="23">
        <v>-7.5499999999999998E-2</v>
      </c>
      <c r="BB110" s="23">
        <v>-1.55E-2</v>
      </c>
      <c r="BC110" s="23">
        <v>-5.1999999999999998E-2</v>
      </c>
      <c r="BD110" s="23">
        <v>-7.4999999999999997E-3</v>
      </c>
      <c r="BE110" s="23">
        <v>-7.2499999999999995E-2</v>
      </c>
      <c r="BF110" s="23">
        <v>0</v>
      </c>
      <c r="BG110" s="23">
        <v>0.14000000000000001</v>
      </c>
      <c r="BH110" s="23">
        <v>0.14499999999999999</v>
      </c>
      <c r="BI110" s="23">
        <v>0.125</v>
      </c>
      <c r="BJ110" s="23">
        <v>0.315</v>
      </c>
      <c r="BK110" s="23">
        <v>2.5000000000000001E-3</v>
      </c>
      <c r="BL110" s="23">
        <v>-0.01</v>
      </c>
      <c r="BM110" s="23">
        <v>5.0000000000000001E-3</v>
      </c>
      <c r="BN110" s="23">
        <v>-0.01</v>
      </c>
      <c r="BO110" s="23">
        <v>0</v>
      </c>
      <c r="BP110" s="23">
        <v>5.0000000000000001E-3</v>
      </c>
      <c r="BQ110" s="23">
        <v>2.5000000000000001E-3</v>
      </c>
      <c r="BR110" s="23">
        <v>0.01</v>
      </c>
      <c r="BS110">
        <v>5.0000000000000001E-3</v>
      </c>
      <c r="BT110">
        <v>0.04</v>
      </c>
      <c r="BU110">
        <v>0.04</v>
      </c>
      <c r="BV110">
        <v>0.03</v>
      </c>
    </row>
    <row r="111" spans="1:74" x14ac:dyDescent="0.25">
      <c r="A111" s="24" t="e">
        <f>#REF!-B111</f>
        <v>#REF!</v>
      </c>
      <c r="B111" s="24">
        <v>3.2749999999999999</v>
      </c>
      <c r="C111" s="138">
        <f t="shared" si="4"/>
        <v>40452</v>
      </c>
      <c r="D111">
        <v>3.7749999999999999</v>
      </c>
      <c r="E111" s="24">
        <v>0.185</v>
      </c>
      <c r="F111" s="23">
        <v>5.7759350034984003E-2</v>
      </c>
      <c r="G111" s="23">
        <v>-0.13</v>
      </c>
      <c r="H111" s="23">
        <v>-0.15</v>
      </c>
      <c r="I111" s="27">
        <v>-0.09</v>
      </c>
      <c r="J111" s="27">
        <v>-0.13</v>
      </c>
      <c r="K111" s="23">
        <v>-0.09</v>
      </c>
      <c r="L111" s="23">
        <v>-4.7E-2</v>
      </c>
      <c r="M111" s="23">
        <v>-6.7000000000000004E-2</v>
      </c>
      <c r="N111" s="23">
        <v>-0.12</v>
      </c>
      <c r="O111" s="23">
        <v>-0.12</v>
      </c>
      <c r="P111" s="23">
        <v>-0.13</v>
      </c>
      <c r="Q111" s="23">
        <v>-6.225E-2</v>
      </c>
      <c r="R111" s="23">
        <v>-4.7E-2</v>
      </c>
      <c r="S111" s="23">
        <v>0.125</v>
      </c>
      <c r="T111" s="23">
        <v>0.14499999999999999</v>
      </c>
      <c r="U111" s="23">
        <v>0.04</v>
      </c>
      <c r="V111" s="23">
        <v>0.5</v>
      </c>
      <c r="W111" s="23">
        <v>0.14499999999999999</v>
      </c>
      <c r="X111" s="23">
        <v>0.17499999999999999</v>
      </c>
      <c r="Y111" s="23">
        <v>-1.7500000000000002E-2</v>
      </c>
      <c r="Z111" s="23">
        <v>-5.0999999999999997E-2</v>
      </c>
      <c r="AA111" s="23">
        <v>7.4999999999999997E-3</v>
      </c>
      <c r="AB111" s="23">
        <v>-0.01</v>
      </c>
      <c r="AC111" s="23">
        <v>2.5000000000000001E-3</v>
      </c>
      <c r="AD111" s="23">
        <v>-2.2499999999999999E-2</v>
      </c>
      <c r="AE111" s="23">
        <v>-7.2499999999999995E-2</v>
      </c>
      <c r="AF111" s="23">
        <v>-5.7000000000000002E-2</v>
      </c>
      <c r="AG111" s="23">
        <v>-7.9500000000000001E-2</v>
      </c>
      <c r="AH111" s="23">
        <v>-1.55E-2</v>
      </c>
      <c r="AI111" s="23">
        <v>-7.1999999999999995E-2</v>
      </c>
      <c r="AJ111" s="23">
        <v>-7.7499999999999999E-2</v>
      </c>
      <c r="AK111" s="23">
        <v>-1.7000000000000001E-2</v>
      </c>
      <c r="AL111" s="23">
        <v>2.3E-2</v>
      </c>
      <c r="AM111" s="23">
        <v>0.4</v>
      </c>
      <c r="AN111" s="23">
        <v>1.2500000000000001E-2</v>
      </c>
      <c r="AO111" s="23">
        <v>-0.45</v>
      </c>
      <c r="AP111" s="23">
        <v>-7.0000000000000007E-2</v>
      </c>
      <c r="AQ111" s="23">
        <v>-0.19500000000000001</v>
      </c>
      <c r="AR111" s="23">
        <v>-0.25</v>
      </c>
      <c r="AS111" s="23">
        <v>-0.37</v>
      </c>
      <c r="AT111" s="23">
        <v>0</v>
      </c>
      <c r="AU111" s="23">
        <v>0.26</v>
      </c>
      <c r="AV111" s="23">
        <v>-0.45</v>
      </c>
      <c r="AW111" s="23">
        <v>-0.13550000000000001</v>
      </c>
      <c r="AX111" s="23">
        <v>-0.06</v>
      </c>
      <c r="AY111" s="23">
        <v>-7.5499999999999998E-2</v>
      </c>
      <c r="AZ111" s="23">
        <v>-4.7E-2</v>
      </c>
      <c r="BA111" s="23">
        <v>-7.8E-2</v>
      </c>
      <c r="BB111" s="23">
        <v>-1.55E-2</v>
      </c>
      <c r="BC111" s="23">
        <v>-5.1999999999999998E-2</v>
      </c>
      <c r="BD111" s="23">
        <v>-1.7500000000000002E-2</v>
      </c>
      <c r="BE111" s="23">
        <v>-7.2499999999999995E-2</v>
      </c>
      <c r="BF111" s="23">
        <v>0</v>
      </c>
      <c r="BG111" s="23">
        <v>0.14000000000000001</v>
      </c>
      <c r="BH111" s="23">
        <v>0.14499999999999999</v>
      </c>
      <c r="BI111" s="23">
        <v>0.125</v>
      </c>
      <c r="BJ111" s="23">
        <v>0.36</v>
      </c>
      <c r="BK111" s="23">
        <v>2.5000000000000001E-3</v>
      </c>
      <c r="BL111" s="23">
        <v>-1.4999999999999999E-2</v>
      </c>
      <c r="BM111" s="23">
        <v>5.0000000000000001E-3</v>
      </c>
      <c r="BN111" s="23">
        <v>-0.01</v>
      </c>
      <c r="BO111" s="23">
        <v>0</v>
      </c>
      <c r="BP111" s="23">
        <v>5.0000000000000001E-3</v>
      </c>
      <c r="BQ111" s="23">
        <v>2.5000000000000001E-3</v>
      </c>
      <c r="BR111" s="23">
        <v>0.01</v>
      </c>
      <c r="BS111">
        <v>5.0000000000000001E-3</v>
      </c>
      <c r="BT111">
        <v>0.04</v>
      </c>
      <c r="BU111">
        <v>0.04</v>
      </c>
      <c r="BV111">
        <v>0.03</v>
      </c>
    </row>
    <row r="112" spans="1:74" x14ac:dyDescent="0.25">
      <c r="A112" s="24" t="e">
        <f>#REF!-B112</f>
        <v>#REF!</v>
      </c>
      <c r="B112" s="24">
        <v>3.2530000000000001</v>
      </c>
      <c r="C112" s="138">
        <f t="shared" si="4"/>
        <v>40483</v>
      </c>
      <c r="D112">
        <v>3.927</v>
      </c>
      <c r="E112" s="24">
        <v>0.185</v>
      </c>
      <c r="F112" s="23">
        <v>5.7862848491941697E-2</v>
      </c>
      <c r="G112" s="23">
        <v>-0.13</v>
      </c>
      <c r="H112" s="23">
        <v>-0.15</v>
      </c>
      <c r="I112" s="27">
        <v>-0.01</v>
      </c>
      <c r="J112" s="27">
        <v>-0.13</v>
      </c>
      <c r="K112" s="23">
        <v>0</v>
      </c>
      <c r="L112" s="23">
        <v>-4.65E-2</v>
      </c>
      <c r="M112" s="23">
        <v>-8.1500000000000003E-2</v>
      </c>
      <c r="N112" s="23">
        <v>-0.12</v>
      </c>
      <c r="O112" s="23">
        <v>-0.12</v>
      </c>
      <c r="P112" s="23">
        <v>-0.13</v>
      </c>
      <c r="Q112" s="23">
        <v>-7.9500000000000001E-2</v>
      </c>
      <c r="R112" s="23">
        <v>-4.65E-2</v>
      </c>
      <c r="S112" s="23">
        <v>0.155</v>
      </c>
      <c r="T112" s="23">
        <v>0.17499999999999999</v>
      </c>
      <c r="U112" s="23">
        <v>0.13</v>
      </c>
      <c r="V112" s="23">
        <v>0.5</v>
      </c>
      <c r="W112" s="23">
        <v>0.19500000000000001</v>
      </c>
      <c r="X112" s="23">
        <v>0.21</v>
      </c>
      <c r="Y112" s="23">
        <v>-1.4999999999999999E-2</v>
      </c>
      <c r="Z112" s="23">
        <v>-3.2000000000000001E-2</v>
      </c>
      <c r="AA112" s="23">
        <v>8.5000000000000006E-3</v>
      </c>
      <c r="AB112" s="23">
        <v>-8.9999999999999993E-3</v>
      </c>
      <c r="AC112" s="23">
        <v>2.5000000000000001E-3</v>
      </c>
      <c r="AD112" s="23">
        <v>-2.2499999999999999E-2</v>
      </c>
      <c r="AE112" s="23">
        <v>-7.4999999999999997E-2</v>
      </c>
      <c r="AF112" s="23">
        <v>-5.9499999999999997E-2</v>
      </c>
      <c r="AG112" s="23">
        <v>-8.2000000000000003E-2</v>
      </c>
      <c r="AH112" s="23">
        <v>-1.2E-2</v>
      </c>
      <c r="AI112" s="23">
        <v>-6.4000000000000001E-2</v>
      </c>
      <c r="AJ112" s="23">
        <v>-0.1125</v>
      </c>
      <c r="AK112" s="23">
        <v>-8.9999989999999998E-3</v>
      </c>
      <c r="AL112" s="23">
        <v>3.1E-2</v>
      </c>
      <c r="AM112" s="23">
        <v>0.65</v>
      </c>
      <c r="AN112" s="23">
        <v>-2.2499999999999999E-2</v>
      </c>
      <c r="AO112" s="23">
        <v>-0.34</v>
      </c>
      <c r="AP112" s="23">
        <v>-7.0000000000000007E-2</v>
      </c>
      <c r="AQ112" s="23">
        <v>-0.13</v>
      </c>
      <c r="AR112" s="23">
        <v>0.248</v>
      </c>
      <c r="AS112" s="23">
        <v>-0.26</v>
      </c>
      <c r="AT112" s="23">
        <v>0</v>
      </c>
      <c r="AU112" s="23">
        <v>0.35</v>
      </c>
      <c r="AV112" s="23">
        <v>-0.34</v>
      </c>
      <c r="AW112" s="23">
        <v>-0.14299999999999999</v>
      </c>
      <c r="AX112" s="23">
        <v>-0.06</v>
      </c>
      <c r="AY112" s="23">
        <v>-8.3000000000000004E-2</v>
      </c>
      <c r="AZ112" s="23">
        <v>-4.65E-2</v>
      </c>
      <c r="BA112" s="23">
        <v>-7.2999999999999995E-2</v>
      </c>
      <c r="BB112" s="23">
        <v>-1.7000000000000001E-2</v>
      </c>
      <c r="BC112" s="23">
        <v>-6.6500000000000004E-2</v>
      </c>
      <c r="BD112" s="23">
        <v>-5.2499999999999998E-2</v>
      </c>
      <c r="BE112" s="23">
        <v>-7.4999999999999997E-2</v>
      </c>
      <c r="BF112" s="23">
        <v>0</v>
      </c>
      <c r="BG112" s="23">
        <v>0.17</v>
      </c>
      <c r="BH112" s="23">
        <v>0.17499999999999999</v>
      </c>
      <c r="BI112" s="23">
        <v>0.155</v>
      </c>
      <c r="BJ112" s="23">
        <v>0.46</v>
      </c>
      <c r="BK112" s="23">
        <v>2.5000000000000001E-3</v>
      </c>
      <c r="BL112" s="23">
        <v>-0.02</v>
      </c>
      <c r="BM112" s="23">
        <v>5.0000000000000001E-3</v>
      </c>
      <c r="BN112" s="23">
        <v>0</v>
      </c>
      <c r="BO112" s="23">
        <v>0</v>
      </c>
      <c r="BP112" s="23">
        <v>5.0000000000000001E-3</v>
      </c>
      <c r="BQ112" s="23">
        <v>5.0000000000000001E-3</v>
      </c>
      <c r="BR112" s="23">
        <v>5.5E-2</v>
      </c>
      <c r="BS112">
        <v>0.02</v>
      </c>
      <c r="BT112">
        <v>4.2000000000000003E-2</v>
      </c>
      <c r="BU112">
        <v>4.2000000000000003E-2</v>
      </c>
      <c r="BV112">
        <v>0.03</v>
      </c>
    </row>
    <row r="113" spans="1:74" x14ac:dyDescent="0.25">
      <c r="A113" s="24" t="e">
        <f>#REF!-B113</f>
        <v>#REF!</v>
      </c>
      <c r="B113" s="24">
        <v>3.2390000000000003</v>
      </c>
      <c r="C113" s="138">
        <f t="shared" si="4"/>
        <v>40513</v>
      </c>
      <c r="D113">
        <v>4.07</v>
      </c>
      <c r="E113" s="24">
        <v>0.185</v>
      </c>
      <c r="F113" s="23">
        <v>5.79630082923899E-2</v>
      </c>
      <c r="G113" s="23">
        <v>-0.13250000000000001</v>
      </c>
      <c r="H113" s="23">
        <v>-0.1525</v>
      </c>
      <c r="I113" s="27">
        <v>-5.0000000000000001E-3</v>
      </c>
      <c r="J113" s="27">
        <v>-0.13</v>
      </c>
      <c r="K113" s="23">
        <v>5.0000000000000001E-3</v>
      </c>
      <c r="L113" s="23">
        <v>-4.65E-2</v>
      </c>
      <c r="M113" s="23">
        <v>-8.1500000000000003E-2</v>
      </c>
      <c r="N113" s="23">
        <v>-0.1225</v>
      </c>
      <c r="O113" s="23">
        <v>-0.1225</v>
      </c>
      <c r="P113" s="23">
        <v>-0.13250000000000001</v>
      </c>
      <c r="Q113" s="23">
        <v>-9.0749999999999997E-2</v>
      </c>
      <c r="R113" s="23">
        <v>-4.65E-2</v>
      </c>
      <c r="S113" s="23">
        <v>0.155</v>
      </c>
      <c r="T113" s="23">
        <v>0.17499999999999999</v>
      </c>
      <c r="U113" s="23">
        <v>0.13</v>
      </c>
      <c r="V113" s="23">
        <v>0.5</v>
      </c>
      <c r="W113" s="23">
        <v>0.215</v>
      </c>
      <c r="X113" s="23">
        <v>0.28999999999999998</v>
      </c>
      <c r="Y113" s="23">
        <v>-1.4999999999999999E-2</v>
      </c>
      <c r="Z113" s="23">
        <v>-3.2000000000000001E-2</v>
      </c>
      <c r="AA113" s="23">
        <v>8.5000000000000006E-3</v>
      </c>
      <c r="AB113" s="23">
        <v>-8.9999999999999993E-3</v>
      </c>
      <c r="AC113" s="23">
        <v>2.5000000000000001E-3</v>
      </c>
      <c r="AD113" s="23">
        <v>-2.2499999999999999E-2</v>
      </c>
      <c r="AE113" s="23">
        <v>-7.4999999999999997E-2</v>
      </c>
      <c r="AF113" s="23">
        <v>-5.7500000000000002E-2</v>
      </c>
      <c r="AG113" s="23">
        <v>-0.08</v>
      </c>
      <c r="AH113" s="23">
        <v>-9.4999990000000003E-3</v>
      </c>
      <c r="AI113" s="23">
        <v>-6.4000000000000001E-2</v>
      </c>
      <c r="AJ113" s="23">
        <v>-0.13500000000000001</v>
      </c>
      <c r="AK113" s="23">
        <v>-8.9999989999999998E-3</v>
      </c>
      <c r="AL113" s="23">
        <v>3.1E-2</v>
      </c>
      <c r="AM113" s="23">
        <v>0.98</v>
      </c>
      <c r="AN113" s="23">
        <v>-4.4999999999999998E-2</v>
      </c>
      <c r="AO113" s="23">
        <v>-0.34</v>
      </c>
      <c r="AP113" s="23">
        <v>-7.0000000000000007E-2</v>
      </c>
      <c r="AQ113" s="23">
        <v>-0.13</v>
      </c>
      <c r="AR113" s="23">
        <v>0.308</v>
      </c>
      <c r="AS113" s="23">
        <v>-0.26</v>
      </c>
      <c r="AT113" s="23">
        <v>0</v>
      </c>
      <c r="AU113" s="23">
        <v>0.35</v>
      </c>
      <c r="AV113" s="23">
        <v>-0.34</v>
      </c>
      <c r="AW113" s="23">
        <v>-0.17050000000000001</v>
      </c>
      <c r="AX113" s="23">
        <v>-0.06</v>
      </c>
      <c r="AY113" s="23">
        <v>-0.1105</v>
      </c>
      <c r="AZ113" s="23">
        <v>-4.65E-2</v>
      </c>
      <c r="BA113" s="23">
        <v>-0.10050000000000001</v>
      </c>
      <c r="BB113" s="23">
        <v>-1.4500000000000001E-2</v>
      </c>
      <c r="BC113" s="23">
        <v>-6.6500000000000004E-2</v>
      </c>
      <c r="BD113" s="23">
        <v>-7.4999999999999997E-2</v>
      </c>
      <c r="BE113" s="23">
        <v>-7.4999999999999997E-2</v>
      </c>
      <c r="BF113" s="23">
        <v>0</v>
      </c>
      <c r="BG113" s="23">
        <v>0.17</v>
      </c>
      <c r="BH113" s="23">
        <v>0.17499999999999999</v>
      </c>
      <c r="BI113" s="23">
        <v>0.155</v>
      </c>
      <c r="BJ113" s="23">
        <v>0.77</v>
      </c>
      <c r="BK113" s="23">
        <v>2.5000000000000001E-3</v>
      </c>
      <c r="BL113" s="23">
        <v>-2.5000000000000001E-2</v>
      </c>
      <c r="BM113" s="23">
        <v>5.0000000000000001E-3</v>
      </c>
      <c r="BN113" s="23">
        <v>0</v>
      </c>
      <c r="BO113" s="23">
        <v>0</v>
      </c>
      <c r="BP113" s="23">
        <v>5.0000000000000001E-3</v>
      </c>
      <c r="BQ113" s="23">
        <v>5.0000000000000001E-3</v>
      </c>
      <c r="BR113" s="23">
        <v>0.25</v>
      </c>
      <c r="BS113">
        <v>0.02</v>
      </c>
      <c r="BT113">
        <v>4.2000000000000003E-2</v>
      </c>
      <c r="BU113">
        <v>4.2000000000000003E-2</v>
      </c>
      <c r="BV113">
        <v>0.03</v>
      </c>
    </row>
    <row r="114" spans="1:74" x14ac:dyDescent="0.25">
      <c r="A114" s="24" t="e">
        <f>#REF!-B114</f>
        <v>#REF!</v>
      </c>
      <c r="B114" s="24">
        <v>3.3040000000000003</v>
      </c>
      <c r="C114" s="138">
        <f t="shared" si="4"/>
        <v>40544</v>
      </c>
      <c r="D114">
        <v>4.1275000000000004</v>
      </c>
      <c r="E114" s="24">
        <v>0.185</v>
      </c>
      <c r="F114" s="23">
        <v>5.8066506756358403E-2</v>
      </c>
      <c r="G114" s="23">
        <v>-0.13500000000000001</v>
      </c>
      <c r="H114" s="23">
        <v>-0.155</v>
      </c>
      <c r="I114" s="27">
        <v>1.4999999999999999E-2</v>
      </c>
      <c r="J114" s="27">
        <v>-0.13</v>
      </c>
      <c r="K114" s="23">
        <v>2.5000000000000001E-2</v>
      </c>
      <c r="L114" s="23">
        <v>-4.65E-2</v>
      </c>
      <c r="M114" s="23">
        <v>-8.1500000000000003E-2</v>
      </c>
      <c r="N114" s="23">
        <v>-0.125</v>
      </c>
      <c r="O114" s="23">
        <v>-0.125</v>
      </c>
      <c r="P114" s="23">
        <v>-0.13500000000000001</v>
      </c>
      <c r="Q114" s="23">
        <v>-9.1999999999999998E-2</v>
      </c>
      <c r="R114" s="23">
        <v>-4.65E-2</v>
      </c>
      <c r="S114" s="23">
        <v>0.155</v>
      </c>
      <c r="T114" s="23">
        <v>0.17499999999999999</v>
      </c>
      <c r="U114" s="23">
        <v>0.13</v>
      </c>
      <c r="V114" s="23">
        <v>0.5</v>
      </c>
      <c r="W114" s="23">
        <v>0.23499999999999999</v>
      </c>
      <c r="X114" s="23">
        <v>0.34</v>
      </c>
      <c r="Y114" s="23">
        <v>-1.2999999999999999E-2</v>
      </c>
      <c r="Z114" s="23">
        <v>-3.2000000000000001E-2</v>
      </c>
      <c r="AA114" s="23">
        <v>8.5000000000000006E-3</v>
      </c>
      <c r="AB114" s="23">
        <v>-8.9999999999999993E-3</v>
      </c>
      <c r="AC114" s="23">
        <v>2.5000000000000001E-3</v>
      </c>
      <c r="AD114" s="23">
        <v>-2.2499999999999999E-2</v>
      </c>
      <c r="AE114" s="23">
        <v>-7.4999999999999997E-2</v>
      </c>
      <c r="AF114" s="23">
        <v>-5.7500000000000002E-2</v>
      </c>
      <c r="AG114" s="23">
        <v>-0.08</v>
      </c>
      <c r="AH114" s="23">
        <v>-9.4999990000000003E-3</v>
      </c>
      <c r="AI114" s="23">
        <v>-6.4000000000000001E-2</v>
      </c>
      <c r="AJ114" s="23">
        <v>-0.13750000000000001</v>
      </c>
      <c r="AK114" s="23">
        <v>-8.9999989999999998E-3</v>
      </c>
      <c r="AL114" s="23">
        <v>3.1E-2</v>
      </c>
      <c r="AM114" s="23">
        <v>1.6</v>
      </c>
      <c r="AN114" s="23">
        <v>-4.7500000000000001E-2</v>
      </c>
      <c r="AO114" s="23">
        <v>-0.34</v>
      </c>
      <c r="AP114" s="23">
        <v>-7.0000000000000007E-2</v>
      </c>
      <c r="AQ114" s="23">
        <v>-0.13</v>
      </c>
      <c r="AR114" s="23">
        <v>0.378</v>
      </c>
      <c r="AS114" s="23">
        <v>-0.26</v>
      </c>
      <c r="AT114" s="23">
        <v>0</v>
      </c>
      <c r="AU114" s="23">
        <v>0.35</v>
      </c>
      <c r="AV114" s="23">
        <v>-0.34</v>
      </c>
      <c r="AW114" s="23">
        <v>-0.1855</v>
      </c>
      <c r="AX114" s="23">
        <v>-0.06</v>
      </c>
      <c r="AY114" s="23">
        <v>-0.1255</v>
      </c>
      <c r="AZ114" s="23">
        <v>-4.65E-2</v>
      </c>
      <c r="BA114" s="23">
        <v>-0.10100000000000001</v>
      </c>
      <c r="BB114" s="23">
        <v>-1.4500000000000001E-2</v>
      </c>
      <c r="BC114" s="23">
        <v>-6.6500000000000004E-2</v>
      </c>
      <c r="BD114" s="23">
        <v>-7.7499999999999999E-2</v>
      </c>
      <c r="BE114" s="23">
        <v>-7.4999999999999997E-2</v>
      </c>
      <c r="BF114" s="23">
        <v>0</v>
      </c>
      <c r="BG114" s="23">
        <v>0.17</v>
      </c>
      <c r="BH114" s="23">
        <v>0.17499999999999999</v>
      </c>
      <c r="BI114" s="23">
        <v>0.155</v>
      </c>
      <c r="BJ114" s="23">
        <v>1.04</v>
      </c>
      <c r="BK114" s="23">
        <v>2.5000000000000001E-3</v>
      </c>
      <c r="BL114" s="23">
        <v>-2.5000000000000001E-2</v>
      </c>
      <c r="BM114" s="23">
        <v>5.0000000000000001E-3</v>
      </c>
      <c r="BN114" s="23">
        <v>0</v>
      </c>
      <c r="BO114" s="23">
        <v>0</v>
      </c>
      <c r="BP114" s="23">
        <v>5.0000000000000001E-3</v>
      </c>
      <c r="BQ114" s="23">
        <v>5.0000000000000001E-3</v>
      </c>
      <c r="BR114" s="23">
        <v>0.45</v>
      </c>
      <c r="BS114">
        <v>0.02</v>
      </c>
      <c r="BT114">
        <v>4.2000000000000003E-2</v>
      </c>
      <c r="BU114">
        <v>4.2000000000000003E-2</v>
      </c>
      <c r="BV114">
        <v>0.03</v>
      </c>
    </row>
    <row r="115" spans="1:74" x14ac:dyDescent="0.25">
      <c r="A115" s="24" t="e">
        <f>#REF!-B115</f>
        <v>#REF!</v>
      </c>
      <c r="B115" s="24">
        <v>3.2990000000000004</v>
      </c>
      <c r="C115" s="138">
        <f t="shared" si="4"/>
        <v>40575</v>
      </c>
      <c r="D115">
        <v>4.0425000000000004</v>
      </c>
      <c r="E115" s="24">
        <v>0.185</v>
      </c>
      <c r="F115" s="23">
        <v>5.8170005223888897E-2</v>
      </c>
      <c r="G115" s="23">
        <v>-0.1275</v>
      </c>
      <c r="H115" s="23">
        <v>-0.14749999999999999</v>
      </c>
      <c r="I115" s="27">
        <v>0.01</v>
      </c>
      <c r="J115" s="27">
        <v>-0.13</v>
      </c>
      <c r="K115" s="23">
        <v>0.02</v>
      </c>
      <c r="L115" s="23">
        <v>-4.65E-2</v>
      </c>
      <c r="M115" s="23">
        <v>-8.1500000000000003E-2</v>
      </c>
      <c r="N115" s="23">
        <v>-0.11749999999999999</v>
      </c>
      <c r="O115" s="23">
        <v>-0.11749999999999999</v>
      </c>
      <c r="P115" s="23">
        <v>-0.1275</v>
      </c>
      <c r="Q115" s="23">
        <v>-8.3250000000000005E-2</v>
      </c>
      <c r="R115" s="23">
        <v>-4.65E-2</v>
      </c>
      <c r="S115" s="23">
        <v>0.155</v>
      </c>
      <c r="T115" s="23">
        <v>0.17499999999999999</v>
      </c>
      <c r="U115" s="23">
        <v>0.13</v>
      </c>
      <c r="V115" s="23">
        <v>0.5</v>
      </c>
      <c r="W115" s="23">
        <v>0.23499999999999999</v>
      </c>
      <c r="X115" s="23">
        <v>0.34</v>
      </c>
      <c r="Y115" s="23">
        <v>-1.2999999999999999E-2</v>
      </c>
      <c r="Z115" s="23">
        <v>-3.2000000000000001E-2</v>
      </c>
      <c r="AA115" s="23">
        <v>8.5000000000000006E-3</v>
      </c>
      <c r="AB115" s="23">
        <v>-8.9999999999999993E-3</v>
      </c>
      <c r="AC115" s="23">
        <v>2.5000000000000001E-3</v>
      </c>
      <c r="AD115" s="23">
        <v>-2.2499999999999999E-2</v>
      </c>
      <c r="AE115" s="23">
        <v>-7.4999999999999997E-2</v>
      </c>
      <c r="AF115" s="23">
        <v>-5.7500000000000002E-2</v>
      </c>
      <c r="AG115" s="23">
        <v>-0.08</v>
      </c>
      <c r="AH115" s="23">
        <v>-9.4999990000000003E-3</v>
      </c>
      <c r="AI115" s="23">
        <v>-6.4000000000000001E-2</v>
      </c>
      <c r="AJ115" s="23">
        <v>-0.12</v>
      </c>
      <c r="AK115" s="23">
        <v>-8.9999989999999998E-3</v>
      </c>
      <c r="AL115" s="23">
        <v>3.1E-2</v>
      </c>
      <c r="AM115" s="23">
        <v>1.6</v>
      </c>
      <c r="AN115" s="23">
        <v>-0.03</v>
      </c>
      <c r="AO115" s="23">
        <v>-0.34</v>
      </c>
      <c r="AP115" s="23">
        <v>-7.0000000000000007E-2</v>
      </c>
      <c r="AQ115" s="23">
        <v>-0.13</v>
      </c>
      <c r="AR115" s="23">
        <v>0.248</v>
      </c>
      <c r="AS115" s="23">
        <v>-0.26</v>
      </c>
      <c r="AT115" s="23">
        <v>0</v>
      </c>
      <c r="AU115" s="23">
        <v>0.35</v>
      </c>
      <c r="AV115" s="23">
        <v>-0.34</v>
      </c>
      <c r="AW115" s="23">
        <v>-0.17549999999999999</v>
      </c>
      <c r="AX115" s="23">
        <v>-0.06</v>
      </c>
      <c r="AY115" s="23">
        <v>-0.11550000000000001</v>
      </c>
      <c r="AZ115" s="23">
        <v>-4.65E-2</v>
      </c>
      <c r="BA115" s="23">
        <v>-0.10100000000000001</v>
      </c>
      <c r="BB115" s="23">
        <v>-1.4500000000000001E-2</v>
      </c>
      <c r="BC115" s="23">
        <v>-6.6500000000000004E-2</v>
      </c>
      <c r="BD115" s="23">
        <v>-0.06</v>
      </c>
      <c r="BE115" s="23">
        <v>-7.4999999999999997E-2</v>
      </c>
      <c r="BF115" s="23">
        <v>0</v>
      </c>
      <c r="BG115" s="23">
        <v>0.17</v>
      </c>
      <c r="BH115" s="23">
        <v>0.17499999999999999</v>
      </c>
      <c r="BI115" s="23">
        <v>0.155</v>
      </c>
      <c r="BJ115" s="23">
        <v>1.04</v>
      </c>
      <c r="BK115" s="23">
        <v>2.5000000000000001E-3</v>
      </c>
      <c r="BL115" s="23">
        <v>-2.5000000000000001E-2</v>
      </c>
      <c r="BM115" s="23">
        <v>5.0000000000000001E-3</v>
      </c>
      <c r="BN115" s="23">
        <v>0</v>
      </c>
      <c r="BO115" s="23">
        <v>0</v>
      </c>
      <c r="BP115" s="23">
        <v>5.0000000000000001E-3</v>
      </c>
      <c r="BQ115" s="23">
        <v>5.0000000000000001E-3</v>
      </c>
      <c r="BR115" s="23">
        <v>0.45</v>
      </c>
      <c r="BS115">
        <v>0.02</v>
      </c>
      <c r="BT115">
        <v>4.2000000000000003E-2</v>
      </c>
      <c r="BU115">
        <v>4.2000000000000003E-2</v>
      </c>
      <c r="BV115">
        <v>0.03</v>
      </c>
    </row>
    <row r="116" spans="1:74" x14ac:dyDescent="0.25">
      <c r="A116" s="24" t="e">
        <f>#REF!-B116</f>
        <v>#REF!</v>
      </c>
      <c r="B116" s="24">
        <v>3.2830000000000004</v>
      </c>
      <c r="C116" s="138">
        <f t="shared" si="4"/>
        <v>40603</v>
      </c>
      <c r="D116">
        <v>3.9125000000000001</v>
      </c>
      <c r="E116" s="24">
        <v>0.18</v>
      </c>
      <c r="F116" s="23">
        <v>5.8263487713752699E-2</v>
      </c>
      <c r="G116" s="23">
        <v>-0.125</v>
      </c>
      <c r="H116" s="23">
        <v>-0.14499999999999999</v>
      </c>
      <c r="I116" s="27">
        <v>-0.01</v>
      </c>
      <c r="J116" s="27">
        <v>-0.13</v>
      </c>
      <c r="K116" s="23">
        <v>0</v>
      </c>
      <c r="L116" s="23">
        <v>-4.65E-2</v>
      </c>
      <c r="M116" s="23">
        <v>-8.1500000000000003E-2</v>
      </c>
      <c r="N116" s="23">
        <v>-0.115</v>
      </c>
      <c r="O116" s="23">
        <v>-0.115</v>
      </c>
      <c r="P116" s="23">
        <v>-0.125</v>
      </c>
      <c r="Q116" s="23">
        <v>-7.6999999999999999E-2</v>
      </c>
      <c r="R116" s="23">
        <v>-4.65E-2</v>
      </c>
      <c r="S116" s="23">
        <v>0.155</v>
      </c>
      <c r="T116" s="23">
        <v>0.17499999999999999</v>
      </c>
      <c r="U116" s="23">
        <v>0.13</v>
      </c>
      <c r="V116" s="23">
        <v>0.5</v>
      </c>
      <c r="W116" s="23">
        <v>0.19500000000000001</v>
      </c>
      <c r="X116" s="23">
        <v>0.28999999999999998</v>
      </c>
      <c r="Y116" s="23">
        <v>-1.2999999999999999E-2</v>
      </c>
      <c r="Z116" s="23">
        <v>-3.2000000000000001E-2</v>
      </c>
      <c r="AA116" s="23">
        <v>1.6E-2</v>
      </c>
      <c r="AB116" s="23">
        <v>-1.5E-3</v>
      </c>
      <c r="AC116" s="23">
        <v>2.5000000000000001E-3</v>
      </c>
      <c r="AD116" s="23">
        <v>-2.2499999999999999E-2</v>
      </c>
      <c r="AE116" s="23">
        <v>-7.4999999999999997E-2</v>
      </c>
      <c r="AF116" s="23">
        <v>-5.7500000000000002E-2</v>
      </c>
      <c r="AG116" s="23">
        <v>-0.08</v>
      </c>
      <c r="AH116" s="23">
        <v>-9.4999990000000003E-3</v>
      </c>
      <c r="AI116" s="23">
        <v>-6.4000000000000001E-2</v>
      </c>
      <c r="AJ116" s="23">
        <v>-0.1075</v>
      </c>
      <c r="AK116" s="23">
        <v>-8.9999989999999998E-3</v>
      </c>
      <c r="AL116" s="23">
        <v>3.1E-2</v>
      </c>
      <c r="AM116" s="23">
        <v>0.64</v>
      </c>
      <c r="AN116" s="23">
        <v>-1.7500000000000002E-2</v>
      </c>
      <c r="AO116" s="23">
        <v>-0.34</v>
      </c>
      <c r="AP116" s="23">
        <v>-7.0000000000000007E-2</v>
      </c>
      <c r="AQ116" s="23">
        <v>-0.13</v>
      </c>
      <c r="AR116" s="23">
        <v>6.8000000000000005E-2</v>
      </c>
      <c r="AS116" s="23">
        <v>-0.26</v>
      </c>
      <c r="AT116" s="23">
        <v>0</v>
      </c>
      <c r="AU116" s="23">
        <v>0.35</v>
      </c>
      <c r="AV116" s="23">
        <v>-0.34</v>
      </c>
      <c r="AW116" s="23">
        <v>-0.16550000000000001</v>
      </c>
      <c r="AX116" s="23">
        <v>-0.06</v>
      </c>
      <c r="AY116" s="23">
        <v>-0.1055</v>
      </c>
      <c r="AZ116" s="23">
        <v>-4.65E-2</v>
      </c>
      <c r="BA116" s="23">
        <v>-0.10100000000000001</v>
      </c>
      <c r="BB116" s="23">
        <v>-1.4500000000000001E-2</v>
      </c>
      <c r="BC116" s="23">
        <v>-6.6500000000000004E-2</v>
      </c>
      <c r="BD116" s="23">
        <v>-4.7500000000000001E-2</v>
      </c>
      <c r="BE116" s="23">
        <v>-7.4999999999999997E-2</v>
      </c>
      <c r="BF116" s="23">
        <v>0</v>
      </c>
      <c r="BG116" s="23">
        <v>0.17</v>
      </c>
      <c r="BH116" s="23">
        <v>0.17499999999999999</v>
      </c>
      <c r="BI116" s="23">
        <v>0.155</v>
      </c>
      <c r="BJ116" s="23">
        <v>0.54</v>
      </c>
      <c r="BK116" s="23">
        <v>2.5000000000000001E-3</v>
      </c>
      <c r="BL116" s="23">
        <v>-0.02</v>
      </c>
      <c r="BM116" s="23">
        <v>5.0000000000000001E-3</v>
      </c>
      <c r="BN116" s="23">
        <v>0</v>
      </c>
      <c r="BO116" s="23">
        <v>0</v>
      </c>
      <c r="BP116" s="23">
        <v>5.0000000000000001E-3</v>
      </c>
      <c r="BQ116" s="23">
        <v>5.0000000000000001E-3</v>
      </c>
      <c r="BR116" s="23">
        <v>0.1</v>
      </c>
      <c r="BS116">
        <v>0.02</v>
      </c>
      <c r="BT116">
        <v>4.2000000000000003E-2</v>
      </c>
      <c r="BU116">
        <v>4.2000000000000003E-2</v>
      </c>
      <c r="BV116">
        <v>0.03</v>
      </c>
    </row>
    <row r="117" spans="1:74" x14ac:dyDescent="0.25">
      <c r="A117" s="24" t="e">
        <f>#REF!-B117</f>
        <v>#REF!</v>
      </c>
      <c r="B117" s="24">
        <v>3.2949999999999999</v>
      </c>
      <c r="C117" s="138">
        <f t="shared" si="4"/>
        <v>40634</v>
      </c>
      <c r="D117">
        <v>3.7275</v>
      </c>
      <c r="E117" s="24">
        <v>0.18</v>
      </c>
      <c r="F117" s="23">
        <v>5.8366986188063602E-2</v>
      </c>
      <c r="G117" s="23">
        <v>-0.13</v>
      </c>
      <c r="H117" s="23">
        <v>-0.15</v>
      </c>
      <c r="I117" s="27">
        <v>-0.09</v>
      </c>
      <c r="J117" s="27">
        <v>-0.13</v>
      </c>
      <c r="K117" s="23">
        <v>-0.09</v>
      </c>
      <c r="L117" s="23">
        <v>-4.3999999999999997E-2</v>
      </c>
      <c r="M117" s="23">
        <v>-6.4000000000000001E-2</v>
      </c>
      <c r="N117" s="23">
        <v>-0.12</v>
      </c>
      <c r="O117" s="23">
        <v>-0.12</v>
      </c>
      <c r="P117" s="23">
        <v>-0.13</v>
      </c>
      <c r="Q117" s="23">
        <v>-5.7000000000000002E-2</v>
      </c>
      <c r="R117" s="23">
        <v>-4.3999999999999997E-2</v>
      </c>
      <c r="S117" s="23">
        <v>0.125</v>
      </c>
      <c r="T117" s="23">
        <v>0.14499999999999999</v>
      </c>
      <c r="U117" s="23">
        <v>0.04</v>
      </c>
      <c r="V117" s="23">
        <v>0.5</v>
      </c>
      <c r="W117" s="23">
        <v>0.14499999999999999</v>
      </c>
      <c r="X117" s="23">
        <v>0.19500000000000001</v>
      </c>
      <c r="Y117" s="23">
        <v>-1.55E-2</v>
      </c>
      <c r="Z117" s="23">
        <v>-4.7E-2</v>
      </c>
      <c r="AA117" s="23">
        <v>1.6E-2</v>
      </c>
      <c r="AB117" s="23">
        <v>-1.5E-3</v>
      </c>
      <c r="AC117" s="23">
        <v>2.5000000000000001E-3</v>
      </c>
      <c r="AD117" s="23">
        <v>-2.2499999999999999E-2</v>
      </c>
      <c r="AE117" s="23">
        <v>-7.2499999999999995E-2</v>
      </c>
      <c r="AF117" s="23">
        <v>-5.5E-2</v>
      </c>
      <c r="AG117" s="23">
        <v>-7.7499999999999999E-2</v>
      </c>
      <c r="AH117" s="23">
        <v>-1.4500000000000001E-2</v>
      </c>
      <c r="AI117" s="23">
        <v>-7.1999999999999995E-2</v>
      </c>
      <c r="AJ117" s="23">
        <v>-7.0000000000000007E-2</v>
      </c>
      <c r="AK117" s="23">
        <v>-1.7000000000000001E-2</v>
      </c>
      <c r="AL117" s="23">
        <v>2.3E-2</v>
      </c>
      <c r="AM117" s="23">
        <v>0.38</v>
      </c>
      <c r="AN117" s="23">
        <v>0.02</v>
      </c>
      <c r="AO117" s="23">
        <v>-0.45</v>
      </c>
      <c r="AP117" s="23">
        <v>-7.0000000000000007E-2</v>
      </c>
      <c r="AQ117" s="23">
        <v>-0.19500000000000001</v>
      </c>
      <c r="AR117" s="23">
        <v>-0.25</v>
      </c>
      <c r="AS117" s="23">
        <v>-0.37</v>
      </c>
      <c r="AT117" s="23">
        <v>0</v>
      </c>
      <c r="AU117" s="23">
        <v>0.43</v>
      </c>
      <c r="AV117" s="23">
        <v>-0.45</v>
      </c>
      <c r="AW117" s="23">
        <v>-0.20599999999999999</v>
      </c>
      <c r="AX117" s="23">
        <v>-0.06</v>
      </c>
      <c r="AY117" s="23">
        <v>-0.14599999999999999</v>
      </c>
      <c r="AZ117" s="23">
        <v>-4.3999999999999997E-2</v>
      </c>
      <c r="BA117" s="23">
        <v>-0.1235</v>
      </c>
      <c r="BB117" s="23">
        <v>-1.4500000000000001E-2</v>
      </c>
      <c r="BC117" s="23">
        <v>-4.9000000000000002E-2</v>
      </c>
      <c r="BD117" s="23">
        <v>-0.01</v>
      </c>
      <c r="BE117" s="23">
        <v>-7.2499999999999995E-2</v>
      </c>
      <c r="BF117" s="23">
        <v>0</v>
      </c>
      <c r="BG117" s="23">
        <v>0.14000000000000001</v>
      </c>
      <c r="BH117" s="23">
        <v>0.14499999999999999</v>
      </c>
      <c r="BI117" s="23">
        <v>0.125</v>
      </c>
      <c r="BJ117" s="23">
        <v>0.36</v>
      </c>
      <c r="BK117" s="23">
        <v>2.5000000000000001E-3</v>
      </c>
      <c r="BL117" s="23">
        <v>-1.4999999999999999E-2</v>
      </c>
      <c r="BM117" s="23">
        <v>5.0000000000000001E-3</v>
      </c>
      <c r="BN117" s="23">
        <v>-0.01</v>
      </c>
      <c r="BO117" s="23">
        <v>0</v>
      </c>
      <c r="BP117" s="23">
        <v>5.0000000000000001E-3</v>
      </c>
      <c r="BQ117" s="23">
        <v>2.5000000000000001E-3</v>
      </c>
      <c r="BR117" s="23">
        <v>0.02</v>
      </c>
      <c r="BS117">
        <v>5.0000000000000001E-3</v>
      </c>
      <c r="BT117">
        <v>4.2000000000000003E-2</v>
      </c>
      <c r="BU117">
        <v>4.2000000000000003E-2</v>
      </c>
      <c r="BV117">
        <v>0.03</v>
      </c>
    </row>
    <row r="118" spans="1:74" x14ac:dyDescent="0.25">
      <c r="A118" s="24" t="e">
        <f>#REF!-B118</f>
        <v>#REF!</v>
      </c>
      <c r="B118" s="24">
        <v>3.3769999999999998</v>
      </c>
      <c r="C118" s="138">
        <f t="shared" si="4"/>
        <v>40664</v>
      </c>
      <c r="D118">
        <v>3.7225000000000001</v>
      </c>
      <c r="E118" s="24">
        <v>0.18</v>
      </c>
      <c r="F118" s="23">
        <v>5.84671460053037E-2</v>
      </c>
      <c r="G118" s="23">
        <v>-0.13</v>
      </c>
      <c r="H118" s="23">
        <v>-0.15</v>
      </c>
      <c r="I118" s="27">
        <v>-0.09</v>
      </c>
      <c r="J118" s="27">
        <v>-0.13</v>
      </c>
      <c r="K118" s="23">
        <v>-0.09</v>
      </c>
      <c r="L118" s="23">
        <v>-4.3999999999999997E-2</v>
      </c>
      <c r="M118" s="23">
        <v>-6.4000000000000001E-2</v>
      </c>
      <c r="N118" s="23">
        <v>-0.12</v>
      </c>
      <c r="O118" s="23">
        <v>-0.12</v>
      </c>
      <c r="P118" s="23">
        <v>-0.13</v>
      </c>
      <c r="Q118" s="23">
        <v>-5.7000000000000002E-2</v>
      </c>
      <c r="R118" s="23">
        <v>-4.3999999999999997E-2</v>
      </c>
      <c r="S118" s="23">
        <v>0.125</v>
      </c>
      <c r="T118" s="23">
        <v>0.14499999999999999</v>
      </c>
      <c r="U118" s="23">
        <v>0.04</v>
      </c>
      <c r="V118" s="23">
        <v>0.5</v>
      </c>
      <c r="W118" s="23">
        <v>0.125</v>
      </c>
      <c r="X118" s="23">
        <v>0.13500000000000001</v>
      </c>
      <c r="Y118" s="23">
        <v>-1.55E-2</v>
      </c>
      <c r="Z118" s="23">
        <v>-4.7E-2</v>
      </c>
      <c r="AA118" s="23">
        <v>1.8499999999999999E-2</v>
      </c>
      <c r="AB118" s="23">
        <v>1E-3</v>
      </c>
      <c r="AC118" s="23">
        <v>2.5000000000000001E-3</v>
      </c>
      <c r="AD118" s="23">
        <v>-2.2499999999999999E-2</v>
      </c>
      <c r="AE118" s="23">
        <v>-7.2499999999999995E-2</v>
      </c>
      <c r="AF118" s="23">
        <v>-5.5E-2</v>
      </c>
      <c r="AG118" s="23">
        <v>-7.7499999999999999E-2</v>
      </c>
      <c r="AH118" s="23">
        <v>-1.4500000000000001E-2</v>
      </c>
      <c r="AI118" s="23">
        <v>-7.1999999999999995E-2</v>
      </c>
      <c r="AJ118" s="23">
        <v>-7.0000000000000007E-2</v>
      </c>
      <c r="AK118" s="23">
        <v>-1.7000000000000001E-2</v>
      </c>
      <c r="AL118" s="23">
        <v>2.3E-2</v>
      </c>
      <c r="AM118" s="23">
        <v>0.33</v>
      </c>
      <c r="AN118" s="23">
        <v>0.02</v>
      </c>
      <c r="AO118" s="23">
        <v>-0.45</v>
      </c>
      <c r="AP118" s="23">
        <v>-7.0000000000000007E-2</v>
      </c>
      <c r="AQ118" s="23">
        <v>-0.19500000000000001</v>
      </c>
      <c r="AR118" s="23">
        <v>-0.1</v>
      </c>
      <c r="AS118" s="23">
        <v>-0.37</v>
      </c>
      <c r="AT118" s="23">
        <v>0</v>
      </c>
      <c r="AU118" s="23">
        <v>0.43</v>
      </c>
      <c r="AV118" s="23">
        <v>-0.45</v>
      </c>
      <c r="AW118" s="23">
        <v>-0.1835</v>
      </c>
      <c r="AX118" s="23">
        <v>-0.06</v>
      </c>
      <c r="AY118" s="23">
        <v>-0.1235</v>
      </c>
      <c r="AZ118" s="23">
        <v>-4.3999999999999997E-2</v>
      </c>
      <c r="BA118" s="23">
        <v>-0.11600000000000001</v>
      </c>
      <c r="BB118" s="23">
        <v>-1.4500000000000001E-2</v>
      </c>
      <c r="BC118" s="23">
        <v>-4.9000000000000002E-2</v>
      </c>
      <c r="BD118" s="23">
        <v>-0.01</v>
      </c>
      <c r="BE118" s="23">
        <v>-7.2499999999999995E-2</v>
      </c>
      <c r="BF118" s="23">
        <v>0</v>
      </c>
      <c r="BG118" s="23">
        <v>0.14000000000000001</v>
      </c>
      <c r="BH118" s="23">
        <v>0.14499999999999999</v>
      </c>
      <c r="BI118" s="23">
        <v>0.125</v>
      </c>
      <c r="BJ118" s="23">
        <v>0.32500000000000001</v>
      </c>
      <c r="BK118" s="23">
        <v>2.5000000000000001E-3</v>
      </c>
      <c r="BL118" s="23">
        <v>-1.4999999999999999E-2</v>
      </c>
      <c r="BM118" s="23">
        <v>5.0000000000000001E-3</v>
      </c>
      <c r="BN118" s="23">
        <v>-0.01</v>
      </c>
      <c r="BO118" s="23">
        <v>0</v>
      </c>
      <c r="BP118" s="23">
        <v>5.0000000000000001E-3</v>
      </c>
      <c r="BQ118" s="23">
        <v>2.5000000000000001E-3</v>
      </c>
      <c r="BR118" s="23">
        <v>0.02</v>
      </c>
      <c r="BS118">
        <v>5.0000000000000001E-3</v>
      </c>
      <c r="BT118">
        <v>0</v>
      </c>
      <c r="BU118">
        <v>0</v>
      </c>
      <c r="BV118">
        <v>0.03</v>
      </c>
    </row>
    <row r="119" spans="1:74" x14ac:dyDescent="0.25">
      <c r="A119" s="24" t="e">
        <f>#REF!-B119</f>
        <v>#REF!</v>
      </c>
      <c r="B119" s="24">
        <v>3.468</v>
      </c>
      <c r="C119" s="138">
        <f t="shared" si="4"/>
        <v>40695</v>
      </c>
      <c r="D119">
        <v>3.7574999999999998</v>
      </c>
      <c r="E119" s="24">
        <v>0.18</v>
      </c>
      <c r="F119" s="23">
        <v>5.8570644486623601E-2</v>
      </c>
      <c r="G119" s="23">
        <v>-0.13</v>
      </c>
      <c r="H119" s="23">
        <v>-0.15</v>
      </c>
      <c r="I119" s="27">
        <v>-0.09</v>
      </c>
      <c r="J119" s="27">
        <v>-0.13</v>
      </c>
      <c r="K119" s="23">
        <v>-0.09</v>
      </c>
      <c r="L119" s="23">
        <v>-4.3999999999999997E-2</v>
      </c>
      <c r="M119" s="23">
        <v>-6.4000000000000001E-2</v>
      </c>
      <c r="N119" s="23">
        <v>-0.12</v>
      </c>
      <c r="O119" s="23">
        <v>-0.12</v>
      </c>
      <c r="P119" s="23">
        <v>-0.13</v>
      </c>
      <c r="Q119" s="23">
        <v>-5.45E-2</v>
      </c>
      <c r="R119" s="23">
        <v>-4.3999999999999997E-2</v>
      </c>
      <c r="S119" s="23">
        <v>0.125</v>
      </c>
      <c r="T119" s="23">
        <v>0.14499999999999999</v>
      </c>
      <c r="U119" s="23">
        <v>0.04</v>
      </c>
      <c r="V119" s="23">
        <v>0.5</v>
      </c>
      <c r="W119" s="23">
        <v>0.14499999999999999</v>
      </c>
      <c r="X119" s="23">
        <v>0.16500000000000001</v>
      </c>
      <c r="Y119" s="23">
        <v>-1.55E-2</v>
      </c>
      <c r="Z119" s="23">
        <v>-4.4499999999999998E-2</v>
      </c>
      <c r="AA119" s="23">
        <v>1.8499999999999999E-2</v>
      </c>
      <c r="AB119" s="23">
        <v>1E-3</v>
      </c>
      <c r="AC119" s="23">
        <v>2.5000000000000001E-3</v>
      </c>
      <c r="AD119" s="23">
        <v>-2.2499999999999999E-2</v>
      </c>
      <c r="AE119" s="23">
        <v>-7.2499999999999995E-2</v>
      </c>
      <c r="AF119" s="23">
        <v>-5.5E-2</v>
      </c>
      <c r="AG119" s="23">
        <v>-7.7499999999999999E-2</v>
      </c>
      <c r="AH119" s="23">
        <v>-1.4500000000000001E-2</v>
      </c>
      <c r="AI119" s="23">
        <v>-7.1999999999999995E-2</v>
      </c>
      <c r="AJ119" s="23">
        <v>-6.5000000000000002E-2</v>
      </c>
      <c r="AK119" s="23">
        <v>-1.7000000000000001E-2</v>
      </c>
      <c r="AL119" s="23">
        <v>2.3E-2</v>
      </c>
      <c r="AM119" s="23">
        <v>0.37</v>
      </c>
      <c r="AN119" s="23">
        <v>2.5000000000000001E-2</v>
      </c>
      <c r="AO119" s="23">
        <v>-0.45</v>
      </c>
      <c r="AP119" s="23">
        <v>-7.0000000000000007E-2</v>
      </c>
      <c r="AQ119" s="23">
        <v>-0.19500000000000001</v>
      </c>
      <c r="AR119" s="23">
        <v>-0.1</v>
      </c>
      <c r="AS119" s="23">
        <v>-0.37</v>
      </c>
      <c r="AT119" s="23">
        <v>0</v>
      </c>
      <c r="AU119" s="23">
        <v>0.43</v>
      </c>
      <c r="AV119" s="23">
        <v>-0.45</v>
      </c>
      <c r="AW119" s="23">
        <v>-0.13100000000000001</v>
      </c>
      <c r="AX119" s="23">
        <v>-0.06</v>
      </c>
      <c r="AY119" s="23">
        <v>-7.0999999999999994E-2</v>
      </c>
      <c r="AZ119" s="23">
        <v>-4.3999999999999997E-2</v>
      </c>
      <c r="BA119" s="23">
        <v>-7.3499999999999996E-2</v>
      </c>
      <c r="BB119" s="23">
        <v>-1.4500000000000001E-2</v>
      </c>
      <c r="BC119" s="23">
        <v>-4.9000000000000002E-2</v>
      </c>
      <c r="BD119" s="23">
        <v>-5.0000000000000001E-3</v>
      </c>
      <c r="BE119" s="23">
        <v>-7.2499999999999995E-2</v>
      </c>
      <c r="BF119" s="23">
        <v>0</v>
      </c>
      <c r="BG119" s="23">
        <v>0.14000000000000001</v>
      </c>
      <c r="BH119" s="23">
        <v>0.14499999999999999</v>
      </c>
      <c r="BI119" s="23">
        <v>0.125</v>
      </c>
      <c r="BJ119" s="23">
        <v>0.33500000000000002</v>
      </c>
      <c r="BK119" s="23">
        <v>2.5000000000000001E-3</v>
      </c>
      <c r="BL119" s="23">
        <v>-1.4999999999999999E-2</v>
      </c>
      <c r="BM119" s="23">
        <v>5.0000000000000001E-3</v>
      </c>
      <c r="BN119" s="23">
        <v>-0.01</v>
      </c>
      <c r="BO119" s="23">
        <v>0</v>
      </c>
      <c r="BP119" s="23">
        <v>5.0000000000000001E-3</v>
      </c>
      <c r="BQ119" s="23">
        <v>2.5000000000000001E-3</v>
      </c>
      <c r="BR119" s="23">
        <v>3.5000000000000003E-2</v>
      </c>
      <c r="BS119">
        <v>5.0000000000000001E-3</v>
      </c>
      <c r="BT119">
        <v>0</v>
      </c>
      <c r="BU119">
        <v>0</v>
      </c>
      <c r="BV119">
        <v>0.03</v>
      </c>
    </row>
    <row r="120" spans="1:74" x14ac:dyDescent="0.25">
      <c r="A120" s="24" t="e">
        <f>#REF!-B120</f>
        <v>#REF!</v>
      </c>
      <c r="B120" s="24">
        <v>3.722</v>
      </c>
      <c r="C120" s="138">
        <f t="shared" si="4"/>
        <v>40725</v>
      </c>
      <c r="D120">
        <v>3.7974999999999999</v>
      </c>
      <c r="E120" s="24">
        <v>0.18</v>
      </c>
      <c r="F120" s="23">
        <v>5.86708043106468E-2</v>
      </c>
      <c r="G120" s="23">
        <v>-0.13</v>
      </c>
      <c r="H120" s="23">
        <v>-0.15</v>
      </c>
      <c r="I120" s="27">
        <v>-0.09</v>
      </c>
      <c r="J120" s="27">
        <v>-0.13</v>
      </c>
      <c r="K120" s="23">
        <v>-0.09</v>
      </c>
      <c r="L120" s="23">
        <v>-4.3999999999999997E-2</v>
      </c>
      <c r="M120" s="23">
        <v>-6.4000000000000001E-2</v>
      </c>
      <c r="N120" s="23">
        <v>-0.12</v>
      </c>
      <c r="O120" s="23">
        <v>-0.12</v>
      </c>
      <c r="P120" s="23">
        <v>-0.13</v>
      </c>
      <c r="Q120" s="23">
        <v>-5.3249999999999999E-2</v>
      </c>
      <c r="R120" s="23">
        <v>-4.3999999999999997E-2</v>
      </c>
      <c r="S120" s="23">
        <v>0.125</v>
      </c>
      <c r="T120" s="23">
        <v>0.14499999999999999</v>
      </c>
      <c r="U120" s="23">
        <v>0.04</v>
      </c>
      <c r="V120" s="23">
        <v>0.5</v>
      </c>
      <c r="W120" s="23">
        <v>0.15</v>
      </c>
      <c r="X120" s="23">
        <v>0.20499999999999999</v>
      </c>
      <c r="Y120" s="23">
        <v>-1.55E-2</v>
      </c>
      <c r="Z120" s="23">
        <v>-4.4499999999999998E-2</v>
      </c>
      <c r="AA120" s="23">
        <v>1.8499999999999999E-2</v>
      </c>
      <c r="AB120" s="23">
        <v>1E-3</v>
      </c>
      <c r="AC120" s="23">
        <v>2.5000000000000001E-3</v>
      </c>
      <c r="AD120" s="23">
        <v>-2.2499999999999999E-2</v>
      </c>
      <c r="AE120" s="23">
        <v>-7.2499999999999995E-2</v>
      </c>
      <c r="AF120" s="23">
        <v>-5.5E-2</v>
      </c>
      <c r="AG120" s="23">
        <v>-7.7499999999999999E-2</v>
      </c>
      <c r="AH120" s="23">
        <v>-1.4500000000000001E-2</v>
      </c>
      <c r="AI120" s="23">
        <v>-7.1999999999999995E-2</v>
      </c>
      <c r="AJ120" s="23">
        <v>-6.25E-2</v>
      </c>
      <c r="AK120" s="23">
        <v>-1.7000000000000001E-2</v>
      </c>
      <c r="AL120" s="23">
        <v>2.3E-2</v>
      </c>
      <c r="AM120" s="23">
        <v>0.41</v>
      </c>
      <c r="AN120" s="23">
        <v>2.75E-2</v>
      </c>
      <c r="AO120" s="23">
        <v>-0.45</v>
      </c>
      <c r="AP120" s="23">
        <v>-7.0000000000000007E-2</v>
      </c>
      <c r="AQ120" s="23">
        <v>-0.19500000000000001</v>
      </c>
      <c r="AR120" s="23">
        <v>-0.1</v>
      </c>
      <c r="AS120" s="23">
        <v>-0.37</v>
      </c>
      <c r="AT120" s="23">
        <v>0</v>
      </c>
      <c r="AU120" s="23">
        <v>0.43</v>
      </c>
      <c r="AV120" s="23">
        <v>-0.45</v>
      </c>
      <c r="AW120" s="23">
        <v>-0.14099999999999999</v>
      </c>
      <c r="AX120" s="23">
        <v>-0.06</v>
      </c>
      <c r="AY120" s="23">
        <v>-8.1000000000000003E-2</v>
      </c>
      <c r="AZ120" s="23">
        <v>-4.3999999999999997E-2</v>
      </c>
      <c r="BA120" s="23">
        <v>-7.0999999999999994E-2</v>
      </c>
      <c r="BB120" s="23">
        <v>-1.4500000000000001E-2</v>
      </c>
      <c r="BC120" s="23">
        <v>-4.9000000000000002E-2</v>
      </c>
      <c r="BD120" s="23">
        <v>-2.5000000000000001E-3</v>
      </c>
      <c r="BE120" s="23">
        <v>-7.2499999999999995E-2</v>
      </c>
      <c r="BF120" s="23">
        <v>0</v>
      </c>
      <c r="BG120" s="23">
        <v>0.14000000000000001</v>
      </c>
      <c r="BH120" s="23">
        <v>0.14499999999999999</v>
      </c>
      <c r="BI120" s="23">
        <v>0.125</v>
      </c>
      <c r="BJ120" s="23">
        <v>0.35</v>
      </c>
      <c r="BK120" s="23">
        <v>2.5000000000000001E-3</v>
      </c>
      <c r="BL120" s="23">
        <v>-0.01</v>
      </c>
      <c r="BM120" s="23">
        <v>5.0000000000000001E-3</v>
      </c>
      <c r="BN120" s="23">
        <v>-0.01</v>
      </c>
      <c r="BO120" s="23">
        <v>0</v>
      </c>
      <c r="BP120" s="23">
        <v>5.0000000000000001E-3</v>
      </c>
      <c r="BQ120" s="23">
        <v>2.5000000000000001E-3</v>
      </c>
      <c r="BR120" s="23">
        <v>3.5000000000000003E-2</v>
      </c>
      <c r="BS120">
        <v>5.0000000000000001E-3</v>
      </c>
      <c r="BT120">
        <v>0</v>
      </c>
      <c r="BU120">
        <v>0</v>
      </c>
      <c r="BV120">
        <v>0.03</v>
      </c>
    </row>
    <row r="121" spans="1:74" x14ac:dyDescent="0.25">
      <c r="A121" s="24" t="e">
        <f>#REF!-B121</f>
        <v>#REF!</v>
      </c>
      <c r="B121" s="24">
        <v>3.6230000000000002</v>
      </c>
      <c r="C121" s="138">
        <f t="shared" si="4"/>
        <v>40756</v>
      </c>
      <c r="D121">
        <v>3.8374999999999999</v>
      </c>
      <c r="E121" s="24">
        <v>0.18</v>
      </c>
      <c r="F121" s="23">
        <v>5.8774302798974401E-2</v>
      </c>
      <c r="G121" s="23">
        <v>-0.13</v>
      </c>
      <c r="H121" s="23">
        <v>-0.15</v>
      </c>
      <c r="I121" s="27">
        <v>-0.09</v>
      </c>
      <c r="J121" s="27">
        <v>-0.13</v>
      </c>
      <c r="K121" s="23">
        <v>-0.09</v>
      </c>
      <c r="L121" s="23">
        <v>-4.3999999999999997E-2</v>
      </c>
      <c r="M121" s="23">
        <v>-6.4000000000000001E-2</v>
      </c>
      <c r="N121" s="23">
        <v>-0.12</v>
      </c>
      <c r="O121" s="23">
        <v>-0.12</v>
      </c>
      <c r="P121" s="23">
        <v>-0.13</v>
      </c>
      <c r="Q121" s="23">
        <v>-5.1999999999999998E-2</v>
      </c>
      <c r="R121" s="23">
        <v>-4.3999999999999997E-2</v>
      </c>
      <c r="S121" s="23">
        <v>0.125</v>
      </c>
      <c r="T121" s="23">
        <v>0.14499999999999999</v>
      </c>
      <c r="U121" s="23">
        <v>0.04</v>
      </c>
      <c r="V121" s="23">
        <v>0.5</v>
      </c>
      <c r="W121" s="23">
        <v>0.15</v>
      </c>
      <c r="X121" s="23">
        <v>0.20499999999999999</v>
      </c>
      <c r="Y121" s="23">
        <v>-1.55E-2</v>
      </c>
      <c r="Z121" s="23">
        <v>-4.4499999999999998E-2</v>
      </c>
      <c r="AA121" s="23">
        <v>1.35E-2</v>
      </c>
      <c r="AB121" s="23">
        <v>-4.0000000000000001E-3</v>
      </c>
      <c r="AC121" s="23">
        <v>2.5000000000000001E-3</v>
      </c>
      <c r="AD121" s="23">
        <v>-2.2499999999999999E-2</v>
      </c>
      <c r="AE121" s="23">
        <v>-7.2499999999999995E-2</v>
      </c>
      <c r="AF121" s="23">
        <v>-5.5E-2</v>
      </c>
      <c r="AG121" s="23">
        <v>-7.7499999999999999E-2</v>
      </c>
      <c r="AH121" s="23">
        <v>-1.4500000000000001E-2</v>
      </c>
      <c r="AI121" s="23">
        <v>-7.1999999999999995E-2</v>
      </c>
      <c r="AJ121" s="23">
        <v>-0.06</v>
      </c>
      <c r="AK121" s="23">
        <v>-1.7000000000000001E-2</v>
      </c>
      <c r="AL121" s="23">
        <v>2.3E-2</v>
      </c>
      <c r="AM121" s="23">
        <v>0.41</v>
      </c>
      <c r="AN121" s="23">
        <v>0.03</v>
      </c>
      <c r="AO121" s="23">
        <v>-0.45</v>
      </c>
      <c r="AP121" s="23">
        <v>-7.0000000000000007E-2</v>
      </c>
      <c r="AQ121" s="23">
        <v>-0.19500000000000001</v>
      </c>
      <c r="AR121" s="23">
        <v>-0.1</v>
      </c>
      <c r="AS121" s="23">
        <v>-0.37</v>
      </c>
      <c r="AT121" s="23">
        <v>0</v>
      </c>
      <c r="AU121" s="23">
        <v>0.43</v>
      </c>
      <c r="AV121" s="23">
        <v>-0.45</v>
      </c>
      <c r="AW121" s="23">
        <v>-0.13600000000000001</v>
      </c>
      <c r="AX121" s="23">
        <v>-0.06</v>
      </c>
      <c r="AY121" s="23">
        <v>-7.5999999999999998E-2</v>
      </c>
      <c r="AZ121" s="23">
        <v>-4.3999999999999997E-2</v>
      </c>
      <c r="BA121" s="23">
        <v>-6.8500000000000005E-2</v>
      </c>
      <c r="BB121" s="23">
        <v>-1.4500000000000001E-2</v>
      </c>
      <c r="BC121" s="23">
        <v>-4.9000000000000002E-2</v>
      </c>
      <c r="BD121" s="23">
        <v>0</v>
      </c>
      <c r="BE121" s="23">
        <v>-7.2499999999999995E-2</v>
      </c>
      <c r="BF121" s="23">
        <v>0</v>
      </c>
      <c r="BG121" s="23">
        <v>0.14000000000000001</v>
      </c>
      <c r="BH121" s="23">
        <v>0.14499999999999999</v>
      </c>
      <c r="BI121" s="23">
        <v>0.125</v>
      </c>
      <c r="BJ121" s="23">
        <v>0.35</v>
      </c>
      <c r="BK121" s="23">
        <v>2.5000000000000001E-3</v>
      </c>
      <c r="BL121" s="23">
        <v>-0.01</v>
      </c>
      <c r="BM121" s="23">
        <v>5.0000000000000001E-3</v>
      </c>
      <c r="BN121" s="23">
        <v>-0.01</v>
      </c>
      <c r="BO121" s="23">
        <v>0</v>
      </c>
      <c r="BP121" s="23">
        <v>5.0000000000000001E-3</v>
      </c>
      <c r="BQ121" s="23">
        <v>2.5000000000000001E-3</v>
      </c>
      <c r="BR121" s="23">
        <v>0.01</v>
      </c>
      <c r="BS121">
        <v>5.0000000000000001E-3</v>
      </c>
      <c r="BT121">
        <v>0</v>
      </c>
      <c r="BU121">
        <v>0</v>
      </c>
      <c r="BV121">
        <v>0.03</v>
      </c>
    </row>
    <row r="122" spans="1:74" x14ac:dyDescent="0.25">
      <c r="A122" s="24" t="e">
        <f>#REF!-B122</f>
        <v>#REF!</v>
      </c>
      <c r="B122" s="24">
        <v>3.4860000000000002</v>
      </c>
      <c r="C122" s="138">
        <f t="shared" si="4"/>
        <v>40787</v>
      </c>
      <c r="D122">
        <v>3.8325</v>
      </c>
      <c r="E122" s="24">
        <v>0.18</v>
      </c>
      <c r="F122" s="23">
        <v>5.8877801290863702E-2</v>
      </c>
      <c r="G122" s="23">
        <v>-0.13</v>
      </c>
      <c r="H122" s="23">
        <v>-0.15</v>
      </c>
      <c r="I122" s="27">
        <v>-0.09</v>
      </c>
      <c r="J122" s="27">
        <v>-0.13</v>
      </c>
      <c r="K122" s="23">
        <v>-0.09</v>
      </c>
      <c r="L122" s="23">
        <v>-4.3999999999999997E-2</v>
      </c>
      <c r="M122" s="23">
        <v>-6.4000000000000001E-2</v>
      </c>
      <c r="N122" s="23">
        <v>-0.12</v>
      </c>
      <c r="O122" s="23">
        <v>-0.12</v>
      </c>
      <c r="P122" s="23">
        <v>-0.13</v>
      </c>
      <c r="Q122" s="23">
        <v>-5.5750000000000001E-2</v>
      </c>
      <c r="R122" s="23">
        <v>-4.3999999999999997E-2</v>
      </c>
      <c r="S122" s="23">
        <v>0.125</v>
      </c>
      <c r="T122" s="23">
        <v>0.14499999999999999</v>
      </c>
      <c r="U122" s="23">
        <v>0.04</v>
      </c>
      <c r="V122" s="23">
        <v>0.5</v>
      </c>
      <c r="W122" s="23">
        <v>0.125</v>
      </c>
      <c r="X122" s="23">
        <v>0.14499999999999999</v>
      </c>
      <c r="Y122" s="23">
        <v>-1.55E-2</v>
      </c>
      <c r="Z122" s="23">
        <v>-4.9500000000000002E-2</v>
      </c>
      <c r="AA122" s="23">
        <v>1.35E-2</v>
      </c>
      <c r="AB122" s="23">
        <v>-4.0000000000000001E-3</v>
      </c>
      <c r="AC122" s="23">
        <v>2.5000000000000001E-3</v>
      </c>
      <c r="AD122" s="23">
        <v>-2.2499999999999999E-2</v>
      </c>
      <c r="AE122" s="23">
        <v>-7.2499999999999995E-2</v>
      </c>
      <c r="AF122" s="23">
        <v>-5.5E-2</v>
      </c>
      <c r="AG122" s="23">
        <v>-7.7499999999999999E-2</v>
      </c>
      <c r="AH122" s="23">
        <v>-1.4500000000000001E-2</v>
      </c>
      <c r="AI122" s="23">
        <v>-7.1999999999999995E-2</v>
      </c>
      <c r="AJ122" s="23">
        <v>-6.7500000000000004E-2</v>
      </c>
      <c r="AK122" s="23">
        <v>-1.7000000000000001E-2</v>
      </c>
      <c r="AL122" s="23">
        <v>2.3E-2</v>
      </c>
      <c r="AM122" s="23">
        <v>0.36</v>
      </c>
      <c r="AN122" s="23">
        <v>2.2499999999999999E-2</v>
      </c>
      <c r="AO122" s="23">
        <v>-0.45</v>
      </c>
      <c r="AP122" s="23">
        <v>-7.0000000000000007E-2</v>
      </c>
      <c r="AQ122" s="23">
        <v>-0.19500000000000001</v>
      </c>
      <c r="AR122" s="23">
        <v>-0.1</v>
      </c>
      <c r="AS122" s="23">
        <v>-0.37</v>
      </c>
      <c r="AT122" s="23">
        <v>0</v>
      </c>
      <c r="AU122" s="23">
        <v>0.43</v>
      </c>
      <c r="AV122" s="23">
        <v>-0.45</v>
      </c>
      <c r="AW122" s="23">
        <v>-0.14599999999999999</v>
      </c>
      <c r="AX122" s="23">
        <v>-0.06</v>
      </c>
      <c r="AY122" s="23">
        <v>-8.5999999999999993E-2</v>
      </c>
      <c r="AZ122" s="23">
        <v>-4.3999999999999997E-2</v>
      </c>
      <c r="BA122" s="23">
        <v>-7.3499999999999996E-2</v>
      </c>
      <c r="BB122" s="23">
        <v>-1.4500000000000001E-2</v>
      </c>
      <c r="BC122" s="23">
        <v>-4.9000000000000002E-2</v>
      </c>
      <c r="BD122" s="23">
        <v>-7.4999999999999997E-3</v>
      </c>
      <c r="BE122" s="23">
        <v>-7.2499999999999995E-2</v>
      </c>
      <c r="BF122" s="23">
        <v>0</v>
      </c>
      <c r="BG122" s="23">
        <v>0.14000000000000001</v>
      </c>
      <c r="BH122" s="23">
        <v>0.14499999999999999</v>
      </c>
      <c r="BI122" s="23">
        <v>0.125</v>
      </c>
      <c r="BJ122" s="23">
        <v>0.315</v>
      </c>
      <c r="BK122" s="23">
        <v>2.5000000000000001E-3</v>
      </c>
      <c r="BL122" s="23">
        <v>-0.01</v>
      </c>
      <c r="BM122" s="23">
        <v>5.0000000000000001E-3</v>
      </c>
      <c r="BN122" s="23">
        <v>-0.01</v>
      </c>
      <c r="BO122" s="23">
        <v>0</v>
      </c>
      <c r="BP122" s="23">
        <v>5.0000000000000001E-3</v>
      </c>
      <c r="BQ122" s="23">
        <v>2.5000000000000001E-3</v>
      </c>
      <c r="BR122" s="23">
        <v>0.01</v>
      </c>
      <c r="BS122">
        <v>5.0000000000000001E-3</v>
      </c>
      <c r="BT122">
        <v>0</v>
      </c>
      <c r="BU122">
        <v>0</v>
      </c>
      <c r="BV122">
        <v>0.03</v>
      </c>
    </row>
    <row r="123" spans="1:74" x14ac:dyDescent="0.25">
      <c r="A123" s="24" t="e">
        <f>#REF!-B123</f>
        <v>#REF!</v>
      </c>
      <c r="B123" s="24">
        <v>3.3519999999999999</v>
      </c>
      <c r="C123" s="138">
        <f t="shared" si="4"/>
        <v>40817</v>
      </c>
      <c r="D123">
        <v>3.8574999999999999</v>
      </c>
      <c r="E123" s="24">
        <v>0.18</v>
      </c>
      <c r="F123" s="23">
        <v>5.8977961125114199E-2</v>
      </c>
      <c r="G123" s="23">
        <v>-0.13</v>
      </c>
      <c r="H123" s="23">
        <v>-0.15</v>
      </c>
      <c r="I123" s="27">
        <v>-0.09</v>
      </c>
      <c r="J123" s="27">
        <v>-0.13</v>
      </c>
      <c r="K123" s="23">
        <v>-0.09</v>
      </c>
      <c r="L123" s="23">
        <v>-4.3999999999999997E-2</v>
      </c>
      <c r="M123" s="23">
        <v>-6.4000000000000001E-2</v>
      </c>
      <c r="N123" s="23">
        <v>-0.12</v>
      </c>
      <c r="O123" s="23">
        <v>-0.12</v>
      </c>
      <c r="P123" s="23">
        <v>-0.13</v>
      </c>
      <c r="Q123" s="23">
        <v>-6.0749999999999998E-2</v>
      </c>
      <c r="R123" s="23">
        <v>-4.3999999999999997E-2</v>
      </c>
      <c r="S123" s="23">
        <v>0.125</v>
      </c>
      <c r="T123" s="23">
        <v>0.14499999999999999</v>
      </c>
      <c r="U123" s="23">
        <v>0.04</v>
      </c>
      <c r="V123" s="23">
        <v>0.5</v>
      </c>
      <c r="W123" s="23">
        <v>0.14499999999999999</v>
      </c>
      <c r="X123" s="23">
        <v>0.17499999999999999</v>
      </c>
      <c r="Y123" s="23">
        <v>-1.55E-2</v>
      </c>
      <c r="Z123" s="23">
        <v>-4.9500000000000002E-2</v>
      </c>
      <c r="AA123" s="23">
        <v>8.5000000000000006E-3</v>
      </c>
      <c r="AB123" s="23">
        <v>-8.9999999999999993E-3</v>
      </c>
      <c r="AC123" s="23">
        <v>2.5000000000000001E-3</v>
      </c>
      <c r="AD123" s="23">
        <v>-2.2499999999999999E-2</v>
      </c>
      <c r="AE123" s="23">
        <v>-7.2499999999999995E-2</v>
      </c>
      <c r="AF123" s="23">
        <v>-5.5E-2</v>
      </c>
      <c r="AG123" s="23">
        <v>-7.7499999999999999E-2</v>
      </c>
      <c r="AH123" s="23">
        <v>-1.4500000000000001E-2</v>
      </c>
      <c r="AI123" s="23">
        <v>-7.1999999999999995E-2</v>
      </c>
      <c r="AJ123" s="23">
        <v>-7.7499999999999999E-2</v>
      </c>
      <c r="AK123" s="23">
        <v>-1.7000000000000001E-2</v>
      </c>
      <c r="AL123" s="23">
        <v>2.3E-2</v>
      </c>
      <c r="AM123" s="23">
        <v>0.4</v>
      </c>
      <c r="AN123" s="23">
        <v>1.2500000000000001E-2</v>
      </c>
      <c r="AO123" s="23">
        <v>-0.45</v>
      </c>
      <c r="AP123" s="23">
        <v>-7.0000000000000007E-2</v>
      </c>
      <c r="AQ123" s="23">
        <v>-0.19500000000000001</v>
      </c>
      <c r="AR123" s="23">
        <v>-0.1</v>
      </c>
      <c r="AS123" s="23">
        <v>-0.37</v>
      </c>
      <c r="AT123" s="23">
        <v>0</v>
      </c>
      <c r="AU123" s="23">
        <v>0.43</v>
      </c>
      <c r="AV123" s="23">
        <v>-0.45</v>
      </c>
      <c r="AW123" s="23">
        <v>-0.13350000000000001</v>
      </c>
      <c r="AX123" s="23">
        <v>-0.06</v>
      </c>
      <c r="AY123" s="23">
        <v>-7.3499999999999996E-2</v>
      </c>
      <c r="AZ123" s="23">
        <v>-4.3999999999999997E-2</v>
      </c>
      <c r="BA123" s="23">
        <v>-7.5999999999999998E-2</v>
      </c>
      <c r="BB123" s="23">
        <v>-1.4500000000000001E-2</v>
      </c>
      <c r="BC123" s="23">
        <v>-4.9000000000000002E-2</v>
      </c>
      <c r="BD123" s="23">
        <v>-1.7500000000000002E-2</v>
      </c>
      <c r="BE123" s="23">
        <v>-7.2499999999999995E-2</v>
      </c>
      <c r="BF123" s="23">
        <v>0</v>
      </c>
      <c r="BG123" s="23">
        <v>0.14000000000000001</v>
      </c>
      <c r="BH123" s="23">
        <v>0.14499999999999999</v>
      </c>
      <c r="BI123" s="23">
        <v>0.125</v>
      </c>
      <c r="BJ123" s="23">
        <v>0.36</v>
      </c>
      <c r="BK123" s="23">
        <v>2.5000000000000001E-3</v>
      </c>
      <c r="BL123" s="23">
        <v>-1.4999999999999999E-2</v>
      </c>
      <c r="BM123" s="23">
        <v>5.0000000000000001E-3</v>
      </c>
      <c r="BN123" s="23">
        <v>-0.01</v>
      </c>
      <c r="BO123" s="23">
        <v>0</v>
      </c>
      <c r="BP123" s="23">
        <v>5.0000000000000001E-3</v>
      </c>
      <c r="BQ123" s="23">
        <v>2.5000000000000001E-3</v>
      </c>
      <c r="BR123" s="23">
        <v>0.01</v>
      </c>
      <c r="BS123">
        <v>5.0000000000000001E-3</v>
      </c>
      <c r="BT123">
        <v>0</v>
      </c>
      <c r="BU123">
        <v>0</v>
      </c>
      <c r="BV123">
        <v>0.03</v>
      </c>
    </row>
    <row r="124" spans="1:74" x14ac:dyDescent="0.25">
      <c r="A124" s="24" t="e">
        <f>#REF!-B124</f>
        <v>#REF!</v>
      </c>
      <c r="B124" s="24">
        <v>3.3310000000000004</v>
      </c>
      <c r="C124" s="138">
        <f t="shared" si="4"/>
        <v>40848</v>
      </c>
      <c r="D124">
        <v>4.0095000000000001</v>
      </c>
      <c r="E124" s="24">
        <v>0.18</v>
      </c>
      <c r="F124" s="23">
        <v>5.9081459624010797E-2</v>
      </c>
      <c r="G124" s="23">
        <v>-0.13</v>
      </c>
      <c r="H124" s="23">
        <v>-0.15</v>
      </c>
      <c r="I124" s="27">
        <v>-0.01</v>
      </c>
      <c r="J124" s="27">
        <v>-0.13</v>
      </c>
      <c r="K124" s="23">
        <v>0</v>
      </c>
      <c r="L124" s="23">
        <v>-4.3499999999999997E-2</v>
      </c>
      <c r="M124" s="23">
        <v>-7.85E-2</v>
      </c>
      <c r="N124" s="23">
        <v>-0.12</v>
      </c>
      <c r="O124" s="23">
        <v>-0.12</v>
      </c>
      <c r="P124" s="23">
        <v>-0.13</v>
      </c>
      <c r="Q124" s="23">
        <v>-7.8E-2</v>
      </c>
      <c r="R124" s="23">
        <v>-4.3499999999999997E-2</v>
      </c>
      <c r="S124" s="23">
        <v>0.155</v>
      </c>
      <c r="T124" s="23">
        <v>0.17499999999999999</v>
      </c>
      <c r="U124" s="23">
        <v>0.13</v>
      </c>
      <c r="V124" s="23">
        <v>0.5</v>
      </c>
      <c r="W124" s="23">
        <v>0.19500000000000001</v>
      </c>
      <c r="X124" s="23">
        <v>0.21</v>
      </c>
      <c r="Y124" s="23">
        <v>-1.2999999999999999E-2</v>
      </c>
      <c r="Z124" s="23">
        <v>-3.0499999999999999E-2</v>
      </c>
      <c r="AA124" s="23">
        <v>9.4999999999999998E-3</v>
      </c>
      <c r="AB124" s="23">
        <v>-8.0000000000000002E-3</v>
      </c>
      <c r="AC124" s="23">
        <v>2.5000000000000001E-3</v>
      </c>
      <c r="AD124" s="23">
        <v>-2.2499999999999999E-2</v>
      </c>
      <c r="AE124" s="23">
        <v>-7.4999999999999997E-2</v>
      </c>
      <c r="AF124" s="23">
        <v>-5.7500000000000002E-2</v>
      </c>
      <c r="AG124" s="23">
        <v>-0.08</v>
      </c>
      <c r="AH124" s="23">
        <v>-1.0999999999999999E-2</v>
      </c>
      <c r="AI124" s="23">
        <v>-6.4000000000000001E-2</v>
      </c>
      <c r="AJ124" s="23">
        <v>-0.1125</v>
      </c>
      <c r="AK124" s="23">
        <v>-8.9999989999999998E-3</v>
      </c>
      <c r="AL124" s="23">
        <v>3.1E-2</v>
      </c>
      <c r="AM124" s="23">
        <v>0.65</v>
      </c>
      <c r="AN124" s="23">
        <v>-2.2499999999999999E-2</v>
      </c>
      <c r="AO124" s="23">
        <v>-0.34</v>
      </c>
      <c r="AP124" s="23">
        <v>-7.0000000000000007E-2</v>
      </c>
      <c r="AQ124" s="23">
        <v>-0.13</v>
      </c>
      <c r="AR124" s="23">
        <v>0.248</v>
      </c>
      <c r="AS124" s="23">
        <v>-0.26</v>
      </c>
      <c r="AT124" s="23">
        <v>0</v>
      </c>
      <c r="AU124" s="23">
        <v>0.35</v>
      </c>
      <c r="AV124" s="23">
        <v>-0.34</v>
      </c>
      <c r="AW124" s="23">
        <v>-0.14099999999999999</v>
      </c>
      <c r="AX124" s="23">
        <v>-0.06</v>
      </c>
      <c r="AY124" s="23">
        <v>-8.1000000000000003E-2</v>
      </c>
      <c r="AZ124" s="23">
        <v>-4.3499999999999997E-2</v>
      </c>
      <c r="BA124" s="23">
        <v>-7.0999999999999994E-2</v>
      </c>
      <c r="BB124" s="23">
        <v>-1.6E-2</v>
      </c>
      <c r="BC124" s="23">
        <v>-6.3500000000000001E-2</v>
      </c>
      <c r="BD124" s="23">
        <v>-5.2499999999999998E-2</v>
      </c>
      <c r="BE124" s="23">
        <v>-7.4999999999999997E-2</v>
      </c>
      <c r="BF124" s="23">
        <v>0</v>
      </c>
      <c r="BG124" s="23">
        <v>0.17</v>
      </c>
      <c r="BH124" s="23">
        <v>0.17499999999999999</v>
      </c>
      <c r="BI124" s="23">
        <v>0.155</v>
      </c>
      <c r="BJ124" s="23">
        <v>0.46</v>
      </c>
      <c r="BK124" s="23">
        <v>2.5000000000000001E-3</v>
      </c>
      <c r="BL124" s="23">
        <v>-0.02</v>
      </c>
      <c r="BM124" s="23">
        <v>5.0000000000000001E-3</v>
      </c>
      <c r="BN124" s="23">
        <v>0</v>
      </c>
      <c r="BO124" s="23">
        <v>0</v>
      </c>
      <c r="BP124" s="23">
        <v>5.0000000000000001E-3</v>
      </c>
      <c r="BQ124" s="23">
        <v>5.0000000000000001E-3</v>
      </c>
      <c r="BR124" s="23">
        <v>5.5E-2</v>
      </c>
      <c r="BS124">
        <v>0.02</v>
      </c>
      <c r="BT124">
        <v>0</v>
      </c>
      <c r="BU124">
        <v>0</v>
      </c>
      <c r="BV124">
        <v>0.03</v>
      </c>
    </row>
    <row r="125" spans="1:74" x14ac:dyDescent="0.25">
      <c r="A125" s="24" t="e">
        <f>#REF!-B125</f>
        <v>#REF!</v>
      </c>
      <c r="B125" s="24">
        <v>3.3180000000000001</v>
      </c>
      <c r="C125" s="138">
        <f t="shared" si="4"/>
        <v>40878</v>
      </c>
      <c r="D125">
        <v>4.1524999999999999</v>
      </c>
      <c r="E125" s="24">
        <v>0.18</v>
      </c>
      <c r="F125" s="23">
        <v>5.9181619465042502E-2</v>
      </c>
      <c r="G125" s="23">
        <v>-0.13250000000000001</v>
      </c>
      <c r="H125" s="23">
        <v>-0.1525</v>
      </c>
      <c r="I125" s="27">
        <v>-5.0000000000000001E-3</v>
      </c>
      <c r="J125" s="27">
        <v>-0.13</v>
      </c>
      <c r="K125" s="23">
        <v>5.0000000000000001E-3</v>
      </c>
      <c r="L125" s="23">
        <v>-4.3499999999999997E-2</v>
      </c>
      <c r="M125" s="23">
        <v>-7.85E-2</v>
      </c>
      <c r="N125" s="23">
        <v>-0.1225</v>
      </c>
      <c r="O125" s="23">
        <v>-0.1225</v>
      </c>
      <c r="P125" s="23">
        <v>-0.13250000000000001</v>
      </c>
      <c r="Q125" s="23">
        <v>-8.9249999999999996E-2</v>
      </c>
      <c r="R125" s="23">
        <v>-4.3499999999999997E-2</v>
      </c>
      <c r="S125" s="23">
        <v>0.155</v>
      </c>
      <c r="T125" s="23">
        <v>0.17499999999999999</v>
      </c>
      <c r="U125" s="23">
        <v>0.13</v>
      </c>
      <c r="V125" s="23">
        <v>0.5</v>
      </c>
      <c r="W125" s="23">
        <v>0.215</v>
      </c>
      <c r="X125" s="23">
        <v>0.28999999999999998</v>
      </c>
      <c r="Y125" s="23">
        <v>-1.2999999999999999E-2</v>
      </c>
      <c r="Z125" s="23">
        <v>-3.0499999999999999E-2</v>
      </c>
      <c r="AA125" s="23">
        <v>9.4999999999999998E-3</v>
      </c>
      <c r="AB125" s="23">
        <v>-8.0000000000000002E-3</v>
      </c>
      <c r="AC125" s="23">
        <v>2.5000000000000001E-3</v>
      </c>
      <c r="AD125" s="23">
        <v>-2.2499999999999999E-2</v>
      </c>
      <c r="AE125" s="23">
        <v>-7.4999999999999997E-2</v>
      </c>
      <c r="AF125" s="23">
        <v>-5.5500000000000001E-2</v>
      </c>
      <c r="AG125" s="23">
        <v>-7.8E-2</v>
      </c>
      <c r="AH125" s="23">
        <v>-8.4999989999999994E-3</v>
      </c>
      <c r="AI125" s="23">
        <v>-6.4000000000000001E-2</v>
      </c>
      <c r="AJ125" s="23">
        <v>-0.13500000000000001</v>
      </c>
      <c r="AK125" s="23">
        <v>-8.9999989999999998E-3</v>
      </c>
      <c r="AL125" s="23">
        <v>3.1E-2</v>
      </c>
      <c r="AM125" s="23">
        <v>0.98</v>
      </c>
      <c r="AN125" s="23">
        <v>-4.4999999999999998E-2</v>
      </c>
      <c r="AO125" s="23">
        <v>-0.34</v>
      </c>
      <c r="AP125" s="23">
        <v>-7.0000000000000007E-2</v>
      </c>
      <c r="AQ125" s="23">
        <v>-0.13</v>
      </c>
      <c r="AR125" s="23">
        <v>0.308</v>
      </c>
      <c r="AS125" s="23">
        <v>-0.26</v>
      </c>
      <c r="AT125" s="23">
        <v>0</v>
      </c>
      <c r="AU125" s="23">
        <v>0.35</v>
      </c>
      <c r="AV125" s="23">
        <v>-0.34</v>
      </c>
      <c r="AW125" s="23">
        <v>-0.16850000000000001</v>
      </c>
      <c r="AX125" s="23">
        <v>-0.06</v>
      </c>
      <c r="AY125" s="23">
        <v>-0.1085</v>
      </c>
      <c r="AZ125" s="23">
        <v>-4.3499999999999997E-2</v>
      </c>
      <c r="BA125" s="23">
        <v>-9.8500000000000004E-2</v>
      </c>
      <c r="BB125" s="23">
        <v>-1.35E-2</v>
      </c>
      <c r="BC125" s="23">
        <v>-6.3500000000000001E-2</v>
      </c>
      <c r="BD125" s="23">
        <v>-7.4999999999999997E-2</v>
      </c>
      <c r="BE125" s="23">
        <v>-7.4999999999999997E-2</v>
      </c>
      <c r="BF125" s="23">
        <v>0</v>
      </c>
      <c r="BG125" s="23">
        <v>0.17</v>
      </c>
      <c r="BH125" s="23">
        <v>0.17499999999999999</v>
      </c>
      <c r="BI125" s="23">
        <v>0.155</v>
      </c>
      <c r="BJ125" s="23">
        <v>0.77</v>
      </c>
      <c r="BK125" s="23">
        <v>2.5000000000000001E-3</v>
      </c>
      <c r="BL125" s="23">
        <v>-2.5000000000000001E-2</v>
      </c>
      <c r="BM125" s="23">
        <v>5.0000000000000001E-3</v>
      </c>
      <c r="BN125" s="23">
        <v>0</v>
      </c>
      <c r="BO125" s="23">
        <v>0</v>
      </c>
      <c r="BP125" s="23">
        <v>5.0000000000000001E-3</v>
      </c>
      <c r="BQ125" s="23">
        <v>5.0000000000000001E-3</v>
      </c>
      <c r="BR125" s="23">
        <v>0.25</v>
      </c>
      <c r="BS125">
        <v>0.02</v>
      </c>
      <c r="BT125">
        <v>0</v>
      </c>
      <c r="BU125">
        <v>0</v>
      </c>
      <c r="BV125">
        <v>0.03</v>
      </c>
    </row>
    <row r="126" spans="1:74" x14ac:dyDescent="0.25">
      <c r="A126" s="24" t="e">
        <f>#REF!-B126</f>
        <v>#REF!</v>
      </c>
      <c r="B126" s="24">
        <v>3.383</v>
      </c>
      <c r="C126" s="138">
        <f t="shared" si="4"/>
        <v>40909</v>
      </c>
      <c r="D126">
        <v>4.2125000000000004</v>
      </c>
      <c r="E126" s="24">
        <v>0.18</v>
      </c>
      <c r="F126" s="23">
        <v>5.9250470698565497E-2</v>
      </c>
      <c r="G126" s="23">
        <v>-0.13500000000000001</v>
      </c>
      <c r="H126" s="23">
        <v>-0.155</v>
      </c>
      <c r="I126" s="27">
        <v>1.4999999999999999E-2</v>
      </c>
      <c r="J126" s="27">
        <v>-0.13</v>
      </c>
      <c r="K126" s="23">
        <v>2.5000000000000001E-2</v>
      </c>
      <c r="L126" s="23">
        <v>-4.3499999999999997E-2</v>
      </c>
      <c r="M126" s="23">
        <v>-7.85E-2</v>
      </c>
      <c r="N126" s="23">
        <v>-0.125</v>
      </c>
      <c r="O126" s="23">
        <v>-0.125</v>
      </c>
      <c r="P126" s="23">
        <v>-0.13500000000000001</v>
      </c>
      <c r="Q126" s="23">
        <v>-9.0499999999999997E-2</v>
      </c>
      <c r="R126" s="23">
        <v>-4.3499999999999997E-2</v>
      </c>
      <c r="S126" s="23">
        <v>0.155</v>
      </c>
      <c r="T126" s="23">
        <v>0.17499999999999999</v>
      </c>
      <c r="U126" s="23">
        <v>0.13</v>
      </c>
      <c r="V126" s="23">
        <v>0.5</v>
      </c>
      <c r="W126" s="23">
        <v>0.23499999999999999</v>
      </c>
      <c r="X126" s="23">
        <v>0.34</v>
      </c>
      <c r="Y126" s="23">
        <v>-1.0999999999999999E-2</v>
      </c>
      <c r="Z126" s="23">
        <v>-3.0499999999999999E-2</v>
      </c>
      <c r="AA126" s="23">
        <v>9.4999999999999998E-3</v>
      </c>
      <c r="AB126" s="23">
        <v>-8.0000000000000002E-3</v>
      </c>
      <c r="AC126" s="23">
        <v>2.5000000000000001E-3</v>
      </c>
      <c r="AD126" s="23">
        <v>-2.2499999999999999E-2</v>
      </c>
      <c r="AE126" s="23">
        <v>-7.4999999999999997E-2</v>
      </c>
      <c r="AF126" s="23">
        <v>-5.5500000000000001E-2</v>
      </c>
      <c r="AG126" s="23">
        <v>-7.8E-2</v>
      </c>
      <c r="AH126" s="23">
        <v>-8.4999989999999994E-3</v>
      </c>
      <c r="AI126" s="23">
        <v>-6.4000000000000001E-2</v>
      </c>
      <c r="AJ126" s="23">
        <v>-0.13750000000000001</v>
      </c>
      <c r="AK126" s="23">
        <v>-8.9999989999999998E-3</v>
      </c>
      <c r="AL126" s="23">
        <v>3.1E-2</v>
      </c>
      <c r="AM126" s="23">
        <v>1.6</v>
      </c>
      <c r="AN126" s="23">
        <v>-4.7500000000000001E-2</v>
      </c>
      <c r="AO126" s="23">
        <v>-0.34</v>
      </c>
      <c r="AP126" s="23">
        <v>-7.0000000000000007E-2</v>
      </c>
      <c r="AQ126" s="23">
        <v>-0.13</v>
      </c>
      <c r="AR126" s="23">
        <v>0.378</v>
      </c>
      <c r="AS126" s="23">
        <v>-0.26</v>
      </c>
      <c r="AT126" s="23">
        <v>0</v>
      </c>
      <c r="AU126" s="23">
        <v>0.35</v>
      </c>
      <c r="AV126" s="23">
        <v>-0.34</v>
      </c>
      <c r="AW126" s="23">
        <v>-0.1835</v>
      </c>
      <c r="AX126" s="23">
        <v>-0.06</v>
      </c>
      <c r="AY126" s="23">
        <v>-0.1235</v>
      </c>
      <c r="AZ126" s="23">
        <v>-4.3499999999999997E-2</v>
      </c>
      <c r="BA126" s="23">
        <v>-9.9000000000000005E-2</v>
      </c>
      <c r="BB126" s="23">
        <v>-1.35E-2</v>
      </c>
      <c r="BC126" s="23">
        <v>-6.3500000000000001E-2</v>
      </c>
      <c r="BD126" s="23">
        <v>-7.7499999999999999E-2</v>
      </c>
      <c r="BE126" s="23">
        <v>-7.4999999999999997E-2</v>
      </c>
      <c r="BF126" s="23">
        <v>0</v>
      </c>
      <c r="BG126" s="23">
        <v>0.17</v>
      </c>
      <c r="BH126" s="23">
        <v>0.17499999999999999</v>
      </c>
      <c r="BI126" s="23">
        <v>0.155</v>
      </c>
      <c r="BJ126" s="23">
        <v>1.04</v>
      </c>
      <c r="BK126" s="23">
        <v>2.5000000000000001E-3</v>
      </c>
      <c r="BL126" s="23">
        <v>-2.5000000000000001E-2</v>
      </c>
      <c r="BM126" s="23">
        <v>5.0000000000000001E-3</v>
      </c>
      <c r="BN126" s="23">
        <v>0</v>
      </c>
      <c r="BO126" s="23">
        <v>0</v>
      </c>
      <c r="BP126" s="23">
        <v>5.0000000000000001E-3</v>
      </c>
      <c r="BQ126" s="23">
        <v>5.0000000000000001E-3</v>
      </c>
      <c r="BR126" s="23">
        <v>0.45</v>
      </c>
      <c r="BS126">
        <v>0.02</v>
      </c>
      <c r="BT126">
        <v>0</v>
      </c>
      <c r="BU126">
        <v>0</v>
      </c>
      <c r="BV126">
        <v>0.03</v>
      </c>
    </row>
    <row r="127" spans="1:74" x14ac:dyDescent="0.25">
      <c r="A127" s="24" t="e">
        <f>#REF!-B127</f>
        <v>#REF!</v>
      </c>
      <c r="B127" s="24">
        <v>3.3780000000000001</v>
      </c>
      <c r="C127" s="138">
        <f t="shared" si="4"/>
        <v>40940</v>
      </c>
      <c r="D127">
        <v>4.1275000000000004</v>
      </c>
      <c r="E127" s="24">
        <v>0.17499999999999999</v>
      </c>
      <c r="F127" s="23">
        <v>5.9294298903287398E-2</v>
      </c>
      <c r="G127" s="23">
        <v>-0.1275</v>
      </c>
      <c r="H127" s="23">
        <v>-0.14749999999999999</v>
      </c>
      <c r="I127" s="27">
        <v>0.01</v>
      </c>
      <c r="J127" s="27">
        <v>-0.13</v>
      </c>
      <c r="K127" s="23">
        <v>0.02</v>
      </c>
      <c r="L127" s="23">
        <v>-4.3499999999999997E-2</v>
      </c>
      <c r="M127" s="23">
        <v>-7.85E-2</v>
      </c>
      <c r="N127" s="23">
        <v>-0.11749999999999999</v>
      </c>
      <c r="O127" s="23">
        <v>-0.11749999999999999</v>
      </c>
      <c r="P127" s="23">
        <v>-0.1275</v>
      </c>
      <c r="Q127" s="23">
        <v>-8.1750000000000003E-2</v>
      </c>
      <c r="R127" s="23">
        <v>-4.3499999999999997E-2</v>
      </c>
      <c r="S127" s="23">
        <v>0.155</v>
      </c>
      <c r="T127" s="23">
        <v>0.17499999999999999</v>
      </c>
      <c r="U127" s="23">
        <v>0.13</v>
      </c>
      <c r="V127" s="23">
        <v>0.5</v>
      </c>
      <c r="W127" s="23">
        <v>0.23499999999999999</v>
      </c>
      <c r="X127" s="23">
        <v>0.34</v>
      </c>
      <c r="Y127" s="23">
        <v>-1.0999999999999999E-2</v>
      </c>
      <c r="Z127" s="23">
        <v>-3.0499999999999999E-2</v>
      </c>
      <c r="AA127" s="23">
        <v>9.4999999999999998E-3</v>
      </c>
      <c r="AB127" s="23">
        <v>-8.0000000000000002E-3</v>
      </c>
      <c r="AC127" s="23">
        <v>2.5000000000000001E-3</v>
      </c>
      <c r="AD127" s="23">
        <v>-2.2499999999999999E-2</v>
      </c>
      <c r="AE127" s="23">
        <v>-7.4999999999999997E-2</v>
      </c>
      <c r="AF127" s="23">
        <v>-5.5500000000000001E-2</v>
      </c>
      <c r="AG127" s="23">
        <v>-7.8E-2</v>
      </c>
      <c r="AH127" s="23">
        <v>-8.4999989999999994E-3</v>
      </c>
      <c r="AI127" s="23">
        <v>-6.4000000000000001E-2</v>
      </c>
      <c r="AJ127" s="23">
        <v>-0.12</v>
      </c>
      <c r="AK127" s="23">
        <v>-8.9999989999999998E-3</v>
      </c>
      <c r="AL127" s="23">
        <v>3.1E-2</v>
      </c>
      <c r="AM127" s="23">
        <v>1.6</v>
      </c>
      <c r="AN127" s="23">
        <v>-0.03</v>
      </c>
      <c r="AO127" s="23">
        <v>-0.34</v>
      </c>
      <c r="AP127" s="23">
        <v>-7.0000000000000007E-2</v>
      </c>
      <c r="AQ127" s="23">
        <v>-0.13</v>
      </c>
      <c r="AR127" s="23">
        <v>0.248</v>
      </c>
      <c r="AS127" s="23">
        <v>-0.26</v>
      </c>
      <c r="AT127" s="23">
        <v>0</v>
      </c>
      <c r="AU127" s="23">
        <v>0.35</v>
      </c>
      <c r="AV127" s="23">
        <v>-0.34</v>
      </c>
      <c r="AW127" s="23">
        <v>-0.17349999999999999</v>
      </c>
      <c r="AX127" s="23">
        <v>-0.06</v>
      </c>
      <c r="AY127" s="23">
        <v>-0.1135</v>
      </c>
      <c r="AZ127" s="23">
        <v>-4.3499999999999997E-2</v>
      </c>
      <c r="BA127" s="23">
        <v>-9.9000000000000005E-2</v>
      </c>
      <c r="BB127" s="23">
        <v>-1.35E-2</v>
      </c>
      <c r="BC127" s="23">
        <v>-6.3500000000000001E-2</v>
      </c>
      <c r="BD127" s="23">
        <v>-0.06</v>
      </c>
      <c r="BE127" s="23">
        <v>-7.4999999999999997E-2</v>
      </c>
      <c r="BF127" s="23">
        <v>0</v>
      </c>
      <c r="BG127" s="23">
        <v>0.17</v>
      </c>
      <c r="BH127" s="23">
        <v>0.17499999999999999</v>
      </c>
      <c r="BI127" s="23">
        <v>0.155</v>
      </c>
      <c r="BJ127" s="23">
        <v>1.04</v>
      </c>
      <c r="BK127" s="23">
        <v>2.5000000000000001E-3</v>
      </c>
      <c r="BL127" s="23">
        <v>-2.5000000000000001E-2</v>
      </c>
      <c r="BM127" s="23">
        <v>5.0000000000000001E-3</v>
      </c>
      <c r="BN127" s="23">
        <v>0</v>
      </c>
      <c r="BO127" s="23">
        <v>0</v>
      </c>
      <c r="BP127" s="23">
        <v>5.0000000000000001E-3</v>
      </c>
      <c r="BQ127" s="23">
        <v>5.0000000000000001E-3</v>
      </c>
      <c r="BR127" s="23">
        <v>0.45</v>
      </c>
      <c r="BS127">
        <v>0.02</v>
      </c>
      <c r="BT127">
        <v>0</v>
      </c>
      <c r="BU127">
        <v>0</v>
      </c>
      <c r="BV127">
        <v>0.03</v>
      </c>
    </row>
    <row r="128" spans="1:74" x14ac:dyDescent="0.25">
      <c r="A128" s="24" t="e">
        <f>#REF!-B128</f>
        <v>#REF!</v>
      </c>
      <c r="B128" s="24">
        <v>3.3610000000000002</v>
      </c>
      <c r="C128" s="138">
        <f t="shared" si="4"/>
        <v>40969</v>
      </c>
      <c r="D128">
        <v>3.9975000000000001</v>
      </c>
      <c r="E128" s="24">
        <v>0.17</v>
      </c>
      <c r="F128" s="23">
        <v>5.9335299482475602E-2</v>
      </c>
      <c r="G128" s="23">
        <v>-0.125</v>
      </c>
      <c r="H128" s="23">
        <v>-0.14499999999999999</v>
      </c>
      <c r="I128" s="27">
        <v>-0.01</v>
      </c>
      <c r="J128" s="27">
        <v>-0.13</v>
      </c>
      <c r="K128" s="23">
        <v>0</v>
      </c>
      <c r="L128" s="23">
        <v>-4.3499999999999997E-2</v>
      </c>
      <c r="M128" s="23">
        <v>-7.85E-2</v>
      </c>
      <c r="N128" s="23">
        <v>-0.115</v>
      </c>
      <c r="O128" s="23">
        <v>-0.115</v>
      </c>
      <c r="P128" s="23">
        <v>-0.125</v>
      </c>
      <c r="Q128" s="23">
        <v>-7.5499999999999998E-2</v>
      </c>
      <c r="R128" s="23">
        <v>-4.3499999999999997E-2</v>
      </c>
      <c r="S128" s="23">
        <v>0.155</v>
      </c>
      <c r="T128" s="23">
        <v>0.17499999999999999</v>
      </c>
      <c r="U128" s="23">
        <v>0.13</v>
      </c>
      <c r="V128" s="23">
        <v>0.5</v>
      </c>
      <c r="W128" s="23">
        <v>0.19500000000000001</v>
      </c>
      <c r="X128" s="23">
        <v>0.28999999999999998</v>
      </c>
      <c r="Y128" s="23">
        <v>-1.0999999999999999E-2</v>
      </c>
      <c r="Z128" s="23">
        <v>-3.0499999999999999E-2</v>
      </c>
      <c r="AA128" s="23">
        <v>1.7000000000000001E-2</v>
      </c>
      <c r="AB128" s="23">
        <v>4.9999999999999697E-4</v>
      </c>
      <c r="AC128" s="23">
        <v>2.5000000000000001E-3</v>
      </c>
      <c r="AD128" s="23">
        <v>-2.2499999999999999E-2</v>
      </c>
      <c r="AE128" s="23">
        <v>-7.4999999999999997E-2</v>
      </c>
      <c r="AF128" s="23">
        <v>-5.5500000000000001E-2</v>
      </c>
      <c r="AG128" s="23">
        <v>-7.8E-2</v>
      </c>
      <c r="AH128" s="23">
        <v>-8.4999989999999994E-3</v>
      </c>
      <c r="AI128" s="23">
        <v>-6.4000000000000001E-2</v>
      </c>
      <c r="AJ128" s="23">
        <v>-0.1075</v>
      </c>
      <c r="AK128" s="23">
        <v>-8.9999989999999998E-3</v>
      </c>
      <c r="AL128" s="23">
        <v>3.1E-2</v>
      </c>
      <c r="AM128" s="23">
        <v>0.64</v>
      </c>
      <c r="AN128" s="23">
        <v>-1.7500000000000002E-2</v>
      </c>
      <c r="AO128" s="23">
        <v>-0.34</v>
      </c>
      <c r="AP128" s="23">
        <v>-7.0000000000000007E-2</v>
      </c>
      <c r="AQ128" s="23">
        <v>-0.13</v>
      </c>
      <c r="AR128" s="23">
        <v>6.8000000000000005E-2</v>
      </c>
      <c r="AS128" s="23">
        <v>-0.26</v>
      </c>
      <c r="AT128" s="23">
        <v>0</v>
      </c>
      <c r="AU128" s="23">
        <v>0.35</v>
      </c>
      <c r="AV128" s="23">
        <v>-0.34</v>
      </c>
      <c r="AW128" s="23">
        <v>-0.16350000000000001</v>
      </c>
      <c r="AX128" s="23">
        <v>-0.06</v>
      </c>
      <c r="AY128" s="23">
        <v>-0.10349999999999999</v>
      </c>
      <c r="AZ128" s="23">
        <v>-4.3499999999999997E-2</v>
      </c>
      <c r="BA128" s="23">
        <v>-9.9000000000000005E-2</v>
      </c>
      <c r="BB128" s="23">
        <v>-1.35E-2</v>
      </c>
      <c r="BC128" s="23">
        <v>-6.3500000000000001E-2</v>
      </c>
      <c r="BD128" s="23">
        <v>-4.7500000000000001E-2</v>
      </c>
      <c r="BE128" s="23">
        <v>-7.4999999999999997E-2</v>
      </c>
      <c r="BF128" s="23">
        <v>0</v>
      </c>
      <c r="BG128" s="23">
        <v>0.17</v>
      </c>
      <c r="BH128" s="23">
        <v>0.17499999999999999</v>
      </c>
      <c r="BI128" s="23">
        <v>0.155</v>
      </c>
      <c r="BJ128" s="23">
        <v>0.54</v>
      </c>
      <c r="BK128" s="23">
        <v>2.5000000000000001E-3</v>
      </c>
      <c r="BL128" s="23">
        <v>-0.02</v>
      </c>
      <c r="BM128" s="23">
        <v>5.0000000000000001E-3</v>
      </c>
      <c r="BN128" s="23">
        <v>0</v>
      </c>
      <c r="BO128" s="23">
        <v>0</v>
      </c>
      <c r="BP128" s="23">
        <v>5.0000000000000001E-3</v>
      </c>
      <c r="BQ128" s="23">
        <v>5.0000000000000001E-3</v>
      </c>
      <c r="BR128" s="23">
        <v>0.1</v>
      </c>
      <c r="BS128">
        <v>0.02</v>
      </c>
      <c r="BT128">
        <v>0</v>
      </c>
      <c r="BU128">
        <v>0</v>
      </c>
      <c r="BV128">
        <v>0.03</v>
      </c>
    </row>
    <row r="129" spans="1:74" x14ac:dyDescent="0.25">
      <c r="A129" s="24" t="e">
        <f>#REF!-B129</f>
        <v>#REF!</v>
      </c>
      <c r="B129" s="24">
        <v>3.3719999999999999</v>
      </c>
      <c r="C129" s="138">
        <f t="shared" si="4"/>
        <v>41000</v>
      </c>
      <c r="D129">
        <v>3.8125</v>
      </c>
      <c r="E129" s="24">
        <v>0.17</v>
      </c>
      <c r="F129" s="23">
        <v>5.9379127688433002E-2</v>
      </c>
      <c r="G129" s="23">
        <v>-0.13</v>
      </c>
      <c r="H129" s="23">
        <v>-0.15</v>
      </c>
      <c r="I129" s="27">
        <v>-0.09</v>
      </c>
      <c r="J129" s="27">
        <v>-0.13</v>
      </c>
      <c r="K129" s="23">
        <v>-0.09</v>
      </c>
      <c r="L129" s="23">
        <v>-4.1000000000000002E-2</v>
      </c>
      <c r="M129" s="23">
        <v>-6.0999999999999999E-2</v>
      </c>
      <c r="N129" s="23">
        <v>-0.12</v>
      </c>
      <c r="O129" s="23">
        <v>-0.12</v>
      </c>
      <c r="P129" s="23">
        <v>-0.13</v>
      </c>
      <c r="Q129" s="23">
        <v>-5.5500000000000001E-2</v>
      </c>
      <c r="R129" s="23">
        <v>-4.1000000000000002E-2</v>
      </c>
      <c r="S129" s="23">
        <v>0.125</v>
      </c>
      <c r="T129" s="23">
        <v>0.14499999999999999</v>
      </c>
      <c r="U129" s="23">
        <v>0.04</v>
      </c>
      <c r="V129" s="23">
        <v>0.5</v>
      </c>
      <c r="W129" s="23">
        <v>0.14499999999999999</v>
      </c>
      <c r="X129" s="23">
        <v>0.19500000000000001</v>
      </c>
      <c r="Y129" s="23">
        <v>-1.35E-2</v>
      </c>
      <c r="Z129" s="23">
        <v>-4.5499999999999999E-2</v>
      </c>
      <c r="AA129" s="23">
        <v>1.7000000000000001E-2</v>
      </c>
      <c r="AB129" s="23">
        <v>4.9999999999999697E-4</v>
      </c>
      <c r="AC129" s="23">
        <v>2.5000000000000001E-3</v>
      </c>
      <c r="AD129" s="23">
        <v>-2.2499999999999999E-2</v>
      </c>
      <c r="AE129" s="23">
        <v>-7.2499999999999995E-2</v>
      </c>
      <c r="AF129" s="23">
        <v>-5.2999999999999999E-2</v>
      </c>
      <c r="AG129" s="23">
        <v>-7.5499999999999998E-2</v>
      </c>
      <c r="AH129" s="23">
        <v>-1.35E-2</v>
      </c>
      <c r="AI129" s="23">
        <v>-7.1999999999999995E-2</v>
      </c>
      <c r="AJ129" s="23">
        <v>-7.0000000000000007E-2</v>
      </c>
      <c r="AK129" s="23">
        <v>-1.7000000000000001E-2</v>
      </c>
      <c r="AL129" s="23">
        <v>2.3E-2</v>
      </c>
      <c r="AM129" s="23">
        <v>0.38</v>
      </c>
      <c r="AN129" s="23">
        <v>0.02</v>
      </c>
      <c r="AO129" s="23">
        <v>-0.45</v>
      </c>
      <c r="AP129" s="23">
        <v>-7.0000000000000007E-2</v>
      </c>
      <c r="AQ129" s="23">
        <v>-0.19500000000000001</v>
      </c>
      <c r="AR129" s="23">
        <v>-0.25</v>
      </c>
      <c r="AS129" s="23">
        <v>-0.37</v>
      </c>
      <c r="AT129" s="23">
        <v>0</v>
      </c>
      <c r="AU129" s="23">
        <v>0.43</v>
      </c>
      <c r="AV129" s="23">
        <v>-0.45</v>
      </c>
      <c r="AW129" s="23">
        <v>-0.20399999999999999</v>
      </c>
      <c r="AX129" s="23">
        <v>-0.06</v>
      </c>
      <c r="AY129" s="23">
        <v>-0.14399999999999999</v>
      </c>
      <c r="AZ129" s="23">
        <v>-4.1000000000000002E-2</v>
      </c>
      <c r="BA129" s="23">
        <v>-0.1215</v>
      </c>
      <c r="BB129" s="23">
        <v>-1.35E-2</v>
      </c>
      <c r="BC129" s="23">
        <v>-4.5999999999999999E-2</v>
      </c>
      <c r="BD129" s="23">
        <v>-0.01</v>
      </c>
      <c r="BE129" s="23">
        <v>-7.2499999999999995E-2</v>
      </c>
      <c r="BF129" s="23">
        <v>0</v>
      </c>
      <c r="BG129" s="23">
        <v>0.14000000000000001</v>
      </c>
      <c r="BH129" s="23">
        <v>0.14499999999999999</v>
      </c>
      <c r="BI129" s="23">
        <v>0.125</v>
      </c>
      <c r="BJ129" s="23">
        <v>0.36</v>
      </c>
      <c r="BK129" s="23">
        <v>2.5000000000000001E-3</v>
      </c>
      <c r="BL129" s="23">
        <v>-1.4999999999999999E-2</v>
      </c>
      <c r="BM129" s="23">
        <v>5.0000000000000001E-3</v>
      </c>
      <c r="BN129" s="23">
        <v>-0.01</v>
      </c>
      <c r="BO129" s="23">
        <v>0</v>
      </c>
      <c r="BP129" s="23">
        <v>5.0000000000000001E-3</v>
      </c>
      <c r="BQ129" s="23">
        <v>2.5000000000000001E-3</v>
      </c>
      <c r="BR129" s="23">
        <v>0.02</v>
      </c>
      <c r="BS129">
        <v>5.0000000000000001E-3</v>
      </c>
      <c r="BT129">
        <v>0</v>
      </c>
      <c r="BU129">
        <v>0</v>
      </c>
      <c r="BV129">
        <v>0.03</v>
      </c>
    </row>
    <row r="130" spans="1:74" x14ac:dyDescent="0.25">
      <c r="A130" s="24" t="e">
        <f>#REF!-B130</f>
        <v>#REF!</v>
      </c>
      <c r="B130" s="24">
        <v>3.4490000000000003</v>
      </c>
      <c r="C130" s="138">
        <f t="shared" si="4"/>
        <v>41030</v>
      </c>
      <c r="D130">
        <v>3.8075000000000001</v>
      </c>
      <c r="E130" s="24">
        <v>0.17</v>
      </c>
      <c r="F130" s="23">
        <v>5.9421542081902902E-2</v>
      </c>
      <c r="G130" s="23">
        <v>-0.13</v>
      </c>
      <c r="H130" s="23">
        <v>-0.15</v>
      </c>
      <c r="I130" s="27">
        <v>-0.09</v>
      </c>
      <c r="J130" s="27">
        <v>-0.13</v>
      </c>
      <c r="K130" s="23">
        <v>-0.09</v>
      </c>
      <c r="L130" s="23">
        <v>-4.1000000000000002E-2</v>
      </c>
      <c r="M130" s="23">
        <v>-6.0999999999999999E-2</v>
      </c>
      <c r="N130" s="23">
        <v>-0.12</v>
      </c>
      <c r="O130" s="23">
        <v>-0.12</v>
      </c>
      <c r="P130" s="23">
        <v>-0.13</v>
      </c>
      <c r="Q130" s="23">
        <v>-5.5500000000000001E-2</v>
      </c>
      <c r="R130" s="23">
        <v>-4.1000000000000002E-2</v>
      </c>
      <c r="S130" s="23">
        <v>0.125</v>
      </c>
      <c r="T130" s="23">
        <v>0.14499999999999999</v>
      </c>
      <c r="U130" s="23">
        <v>0.04</v>
      </c>
      <c r="V130" s="23">
        <v>0.5</v>
      </c>
      <c r="W130" s="23">
        <v>0.125</v>
      </c>
      <c r="X130" s="23">
        <v>0.13500000000000001</v>
      </c>
      <c r="Y130" s="23">
        <v>-1.35E-2</v>
      </c>
      <c r="Z130" s="23">
        <v>-4.5499999999999999E-2</v>
      </c>
      <c r="AA130" s="23">
        <v>1.95E-2</v>
      </c>
      <c r="AB130" s="23">
        <v>2E-3</v>
      </c>
      <c r="AC130" s="23">
        <v>2.5000000000000001E-3</v>
      </c>
      <c r="AD130" s="23">
        <v>-2.2499999999999999E-2</v>
      </c>
      <c r="AE130" s="23">
        <v>-7.2499999999999995E-2</v>
      </c>
      <c r="AF130" s="23">
        <v>-5.2999999999999999E-2</v>
      </c>
      <c r="AG130" s="23">
        <v>-7.5499999999999998E-2</v>
      </c>
      <c r="AH130" s="23">
        <v>-1.35E-2</v>
      </c>
      <c r="AI130" s="23">
        <v>-7.1999999999999995E-2</v>
      </c>
      <c r="AJ130" s="23">
        <v>-7.0000000000000007E-2</v>
      </c>
      <c r="AK130" s="23">
        <v>-1.7000000000000001E-2</v>
      </c>
      <c r="AL130" s="23">
        <v>2.3E-2</v>
      </c>
      <c r="AM130" s="23">
        <v>0.33</v>
      </c>
      <c r="AN130" s="23">
        <v>0.02</v>
      </c>
      <c r="AO130" s="23">
        <v>-0.45</v>
      </c>
      <c r="AP130" s="23">
        <v>-7.0000000000000007E-2</v>
      </c>
      <c r="AQ130" s="23">
        <v>-0.19500000000000001</v>
      </c>
      <c r="AR130" s="23">
        <v>-0.1</v>
      </c>
      <c r="AS130" s="23">
        <v>-0.37</v>
      </c>
      <c r="AT130" s="23">
        <v>0</v>
      </c>
      <c r="AU130" s="23">
        <v>0.43</v>
      </c>
      <c r="AV130" s="23">
        <v>-0.45</v>
      </c>
      <c r="AW130" s="23">
        <v>-0.18149999999999999</v>
      </c>
      <c r="AX130" s="23">
        <v>-0.06</v>
      </c>
      <c r="AY130" s="23">
        <v>-0.1215</v>
      </c>
      <c r="AZ130" s="23">
        <v>-4.1000000000000002E-2</v>
      </c>
      <c r="BA130" s="23">
        <v>-0.114</v>
      </c>
      <c r="BB130" s="23">
        <v>-1.35E-2</v>
      </c>
      <c r="BC130" s="23">
        <v>-4.5999999999999999E-2</v>
      </c>
      <c r="BD130" s="23">
        <v>-0.01</v>
      </c>
      <c r="BE130" s="23">
        <v>-7.2499999999999995E-2</v>
      </c>
      <c r="BF130" s="23">
        <v>0</v>
      </c>
      <c r="BG130" s="23">
        <v>0.14000000000000001</v>
      </c>
      <c r="BH130" s="23">
        <v>0.14499999999999999</v>
      </c>
      <c r="BI130" s="23">
        <v>0.125</v>
      </c>
      <c r="BJ130" s="23">
        <v>0.32500000000000001</v>
      </c>
      <c r="BK130" s="23">
        <v>2.5000000000000001E-3</v>
      </c>
      <c r="BL130" s="23">
        <v>-1.4999999999999999E-2</v>
      </c>
      <c r="BM130" s="23">
        <v>5.0000000000000001E-3</v>
      </c>
      <c r="BN130" s="23">
        <v>-0.01</v>
      </c>
      <c r="BO130" s="23">
        <v>0</v>
      </c>
      <c r="BP130" s="23">
        <v>5.0000000000000001E-3</v>
      </c>
      <c r="BQ130" s="23">
        <v>2.5000000000000001E-3</v>
      </c>
      <c r="BR130" s="23">
        <v>0.02</v>
      </c>
      <c r="BS130">
        <v>5.0000000000000001E-3</v>
      </c>
      <c r="BT130">
        <v>0</v>
      </c>
      <c r="BU130">
        <v>0</v>
      </c>
      <c r="BV130">
        <v>0.03</v>
      </c>
    </row>
    <row r="131" spans="1:74" x14ac:dyDescent="0.25">
      <c r="A131" s="24" t="e">
        <f>#REF!-B131</f>
        <v>#REF!</v>
      </c>
      <c r="B131" s="24">
        <v>3.5369999999999999</v>
      </c>
      <c r="C131" s="138">
        <f t="shared" si="4"/>
        <v>41061</v>
      </c>
      <c r="D131">
        <v>3.8424999999999998</v>
      </c>
      <c r="E131" s="24">
        <v>0.17</v>
      </c>
      <c r="F131" s="23">
        <v>5.9465370289116602E-2</v>
      </c>
      <c r="G131" s="23">
        <v>-0.13</v>
      </c>
      <c r="H131" s="23">
        <v>-0.15</v>
      </c>
      <c r="I131" s="27">
        <v>-0.09</v>
      </c>
      <c r="J131" s="27">
        <v>-0.13</v>
      </c>
      <c r="K131" s="23">
        <v>-0.09</v>
      </c>
      <c r="L131" s="23">
        <v>-4.1000000000000002E-2</v>
      </c>
      <c r="M131" s="23">
        <v>-6.0999999999999999E-2</v>
      </c>
      <c r="N131" s="23">
        <v>-0.12</v>
      </c>
      <c r="O131" s="23">
        <v>-0.12</v>
      </c>
      <c r="P131" s="23">
        <v>-0.13</v>
      </c>
      <c r="Q131" s="23">
        <v>-5.2999999999999999E-2</v>
      </c>
      <c r="R131" s="23">
        <v>-4.1000000000000002E-2</v>
      </c>
      <c r="S131" s="23">
        <v>0.125</v>
      </c>
      <c r="T131" s="23">
        <v>0.14499999999999999</v>
      </c>
      <c r="U131" s="23">
        <v>0.04</v>
      </c>
      <c r="V131" s="23">
        <v>0.5</v>
      </c>
      <c r="W131" s="23">
        <v>0.14499999999999999</v>
      </c>
      <c r="X131" s="23">
        <v>0.16500000000000001</v>
      </c>
      <c r="Y131" s="23">
        <v>-1.35E-2</v>
      </c>
      <c r="Z131" s="23">
        <v>-4.2999999999999997E-2</v>
      </c>
      <c r="AA131" s="23">
        <v>1.95E-2</v>
      </c>
      <c r="AB131" s="23">
        <v>2E-3</v>
      </c>
      <c r="AC131" s="23">
        <v>2.5000000000000001E-3</v>
      </c>
      <c r="AD131" s="23">
        <v>-2.2499999999999999E-2</v>
      </c>
      <c r="AE131" s="23">
        <v>-7.2499999999999995E-2</v>
      </c>
      <c r="AF131" s="23">
        <v>-5.2999999999999999E-2</v>
      </c>
      <c r="AG131" s="23">
        <v>-7.5499999999999998E-2</v>
      </c>
      <c r="AH131" s="23">
        <v>-1.35E-2</v>
      </c>
      <c r="AI131" s="23">
        <v>-7.1999999999999995E-2</v>
      </c>
      <c r="AJ131" s="23">
        <v>-6.5000000000000002E-2</v>
      </c>
      <c r="AK131" s="23">
        <v>-1.7000000000000001E-2</v>
      </c>
      <c r="AL131" s="23">
        <v>2.3E-2</v>
      </c>
      <c r="AM131" s="23">
        <v>0.37</v>
      </c>
      <c r="AN131" s="23">
        <v>2.5000000000000001E-2</v>
      </c>
      <c r="AO131" s="23">
        <v>-0.45</v>
      </c>
      <c r="AP131" s="23">
        <v>-7.0000000000000007E-2</v>
      </c>
      <c r="AQ131" s="23">
        <v>-0.19500000000000001</v>
      </c>
      <c r="AR131" s="23">
        <v>-0.1</v>
      </c>
      <c r="AS131" s="23">
        <v>-0.37</v>
      </c>
      <c r="AT131" s="23">
        <v>0</v>
      </c>
      <c r="AU131" s="23">
        <v>0.43</v>
      </c>
      <c r="AV131" s="23">
        <v>-0.45</v>
      </c>
      <c r="AW131" s="23">
        <v>-0.129</v>
      </c>
      <c r="AX131" s="23">
        <v>-0.06</v>
      </c>
      <c r="AY131" s="23">
        <v>-6.9000000000000006E-2</v>
      </c>
      <c r="AZ131" s="23">
        <v>-4.1000000000000002E-2</v>
      </c>
      <c r="BA131" s="23">
        <v>-7.1499999999999994E-2</v>
      </c>
      <c r="BB131" s="23">
        <v>-1.35E-2</v>
      </c>
      <c r="BC131" s="23">
        <v>-4.5999999999999999E-2</v>
      </c>
      <c r="BD131" s="23">
        <v>-5.0000000000000001E-3</v>
      </c>
      <c r="BE131" s="23">
        <v>-7.2499999999999995E-2</v>
      </c>
      <c r="BF131" s="23">
        <v>0</v>
      </c>
      <c r="BG131" s="23">
        <v>0.14000000000000001</v>
      </c>
      <c r="BH131" s="23">
        <v>0.14499999999999999</v>
      </c>
      <c r="BI131" s="23">
        <v>0.125</v>
      </c>
      <c r="BJ131" s="23">
        <v>0.33500000000000002</v>
      </c>
      <c r="BK131" s="23">
        <v>2.5000000000000001E-3</v>
      </c>
      <c r="BL131" s="23">
        <v>-1.4999999999999999E-2</v>
      </c>
      <c r="BM131" s="23">
        <v>5.0000000000000001E-3</v>
      </c>
      <c r="BN131" s="23">
        <v>-0.01</v>
      </c>
      <c r="BO131" s="23">
        <v>0</v>
      </c>
      <c r="BP131" s="23">
        <v>5.0000000000000001E-3</v>
      </c>
      <c r="BQ131" s="23">
        <v>2.5000000000000001E-3</v>
      </c>
      <c r="BR131" s="23">
        <v>3.5000000000000003E-2</v>
      </c>
      <c r="BS131">
        <v>5.0000000000000001E-3</v>
      </c>
      <c r="BT131">
        <v>0</v>
      </c>
      <c r="BU131">
        <v>0</v>
      </c>
      <c r="BV131">
        <v>0.03</v>
      </c>
    </row>
    <row r="132" spans="1:74" x14ac:dyDescent="0.25">
      <c r="A132" s="24" t="e">
        <f>#REF!-B132</f>
        <v>#REF!</v>
      </c>
      <c r="B132" s="24">
        <v>3.7990000000000004</v>
      </c>
      <c r="C132" s="138">
        <f t="shared" si="4"/>
        <v>41091</v>
      </c>
      <c r="D132">
        <v>3.8824999999999998</v>
      </c>
      <c r="E132" s="24">
        <v>0.17</v>
      </c>
      <c r="F132" s="23">
        <v>5.9507784683801898E-2</v>
      </c>
      <c r="G132" s="23">
        <v>-0.13</v>
      </c>
      <c r="H132" s="23">
        <v>-0.15</v>
      </c>
      <c r="I132" s="27">
        <v>-0.09</v>
      </c>
      <c r="J132" s="27">
        <v>-0.13</v>
      </c>
      <c r="K132" s="23">
        <v>-0.09</v>
      </c>
      <c r="L132" s="23">
        <v>-4.1000000000000002E-2</v>
      </c>
      <c r="M132" s="23">
        <v>-6.0999999999999999E-2</v>
      </c>
      <c r="N132" s="23">
        <v>-0.12</v>
      </c>
      <c r="O132" s="23">
        <v>-0.12</v>
      </c>
      <c r="P132" s="23">
        <v>-0.13</v>
      </c>
      <c r="Q132" s="23">
        <v>-5.1749999999999997E-2</v>
      </c>
      <c r="R132" s="23">
        <v>-4.1000000000000002E-2</v>
      </c>
      <c r="S132" s="23">
        <v>0.125</v>
      </c>
      <c r="T132" s="23">
        <v>0.14499999999999999</v>
      </c>
      <c r="U132" s="23">
        <v>0.04</v>
      </c>
      <c r="V132" s="23">
        <v>0.5</v>
      </c>
      <c r="W132" s="23">
        <v>0.15</v>
      </c>
      <c r="X132" s="23">
        <v>0.20499999999999999</v>
      </c>
      <c r="Y132" s="23">
        <v>-1.35E-2</v>
      </c>
      <c r="Z132" s="23">
        <v>-4.2999999999999997E-2</v>
      </c>
      <c r="AA132" s="23">
        <v>1.95E-2</v>
      </c>
      <c r="AB132" s="23">
        <v>2E-3</v>
      </c>
      <c r="AC132" s="23">
        <v>2.5000000000000001E-3</v>
      </c>
      <c r="AD132" s="23">
        <v>-2.2499999999999999E-2</v>
      </c>
      <c r="AE132" s="23">
        <v>-7.2499999999999995E-2</v>
      </c>
      <c r="AF132" s="23">
        <v>-5.2999999999999999E-2</v>
      </c>
      <c r="AG132" s="23">
        <v>-7.5499999999999998E-2</v>
      </c>
      <c r="AH132" s="23">
        <v>-1.35E-2</v>
      </c>
      <c r="AI132" s="23">
        <v>-7.1999999999999995E-2</v>
      </c>
      <c r="AJ132" s="23">
        <v>-6.25E-2</v>
      </c>
      <c r="AK132" s="23">
        <v>-1.7000000000000001E-2</v>
      </c>
      <c r="AL132" s="23">
        <v>2.3E-2</v>
      </c>
      <c r="AM132" s="23">
        <v>0.41</v>
      </c>
      <c r="AN132" s="23">
        <v>2.75E-2</v>
      </c>
      <c r="AO132" s="23">
        <v>-0.45</v>
      </c>
      <c r="AP132" s="23">
        <v>-7.0000000000000007E-2</v>
      </c>
      <c r="AQ132" s="23">
        <v>-0.19500000000000001</v>
      </c>
      <c r="AR132" s="23">
        <v>-0.1</v>
      </c>
      <c r="AS132" s="23">
        <v>-0.37</v>
      </c>
      <c r="AT132" s="23">
        <v>0</v>
      </c>
      <c r="AU132" s="23">
        <v>0.43</v>
      </c>
      <c r="AV132" s="23">
        <v>-0.45</v>
      </c>
      <c r="AW132" s="23">
        <v>-0.13900000000000001</v>
      </c>
      <c r="AX132" s="23">
        <v>-0.06</v>
      </c>
      <c r="AY132" s="23">
        <v>-7.9000000000000001E-2</v>
      </c>
      <c r="AZ132" s="23">
        <v>-4.1000000000000002E-2</v>
      </c>
      <c r="BA132" s="23">
        <v>-6.9000000000000006E-2</v>
      </c>
      <c r="BB132" s="23">
        <v>-1.35E-2</v>
      </c>
      <c r="BC132" s="23">
        <v>-4.5999999999999999E-2</v>
      </c>
      <c r="BD132" s="23">
        <v>-2.5000000000000001E-3</v>
      </c>
      <c r="BE132" s="23">
        <v>-7.2499999999999995E-2</v>
      </c>
      <c r="BF132" s="23">
        <v>0</v>
      </c>
      <c r="BG132" s="23">
        <v>0.14000000000000001</v>
      </c>
      <c r="BH132" s="23">
        <v>0.14499999999999999</v>
      </c>
      <c r="BI132" s="23">
        <v>0.125</v>
      </c>
      <c r="BJ132" s="23">
        <v>0.35</v>
      </c>
      <c r="BK132" s="23">
        <v>2.5000000000000001E-3</v>
      </c>
      <c r="BL132" s="23">
        <v>-0.01</v>
      </c>
      <c r="BM132" s="23">
        <v>5.0000000000000001E-3</v>
      </c>
      <c r="BN132" s="23">
        <v>-0.01</v>
      </c>
      <c r="BO132" s="23">
        <v>0</v>
      </c>
      <c r="BP132" s="23">
        <v>5.0000000000000001E-3</v>
      </c>
      <c r="BQ132" s="23">
        <v>2.5000000000000001E-3</v>
      </c>
      <c r="BR132" s="23">
        <v>3.5000000000000003E-2</v>
      </c>
      <c r="BS132">
        <v>5.0000000000000001E-3</v>
      </c>
      <c r="BT132">
        <v>0</v>
      </c>
      <c r="BU132">
        <v>0</v>
      </c>
      <c r="BV132">
        <v>0.03</v>
      </c>
    </row>
    <row r="133" spans="1:74" x14ac:dyDescent="0.25">
      <c r="A133" s="24" t="e">
        <f>#REF!-B133</f>
        <v>#REF!</v>
      </c>
      <c r="B133" s="24">
        <v>3.7040000000000006</v>
      </c>
      <c r="C133" s="138">
        <f t="shared" si="4"/>
        <v>41122</v>
      </c>
      <c r="D133">
        <v>3.9224999999999999</v>
      </c>
      <c r="E133" s="24">
        <v>0.17</v>
      </c>
      <c r="F133" s="23">
        <v>5.9551612892272003E-2</v>
      </c>
      <c r="G133" s="23">
        <v>-0.13</v>
      </c>
      <c r="H133" s="23">
        <v>-0.15</v>
      </c>
      <c r="I133" s="27">
        <v>-0.09</v>
      </c>
      <c r="J133" s="27">
        <v>-0.13</v>
      </c>
      <c r="K133" s="23">
        <v>-0.09</v>
      </c>
      <c r="L133" s="23">
        <v>-4.1000000000000002E-2</v>
      </c>
      <c r="M133" s="23">
        <v>-6.0999999999999999E-2</v>
      </c>
      <c r="N133" s="23">
        <v>-0.12</v>
      </c>
      <c r="O133" s="23">
        <v>-0.12</v>
      </c>
      <c r="P133" s="23">
        <v>-0.13</v>
      </c>
      <c r="Q133" s="23">
        <v>-5.0500000000000003E-2</v>
      </c>
      <c r="R133" s="23">
        <v>-4.1000000000000002E-2</v>
      </c>
      <c r="S133" s="23">
        <v>0.125</v>
      </c>
      <c r="T133" s="23">
        <v>0.14499999999999999</v>
      </c>
      <c r="U133" s="23">
        <v>0.04</v>
      </c>
      <c r="V133" s="23">
        <v>0.5</v>
      </c>
      <c r="W133" s="23">
        <v>0.15</v>
      </c>
      <c r="X133" s="23">
        <v>0.20499999999999999</v>
      </c>
      <c r="Y133" s="23">
        <v>-1.35E-2</v>
      </c>
      <c r="Z133" s="23">
        <v>-4.2999999999999997E-2</v>
      </c>
      <c r="AA133" s="23">
        <v>1.4500000000000001E-2</v>
      </c>
      <c r="AB133" s="23">
        <v>-3.0000000000000001E-3</v>
      </c>
      <c r="AC133" s="23">
        <v>2.5000000000000001E-3</v>
      </c>
      <c r="AD133" s="23">
        <v>-2.2499999999999999E-2</v>
      </c>
      <c r="AE133" s="23">
        <v>-7.2499999999999995E-2</v>
      </c>
      <c r="AF133" s="23">
        <v>-5.2999999999999999E-2</v>
      </c>
      <c r="AG133" s="23">
        <v>-7.5499999999999998E-2</v>
      </c>
      <c r="AH133" s="23">
        <v>-1.35E-2</v>
      </c>
      <c r="AI133" s="23">
        <v>-7.1999999999999995E-2</v>
      </c>
      <c r="AJ133" s="23">
        <v>-0.06</v>
      </c>
      <c r="AK133" s="23">
        <v>-1.7000000000000001E-2</v>
      </c>
      <c r="AL133" s="23">
        <v>2.3E-2</v>
      </c>
      <c r="AM133" s="23">
        <v>0.41</v>
      </c>
      <c r="AN133" s="23">
        <v>0.03</v>
      </c>
      <c r="AO133" s="23">
        <v>-0.45</v>
      </c>
      <c r="AP133" s="23">
        <v>-7.0000000000000007E-2</v>
      </c>
      <c r="AQ133" s="23">
        <v>-0.19500000000000001</v>
      </c>
      <c r="AR133" s="23">
        <v>-0.1</v>
      </c>
      <c r="AS133" s="23">
        <v>-0.37</v>
      </c>
      <c r="AT133" s="23">
        <v>0</v>
      </c>
      <c r="AU133" s="23">
        <v>0.43</v>
      </c>
      <c r="AV133" s="23">
        <v>-0.45</v>
      </c>
      <c r="AW133" s="23">
        <v>-0.13400000000000001</v>
      </c>
      <c r="AX133" s="23">
        <v>-0.06</v>
      </c>
      <c r="AY133" s="23">
        <v>-7.3999999999999996E-2</v>
      </c>
      <c r="AZ133" s="23">
        <v>-4.1000000000000002E-2</v>
      </c>
      <c r="BA133" s="23">
        <v>-6.6500000000000004E-2</v>
      </c>
      <c r="BB133" s="23">
        <v>-1.35E-2</v>
      </c>
      <c r="BC133" s="23">
        <v>-4.5999999999999999E-2</v>
      </c>
      <c r="BD133" s="23">
        <v>0</v>
      </c>
      <c r="BE133" s="23">
        <v>-7.2499999999999995E-2</v>
      </c>
      <c r="BF133" s="23">
        <v>0</v>
      </c>
      <c r="BG133" s="23">
        <v>0.14000000000000001</v>
      </c>
      <c r="BH133" s="23">
        <v>0.14499999999999999</v>
      </c>
      <c r="BI133" s="23">
        <v>0.125</v>
      </c>
      <c r="BJ133" s="23">
        <v>0.35</v>
      </c>
      <c r="BK133" s="23">
        <v>2.5000000000000001E-3</v>
      </c>
      <c r="BL133" s="23">
        <v>-0.01</v>
      </c>
      <c r="BM133" s="23">
        <v>5.0000000000000001E-3</v>
      </c>
      <c r="BN133" s="23">
        <v>-0.01</v>
      </c>
      <c r="BO133" s="23">
        <v>0</v>
      </c>
      <c r="BP133" s="23">
        <v>5.0000000000000001E-3</v>
      </c>
      <c r="BQ133" s="23">
        <v>2.5000000000000001E-3</v>
      </c>
      <c r="BR133" s="23">
        <v>0.01</v>
      </c>
      <c r="BS133">
        <v>5.0000000000000001E-3</v>
      </c>
      <c r="BT133">
        <v>0</v>
      </c>
      <c r="BU133">
        <v>0</v>
      </c>
      <c r="BV133">
        <v>0.03</v>
      </c>
    </row>
    <row r="134" spans="1:74" x14ac:dyDescent="0.25">
      <c r="A134" s="24" t="e">
        <f>#REF!-B134</f>
        <v>#REF!</v>
      </c>
      <c r="B134" s="24">
        <v>3.57</v>
      </c>
      <c r="C134" s="138">
        <f t="shared" si="4"/>
        <v>41153</v>
      </c>
      <c r="D134">
        <v>3.9175</v>
      </c>
      <c r="E134" s="24">
        <v>0.17</v>
      </c>
      <c r="F134" s="23">
        <v>5.9595441101380202E-2</v>
      </c>
      <c r="G134" s="23">
        <v>-0.13</v>
      </c>
      <c r="H134" s="23">
        <v>-0.15</v>
      </c>
      <c r="I134" s="27">
        <v>-0.09</v>
      </c>
      <c r="J134" s="27">
        <v>-0.13</v>
      </c>
      <c r="K134" s="23">
        <v>-0.09</v>
      </c>
      <c r="L134" s="23">
        <v>-4.1000000000000002E-2</v>
      </c>
      <c r="M134" s="23">
        <v>-6.0999999999999999E-2</v>
      </c>
      <c r="N134" s="23">
        <v>-0.12</v>
      </c>
      <c r="O134" s="23">
        <v>-0.12</v>
      </c>
      <c r="P134" s="23">
        <v>-0.13</v>
      </c>
      <c r="Q134" s="23">
        <v>-5.425E-2</v>
      </c>
      <c r="R134" s="23">
        <v>-4.1000000000000002E-2</v>
      </c>
      <c r="S134" s="23">
        <v>0.125</v>
      </c>
      <c r="T134" s="23">
        <v>0.14499999999999999</v>
      </c>
      <c r="U134" s="23">
        <v>0.04</v>
      </c>
      <c r="V134" s="23">
        <v>0.5</v>
      </c>
      <c r="W134" s="23">
        <v>0.125</v>
      </c>
      <c r="X134" s="23">
        <v>0.14499999999999999</v>
      </c>
      <c r="Y134" s="23">
        <v>-1.35E-2</v>
      </c>
      <c r="Z134" s="23">
        <v>-4.8000000000000001E-2</v>
      </c>
      <c r="AA134" s="23">
        <v>1.4500000000000001E-2</v>
      </c>
      <c r="AB134" s="23">
        <v>-3.0000000000000001E-3</v>
      </c>
      <c r="AC134" s="23">
        <v>2.5000000000000001E-3</v>
      </c>
      <c r="AD134" s="23">
        <v>-2.2499999999999999E-2</v>
      </c>
      <c r="AE134" s="23">
        <v>-7.2499999999999995E-2</v>
      </c>
      <c r="AF134" s="23">
        <v>-5.2999999999999999E-2</v>
      </c>
      <c r="AG134" s="23">
        <v>-7.5499999999999998E-2</v>
      </c>
      <c r="AH134" s="23">
        <v>-1.35E-2</v>
      </c>
      <c r="AI134" s="23">
        <v>-7.1999999999999995E-2</v>
      </c>
      <c r="AJ134" s="23">
        <v>-6.7500000000000004E-2</v>
      </c>
      <c r="AK134" s="23">
        <v>-1.7000000000000001E-2</v>
      </c>
      <c r="AL134" s="23">
        <v>2.3E-2</v>
      </c>
      <c r="AM134" s="23">
        <v>0.36</v>
      </c>
      <c r="AN134" s="23">
        <v>2.2499999999999999E-2</v>
      </c>
      <c r="AO134" s="23">
        <v>-0.45</v>
      </c>
      <c r="AP134" s="23">
        <v>-7.0000000000000007E-2</v>
      </c>
      <c r="AQ134" s="23">
        <v>-0.19500000000000001</v>
      </c>
      <c r="AR134" s="23">
        <v>-0.1</v>
      </c>
      <c r="AS134" s="23">
        <v>-0.37</v>
      </c>
      <c r="AT134" s="23">
        <v>0</v>
      </c>
      <c r="AU134" s="23">
        <v>0.43</v>
      </c>
      <c r="AV134" s="23">
        <v>-0.45</v>
      </c>
      <c r="AW134" s="23">
        <v>-0.14399999999999999</v>
      </c>
      <c r="AX134" s="23">
        <v>-0.06</v>
      </c>
      <c r="AY134" s="23">
        <v>-8.4000000000000005E-2</v>
      </c>
      <c r="AZ134" s="23">
        <v>-4.1000000000000002E-2</v>
      </c>
      <c r="BA134" s="23">
        <v>-7.1499999999999994E-2</v>
      </c>
      <c r="BB134" s="23">
        <v>-1.35E-2</v>
      </c>
      <c r="BC134" s="23">
        <v>-4.5999999999999999E-2</v>
      </c>
      <c r="BD134" s="23">
        <v>-7.4999999999999997E-3</v>
      </c>
      <c r="BE134" s="23">
        <v>-7.2499999999999995E-2</v>
      </c>
      <c r="BF134" s="23">
        <v>0</v>
      </c>
      <c r="BG134" s="23">
        <v>0.14000000000000001</v>
      </c>
      <c r="BH134" s="23">
        <v>0.14499999999999999</v>
      </c>
      <c r="BI134" s="23">
        <v>0.125</v>
      </c>
      <c r="BJ134" s="23">
        <v>0.315</v>
      </c>
      <c r="BK134" s="23">
        <v>2.5000000000000001E-3</v>
      </c>
      <c r="BL134" s="23">
        <v>-0.01</v>
      </c>
      <c r="BM134" s="23">
        <v>5.0000000000000001E-3</v>
      </c>
      <c r="BN134" s="23">
        <v>-0.01</v>
      </c>
      <c r="BO134" s="23">
        <v>0</v>
      </c>
      <c r="BP134" s="23">
        <v>5.0000000000000001E-3</v>
      </c>
      <c r="BQ134" s="23">
        <v>2.5000000000000001E-3</v>
      </c>
      <c r="BR134" s="23">
        <v>0.01</v>
      </c>
      <c r="BS134">
        <v>5.0000000000000001E-3</v>
      </c>
      <c r="BT134">
        <v>0</v>
      </c>
      <c r="BU134">
        <v>0</v>
      </c>
      <c r="BV134">
        <v>0.03</v>
      </c>
    </row>
    <row r="135" spans="1:74" x14ac:dyDescent="0.25">
      <c r="A135" s="24" t="e">
        <f>#REF!-B135</f>
        <v>#REF!</v>
      </c>
      <c r="B135" s="24">
        <v>3.4390000000000005</v>
      </c>
      <c r="C135" s="138">
        <f t="shared" ref="C135:C198" si="5">EOMONTH(C134,0)+1</f>
        <v>41183</v>
      </c>
      <c r="D135">
        <v>3.9424999999999999</v>
      </c>
      <c r="E135" s="24">
        <v>0.17</v>
      </c>
      <c r="F135" s="23">
        <v>5.96378554978991E-2</v>
      </c>
      <c r="G135" s="23">
        <v>-0.13</v>
      </c>
      <c r="H135" s="23">
        <v>-0.15</v>
      </c>
      <c r="I135" s="27">
        <v>-0.09</v>
      </c>
      <c r="J135" s="27">
        <v>-0.13</v>
      </c>
      <c r="K135" s="23">
        <v>-0.09</v>
      </c>
      <c r="L135" s="23">
        <v>-4.1000000000000002E-2</v>
      </c>
      <c r="M135" s="23">
        <v>-6.0999999999999999E-2</v>
      </c>
      <c r="N135" s="23">
        <v>-0.12</v>
      </c>
      <c r="O135" s="23">
        <v>-0.12</v>
      </c>
      <c r="P135" s="23">
        <v>-0.13</v>
      </c>
      <c r="Q135" s="23">
        <v>-5.9249999999999997E-2</v>
      </c>
      <c r="R135" s="23">
        <v>-4.1000000000000002E-2</v>
      </c>
      <c r="S135" s="23">
        <v>0.125</v>
      </c>
      <c r="T135" s="23">
        <v>0.14499999999999999</v>
      </c>
      <c r="U135" s="23">
        <v>0.04</v>
      </c>
      <c r="V135" s="23">
        <v>0.5</v>
      </c>
      <c r="W135" s="23">
        <v>0.14499999999999999</v>
      </c>
      <c r="X135" s="23">
        <v>0.17499999999999999</v>
      </c>
      <c r="Y135" s="23">
        <v>-1.35E-2</v>
      </c>
      <c r="Z135" s="23">
        <v>-4.8000000000000001E-2</v>
      </c>
      <c r="AA135" s="23">
        <v>9.4999999999999998E-3</v>
      </c>
      <c r="AB135" s="23">
        <v>-8.0000000000000002E-3</v>
      </c>
      <c r="AC135" s="23">
        <v>2.5000000000000001E-3</v>
      </c>
      <c r="AD135" s="23">
        <v>-2.2499999999999999E-2</v>
      </c>
      <c r="AE135" s="23">
        <v>-7.2499999999999995E-2</v>
      </c>
      <c r="AF135" s="23">
        <v>-5.2999999999999999E-2</v>
      </c>
      <c r="AG135" s="23">
        <v>-7.5499999999999998E-2</v>
      </c>
      <c r="AH135" s="23">
        <v>-1.35E-2</v>
      </c>
      <c r="AI135" s="23">
        <v>-7.1999999999999995E-2</v>
      </c>
      <c r="AJ135" s="23">
        <v>-7.7499999999999999E-2</v>
      </c>
      <c r="AK135" s="23">
        <v>-1.7000000000000001E-2</v>
      </c>
      <c r="AL135" s="23">
        <v>2.3E-2</v>
      </c>
      <c r="AM135" s="23">
        <v>0.4</v>
      </c>
      <c r="AN135" s="23">
        <v>1.2500000000000001E-2</v>
      </c>
      <c r="AO135" s="23">
        <v>-0.45</v>
      </c>
      <c r="AP135" s="23">
        <v>-7.0000000000000007E-2</v>
      </c>
      <c r="AQ135" s="23">
        <v>-0.19500000000000001</v>
      </c>
      <c r="AR135" s="23">
        <v>-0.1</v>
      </c>
      <c r="AS135" s="23">
        <v>-0.37</v>
      </c>
      <c r="AT135" s="23">
        <v>0</v>
      </c>
      <c r="AU135" s="23">
        <v>0.43</v>
      </c>
      <c r="AV135" s="23">
        <v>-0.45</v>
      </c>
      <c r="AW135" s="23">
        <v>-0.13150000000000001</v>
      </c>
      <c r="AX135" s="23">
        <v>-0.06</v>
      </c>
      <c r="AY135" s="23">
        <v>-7.1499999999999994E-2</v>
      </c>
      <c r="AZ135" s="23">
        <v>-4.1000000000000002E-2</v>
      </c>
      <c r="BA135" s="23">
        <v>-7.3999999999999996E-2</v>
      </c>
      <c r="BB135" s="23">
        <v>-1.35E-2</v>
      </c>
      <c r="BC135" s="23">
        <v>-4.5999999999999999E-2</v>
      </c>
      <c r="BD135" s="23">
        <v>-1.7500000000000002E-2</v>
      </c>
      <c r="BE135" s="23">
        <v>-7.2499999999999995E-2</v>
      </c>
      <c r="BF135" s="23">
        <v>0</v>
      </c>
      <c r="BG135" s="23">
        <v>0.14000000000000001</v>
      </c>
      <c r="BH135" s="23">
        <v>0.14499999999999999</v>
      </c>
      <c r="BI135" s="23">
        <v>0.125</v>
      </c>
      <c r="BJ135" s="23">
        <v>0.36</v>
      </c>
      <c r="BK135" s="23">
        <v>2.5000000000000001E-3</v>
      </c>
      <c r="BL135" s="23">
        <v>-1.4999999999999999E-2</v>
      </c>
      <c r="BM135" s="23">
        <v>5.0000000000000001E-3</v>
      </c>
      <c r="BN135" s="23">
        <v>-0.01</v>
      </c>
      <c r="BO135" s="23">
        <v>0</v>
      </c>
      <c r="BP135" s="23">
        <v>5.0000000000000001E-3</v>
      </c>
      <c r="BQ135" s="23">
        <v>2.5000000000000001E-3</v>
      </c>
      <c r="BR135" s="23">
        <v>0.01</v>
      </c>
      <c r="BS135">
        <v>5.0000000000000001E-3</v>
      </c>
      <c r="BT135">
        <v>0</v>
      </c>
      <c r="BU135">
        <v>0</v>
      </c>
      <c r="BV135">
        <v>0.03</v>
      </c>
    </row>
    <row r="136" spans="1:74" x14ac:dyDescent="0.25">
      <c r="A136" s="24" t="e">
        <f>#REF!-B136</f>
        <v>#REF!</v>
      </c>
      <c r="B136" s="24">
        <v>3.4190000000000005</v>
      </c>
      <c r="C136" s="138">
        <f t="shared" si="5"/>
        <v>41214</v>
      </c>
      <c r="D136">
        <v>4.0945</v>
      </c>
      <c r="E136" s="24">
        <v>0.17</v>
      </c>
      <c r="F136" s="23">
        <v>5.9681683708263697E-2</v>
      </c>
      <c r="G136" s="23">
        <v>-0.13</v>
      </c>
      <c r="H136" s="23">
        <v>-0.15</v>
      </c>
      <c r="I136" s="27">
        <v>-0.01</v>
      </c>
      <c r="J136" s="27">
        <v>-0.13</v>
      </c>
      <c r="K136" s="23">
        <v>0</v>
      </c>
      <c r="L136" s="23">
        <v>-4.0500000000000001E-2</v>
      </c>
      <c r="M136" s="23">
        <v>-7.5499999999999998E-2</v>
      </c>
      <c r="N136" s="23">
        <v>-0.12</v>
      </c>
      <c r="O136" s="23">
        <v>-0.12</v>
      </c>
      <c r="P136" s="23">
        <v>-0.13</v>
      </c>
      <c r="Q136" s="23">
        <v>-7.6499999999999999E-2</v>
      </c>
      <c r="R136" s="23">
        <v>-4.0500000000000001E-2</v>
      </c>
      <c r="S136" s="23">
        <v>0.155</v>
      </c>
      <c r="T136" s="23">
        <v>0.17499999999999999</v>
      </c>
      <c r="U136" s="23">
        <v>0.13</v>
      </c>
      <c r="V136" s="23">
        <v>0.5</v>
      </c>
      <c r="W136" s="23">
        <v>0.19500000000000001</v>
      </c>
      <c r="X136" s="23">
        <v>0.21</v>
      </c>
      <c r="Y136" s="23">
        <v>-1.0999999999999999E-2</v>
      </c>
      <c r="Z136" s="23">
        <v>-2.9000000000000001E-2</v>
      </c>
      <c r="AA136" s="23">
        <v>1.0500000000000001E-2</v>
      </c>
      <c r="AB136" s="23">
        <v>-7.0000000000000001E-3</v>
      </c>
      <c r="AC136" s="23">
        <v>2.5000000000000001E-3</v>
      </c>
      <c r="AD136" s="23">
        <v>-2.2499999999999999E-2</v>
      </c>
      <c r="AE136" s="23">
        <v>-7.4999999999999997E-2</v>
      </c>
      <c r="AF136" s="23">
        <v>-5.5500000000000001E-2</v>
      </c>
      <c r="AG136" s="23">
        <v>-7.8E-2</v>
      </c>
      <c r="AH136" s="23">
        <v>-9.9999990000000007E-3</v>
      </c>
      <c r="AI136" s="23">
        <v>-6.4000000000000001E-2</v>
      </c>
      <c r="AJ136" s="23">
        <v>-0.1125</v>
      </c>
      <c r="AK136" s="23">
        <v>-8.9999989999999998E-3</v>
      </c>
      <c r="AL136" s="23">
        <v>3.1E-2</v>
      </c>
      <c r="AM136" s="23">
        <v>0.65</v>
      </c>
      <c r="AN136" s="23">
        <v>-2.2499999999999999E-2</v>
      </c>
      <c r="AO136" s="23">
        <v>-0.34</v>
      </c>
      <c r="AP136" s="23">
        <v>-7.0000000000000007E-2</v>
      </c>
      <c r="AQ136" s="23">
        <v>-0.13</v>
      </c>
      <c r="AR136" s="23">
        <v>0.248</v>
      </c>
      <c r="AS136" s="23">
        <v>-0.26</v>
      </c>
      <c r="AT136" s="23">
        <v>0</v>
      </c>
      <c r="AU136" s="23">
        <v>0.35</v>
      </c>
      <c r="AV136" s="23">
        <v>-0.34</v>
      </c>
      <c r="AW136" s="23">
        <v>-0.13900000000000001</v>
      </c>
      <c r="AX136" s="23">
        <v>-0.06</v>
      </c>
      <c r="AY136" s="23">
        <v>-7.9000000000000001E-2</v>
      </c>
      <c r="AZ136" s="23">
        <v>-4.0500000000000001E-2</v>
      </c>
      <c r="BA136" s="23">
        <v>-6.9000000000000006E-2</v>
      </c>
      <c r="BB136" s="23">
        <v>-1.4999999999999999E-2</v>
      </c>
      <c r="BC136" s="23">
        <v>-6.0499999999999998E-2</v>
      </c>
      <c r="BD136" s="23">
        <v>-5.2499999999999998E-2</v>
      </c>
      <c r="BE136" s="23">
        <v>-7.4999999999999997E-2</v>
      </c>
      <c r="BF136" s="23">
        <v>0</v>
      </c>
      <c r="BG136" s="23">
        <v>0.17</v>
      </c>
      <c r="BH136" s="23">
        <v>0.17499999999999999</v>
      </c>
      <c r="BI136" s="23">
        <v>0.155</v>
      </c>
      <c r="BJ136" s="23">
        <v>0.46</v>
      </c>
      <c r="BK136" s="23">
        <v>2.5000000000000001E-3</v>
      </c>
      <c r="BL136" s="23">
        <v>-0.02</v>
      </c>
      <c r="BM136" s="23">
        <v>5.0000000000000001E-3</v>
      </c>
      <c r="BN136" s="23">
        <v>0</v>
      </c>
      <c r="BO136" s="23">
        <v>0</v>
      </c>
      <c r="BP136" s="23">
        <v>5.0000000000000001E-3</v>
      </c>
      <c r="BQ136" s="23">
        <v>5.0000000000000001E-3</v>
      </c>
      <c r="BR136" s="23">
        <v>5.5E-2</v>
      </c>
      <c r="BS136">
        <v>0.02</v>
      </c>
      <c r="BT136">
        <v>0</v>
      </c>
      <c r="BU136">
        <v>0</v>
      </c>
      <c r="BV136">
        <v>0.03</v>
      </c>
    </row>
    <row r="137" spans="1:74" x14ac:dyDescent="0.25">
      <c r="A137" s="24" t="e">
        <f>#REF!-B137</f>
        <v>#REF!</v>
      </c>
      <c r="B137" s="24">
        <v>3.407</v>
      </c>
      <c r="C137" s="138">
        <f t="shared" si="5"/>
        <v>41244</v>
      </c>
      <c r="D137">
        <v>4.2374999999999998</v>
      </c>
      <c r="E137" s="24">
        <v>0.17</v>
      </c>
      <c r="F137" s="23">
        <v>5.9724098105998102E-2</v>
      </c>
      <c r="G137" s="23">
        <v>-0.13250000000000001</v>
      </c>
      <c r="H137" s="23">
        <v>-0.1525</v>
      </c>
      <c r="I137" s="27">
        <v>-5.0000000000000001E-3</v>
      </c>
      <c r="J137" s="27">
        <v>-0.13</v>
      </c>
      <c r="K137" s="23">
        <v>5.0000000000000001E-3</v>
      </c>
      <c r="L137" s="23">
        <v>-4.0500000000000001E-2</v>
      </c>
      <c r="M137" s="23">
        <v>-7.5499999999999998E-2</v>
      </c>
      <c r="N137" s="23">
        <v>-0.1225</v>
      </c>
      <c r="O137" s="23">
        <v>-0.1225</v>
      </c>
      <c r="P137" s="23">
        <v>-0.13250000000000001</v>
      </c>
      <c r="Q137" s="23">
        <v>-8.7749999999999995E-2</v>
      </c>
      <c r="R137" s="23">
        <v>-4.0500000000000001E-2</v>
      </c>
      <c r="S137" s="23">
        <v>0.155</v>
      </c>
      <c r="T137" s="23">
        <v>0.17499999999999999</v>
      </c>
      <c r="U137" s="23">
        <v>0.13</v>
      </c>
      <c r="V137" s="23">
        <v>0.5</v>
      </c>
      <c r="W137" s="23">
        <v>0.215</v>
      </c>
      <c r="X137" s="23">
        <v>0.28999999999999998</v>
      </c>
      <c r="Y137" s="23">
        <v>-1.0999999999999999E-2</v>
      </c>
      <c r="Z137" s="23">
        <v>-2.9000000000000001E-2</v>
      </c>
      <c r="AA137" s="23">
        <v>1.0500000000000001E-2</v>
      </c>
      <c r="AB137" s="23">
        <v>-7.0000000000000001E-3</v>
      </c>
      <c r="AC137" s="23">
        <v>2.5000000000000001E-3</v>
      </c>
      <c r="AD137" s="23">
        <v>-2.2499999999999999E-2</v>
      </c>
      <c r="AE137" s="23">
        <v>-7.4999999999999997E-2</v>
      </c>
      <c r="AF137" s="23">
        <v>-5.3499999999999999E-2</v>
      </c>
      <c r="AG137" s="23">
        <v>-7.5999999999999998E-2</v>
      </c>
      <c r="AH137" s="23">
        <v>-7.4999990000000002E-3</v>
      </c>
      <c r="AI137" s="23">
        <v>-6.4000000000000001E-2</v>
      </c>
      <c r="AJ137" s="23">
        <v>-0.13500000000000001</v>
      </c>
      <c r="AK137" s="23">
        <v>-8.9999989999999998E-3</v>
      </c>
      <c r="AL137" s="23">
        <v>3.1E-2</v>
      </c>
      <c r="AM137" s="23">
        <v>0.98</v>
      </c>
      <c r="AN137" s="23">
        <v>-4.4999999999999998E-2</v>
      </c>
      <c r="AO137" s="23">
        <v>-0.34</v>
      </c>
      <c r="AP137" s="23">
        <v>-7.0000000000000007E-2</v>
      </c>
      <c r="AQ137" s="23">
        <v>-0.13</v>
      </c>
      <c r="AR137" s="23">
        <v>0.308</v>
      </c>
      <c r="AS137" s="23">
        <v>-0.26</v>
      </c>
      <c r="AT137" s="23">
        <v>0</v>
      </c>
      <c r="AU137" s="23">
        <v>0.35</v>
      </c>
      <c r="AV137" s="23">
        <v>-0.34</v>
      </c>
      <c r="AW137" s="23">
        <v>-0.16650000000000001</v>
      </c>
      <c r="AX137" s="23">
        <v>-0.06</v>
      </c>
      <c r="AY137" s="23">
        <v>-0.1065</v>
      </c>
      <c r="AZ137" s="23">
        <v>-4.0500000000000001E-2</v>
      </c>
      <c r="BA137" s="23">
        <v>-9.6500000000000002E-2</v>
      </c>
      <c r="BB137" s="23">
        <v>-1.2500000000000001E-2</v>
      </c>
      <c r="BC137" s="23">
        <v>-6.0499999999999998E-2</v>
      </c>
      <c r="BD137" s="23">
        <v>-7.4999999999999997E-2</v>
      </c>
      <c r="BE137" s="23">
        <v>-7.4999999999999997E-2</v>
      </c>
      <c r="BF137" s="23">
        <v>0</v>
      </c>
      <c r="BG137" s="23">
        <v>0.17</v>
      </c>
      <c r="BH137" s="23">
        <v>0.17499999999999999</v>
      </c>
      <c r="BI137" s="23">
        <v>0.155</v>
      </c>
      <c r="BJ137" s="23">
        <v>0.77</v>
      </c>
      <c r="BK137" s="23">
        <v>2.5000000000000001E-3</v>
      </c>
      <c r="BL137" s="23">
        <v>-2.5000000000000001E-2</v>
      </c>
      <c r="BM137" s="23">
        <v>5.0000000000000001E-3</v>
      </c>
      <c r="BN137" s="23">
        <v>0</v>
      </c>
      <c r="BO137" s="23">
        <v>0</v>
      </c>
      <c r="BP137" s="23">
        <v>5.0000000000000001E-3</v>
      </c>
      <c r="BQ137" s="23">
        <v>5.0000000000000001E-3</v>
      </c>
      <c r="BR137" s="23">
        <v>0.25</v>
      </c>
      <c r="BS137">
        <v>0.02</v>
      </c>
      <c r="BT137">
        <v>0</v>
      </c>
      <c r="BU137">
        <v>0</v>
      </c>
      <c r="BV137">
        <v>0.03</v>
      </c>
    </row>
    <row r="138" spans="1:74" x14ac:dyDescent="0.25">
      <c r="A138" s="24" t="e">
        <f>#REF!-B138</f>
        <v>#REF!</v>
      </c>
      <c r="B138" s="24">
        <v>3.472</v>
      </c>
      <c r="C138" s="138">
        <f t="shared" si="5"/>
        <v>41275</v>
      </c>
      <c r="D138">
        <v>4.2975000000000003</v>
      </c>
      <c r="E138" s="24">
        <v>0.17</v>
      </c>
      <c r="F138" s="23">
        <v>5.9767926317619E-2</v>
      </c>
      <c r="G138" s="23">
        <v>-0.13500000000000001</v>
      </c>
      <c r="H138" s="23">
        <v>-0.155</v>
      </c>
      <c r="I138" s="27">
        <v>1.4999999999999999E-2</v>
      </c>
      <c r="J138" s="27">
        <v>-0.13</v>
      </c>
      <c r="K138" s="23">
        <v>2.5000000000000001E-2</v>
      </c>
      <c r="L138" s="23">
        <v>-4.0500000000000001E-2</v>
      </c>
      <c r="M138" s="23">
        <v>-7.5499999999999998E-2</v>
      </c>
      <c r="N138" s="23">
        <v>-0.125</v>
      </c>
      <c r="O138" s="23">
        <v>-0.125</v>
      </c>
      <c r="P138" s="23">
        <v>-0.13500000000000001</v>
      </c>
      <c r="Q138" s="23">
        <v>-8.8999999999999996E-2</v>
      </c>
      <c r="R138" s="23">
        <v>-4.0500000000000001E-2</v>
      </c>
      <c r="S138" s="23">
        <v>0.155</v>
      </c>
      <c r="T138" s="23">
        <v>0.17499999999999999</v>
      </c>
      <c r="U138" s="23">
        <v>0.13</v>
      </c>
      <c r="V138" s="23">
        <v>0.5</v>
      </c>
      <c r="W138" s="23">
        <v>0.23499999999999999</v>
      </c>
      <c r="X138" s="23">
        <v>0.34</v>
      </c>
      <c r="Y138" s="23">
        <v>-8.9999989999999998E-3</v>
      </c>
      <c r="Z138" s="23">
        <v>-2.9000000000000001E-2</v>
      </c>
      <c r="AA138" s="23">
        <v>1.0500000000000001E-2</v>
      </c>
      <c r="AB138" s="23">
        <v>-4.4999999999999997E-3</v>
      </c>
      <c r="AC138" s="23">
        <v>2.5000000000000001E-3</v>
      </c>
      <c r="AD138" s="23">
        <v>-2.2499999999999999E-2</v>
      </c>
      <c r="AE138" s="23">
        <v>-7.4999999999999997E-2</v>
      </c>
      <c r="AF138" s="23">
        <v>-5.3499999999999999E-2</v>
      </c>
      <c r="AG138" s="23">
        <v>-7.5999999999999998E-2</v>
      </c>
      <c r="AH138" s="23">
        <v>-7.4999990000000002E-3</v>
      </c>
      <c r="AI138" s="23">
        <v>-6.4000000000000001E-2</v>
      </c>
      <c r="AJ138" s="23">
        <v>-0.13750000000000001</v>
      </c>
      <c r="AK138" s="23">
        <v>-8.9999989999999998E-3</v>
      </c>
      <c r="AL138" s="23">
        <v>3.1E-2</v>
      </c>
      <c r="AM138" s="23">
        <v>1.6</v>
      </c>
      <c r="AN138" s="23">
        <v>-4.7500000000000001E-2</v>
      </c>
      <c r="AO138" s="23">
        <v>-0.34</v>
      </c>
      <c r="AP138" s="23">
        <v>-7.0000000000000007E-2</v>
      </c>
      <c r="AQ138" s="23">
        <v>-0.13</v>
      </c>
      <c r="AR138" s="23">
        <v>0.378</v>
      </c>
      <c r="AS138" s="23">
        <v>-0.26</v>
      </c>
      <c r="AT138" s="23">
        <v>0</v>
      </c>
      <c r="AU138" s="23">
        <v>0.35</v>
      </c>
      <c r="AV138" s="23">
        <v>-0.34</v>
      </c>
      <c r="AW138" s="23">
        <v>-0.18149999999999999</v>
      </c>
      <c r="AX138" s="23">
        <v>-0.06</v>
      </c>
      <c r="AY138" s="23">
        <v>-0.1215</v>
      </c>
      <c r="AZ138" s="23">
        <v>-4.0500000000000001E-2</v>
      </c>
      <c r="BA138" s="23">
        <v>-9.7000000000000003E-2</v>
      </c>
      <c r="BB138" s="23">
        <v>-1.2500000000000001E-2</v>
      </c>
      <c r="BC138" s="23">
        <v>-6.0499999999999998E-2</v>
      </c>
      <c r="BD138" s="23">
        <v>-7.7499999999999999E-2</v>
      </c>
      <c r="BE138" s="23">
        <v>-7.4999999999999997E-2</v>
      </c>
      <c r="BF138" s="23">
        <v>0</v>
      </c>
      <c r="BG138" s="23">
        <v>0.17</v>
      </c>
      <c r="BH138" s="23">
        <v>0.17499999999999999</v>
      </c>
      <c r="BI138" s="23">
        <v>0.155</v>
      </c>
      <c r="BJ138" s="23">
        <v>1.04</v>
      </c>
      <c r="BK138" s="23">
        <v>2.5000000000000001E-3</v>
      </c>
      <c r="BL138" s="23">
        <v>-2.5000000000000001E-2</v>
      </c>
      <c r="BM138" s="23">
        <v>5.0000000000000001E-3</v>
      </c>
      <c r="BN138" s="23">
        <v>0</v>
      </c>
      <c r="BO138" s="23">
        <v>0</v>
      </c>
      <c r="BP138" s="23">
        <v>5.0000000000000001E-3</v>
      </c>
      <c r="BQ138" s="23">
        <v>5.0000000000000001E-3</v>
      </c>
      <c r="BR138" s="23">
        <v>0.45</v>
      </c>
      <c r="BS138">
        <v>0.02</v>
      </c>
      <c r="BT138">
        <v>0</v>
      </c>
      <c r="BU138">
        <v>0</v>
      </c>
      <c r="BV138">
        <v>0.03</v>
      </c>
    </row>
    <row r="139" spans="1:74" x14ac:dyDescent="0.25">
      <c r="A139" s="24" t="e">
        <f>#REF!-B139</f>
        <v>#REF!</v>
      </c>
      <c r="B139" s="24">
        <v>3.4670000000000001</v>
      </c>
      <c r="C139" s="138">
        <f t="shared" si="5"/>
        <v>41306</v>
      </c>
      <c r="D139">
        <v>4.2125000000000004</v>
      </c>
      <c r="E139" s="24">
        <v>0.17</v>
      </c>
      <c r="F139" s="23">
        <v>5.9811754529877498E-2</v>
      </c>
      <c r="G139" s="23">
        <v>-0.1275</v>
      </c>
      <c r="H139" s="23">
        <v>-0.14749999999999999</v>
      </c>
      <c r="I139" s="27">
        <v>0.01</v>
      </c>
      <c r="J139" s="27">
        <v>-0.13</v>
      </c>
      <c r="K139" s="23">
        <v>0.02</v>
      </c>
      <c r="L139" s="23">
        <v>-4.0500000000000001E-2</v>
      </c>
      <c r="M139" s="23">
        <v>-7.5499999999999998E-2</v>
      </c>
      <c r="N139" s="23">
        <v>-0.11749999999999999</v>
      </c>
      <c r="O139" s="23">
        <v>-0.11749999999999999</v>
      </c>
      <c r="P139" s="23">
        <v>-0.1275</v>
      </c>
      <c r="Q139" s="23">
        <v>-8.0250000000000002E-2</v>
      </c>
      <c r="R139" s="23">
        <v>-4.0500000000000001E-2</v>
      </c>
      <c r="S139" s="23">
        <v>0.155</v>
      </c>
      <c r="T139" s="23">
        <v>0.17499999999999999</v>
      </c>
      <c r="U139" s="23">
        <v>0.13</v>
      </c>
      <c r="V139" s="23">
        <v>0.5</v>
      </c>
      <c r="W139" s="23">
        <v>0.23499999999999999</v>
      </c>
      <c r="X139" s="23">
        <v>0.34</v>
      </c>
      <c r="Y139" s="23">
        <v>-8.9999989999999998E-3</v>
      </c>
      <c r="Z139" s="23">
        <v>-2.9000000000000001E-2</v>
      </c>
      <c r="AA139" s="23">
        <v>1.0500000000000001E-2</v>
      </c>
      <c r="AB139" s="23">
        <v>-4.4999999999999997E-3</v>
      </c>
      <c r="AC139" s="23">
        <v>2.5000000000000001E-3</v>
      </c>
      <c r="AD139" s="23">
        <v>-2.2499999999999999E-2</v>
      </c>
      <c r="AE139" s="23">
        <v>-7.4999999999999997E-2</v>
      </c>
      <c r="AF139" s="23">
        <v>-5.3499999999999999E-2</v>
      </c>
      <c r="AG139" s="23">
        <v>-7.5999999999999998E-2</v>
      </c>
      <c r="AH139" s="23">
        <v>-7.4999990000000002E-3</v>
      </c>
      <c r="AI139" s="23">
        <v>-6.4000000000000001E-2</v>
      </c>
      <c r="AJ139" s="23">
        <v>-0.12</v>
      </c>
      <c r="AK139" s="23">
        <v>-8.9999989999999998E-3</v>
      </c>
      <c r="AL139" s="23">
        <v>3.1E-2</v>
      </c>
      <c r="AM139" s="23">
        <v>1.6</v>
      </c>
      <c r="AN139" s="23">
        <v>-0.03</v>
      </c>
      <c r="AO139" s="23">
        <v>-0.34</v>
      </c>
      <c r="AP139" s="23">
        <v>-7.0000000000000007E-2</v>
      </c>
      <c r="AQ139" s="23">
        <v>-0.13</v>
      </c>
      <c r="AR139" s="23">
        <v>0.248</v>
      </c>
      <c r="AS139" s="23">
        <v>-0.26</v>
      </c>
      <c r="AT139" s="23">
        <v>0</v>
      </c>
      <c r="AU139" s="23">
        <v>0.35</v>
      </c>
      <c r="AV139" s="23">
        <v>-0.34</v>
      </c>
      <c r="AW139" s="23">
        <v>-0.17150000000000001</v>
      </c>
      <c r="AX139" s="23">
        <v>-0.06</v>
      </c>
      <c r="AY139" s="23">
        <v>-0.1115</v>
      </c>
      <c r="AZ139" s="23">
        <v>-4.0500000000000001E-2</v>
      </c>
      <c r="BA139" s="23">
        <v>-9.7000000000000003E-2</v>
      </c>
      <c r="BB139" s="23">
        <v>-1.2500000000000001E-2</v>
      </c>
      <c r="BC139" s="23">
        <v>-6.0499999999999998E-2</v>
      </c>
      <c r="BD139" s="23">
        <v>-0.06</v>
      </c>
      <c r="BE139" s="23">
        <v>-7.4999999999999997E-2</v>
      </c>
      <c r="BF139" s="23">
        <v>0</v>
      </c>
      <c r="BG139" s="23">
        <v>0.17</v>
      </c>
      <c r="BH139" s="23">
        <v>0.17499999999999999</v>
      </c>
      <c r="BI139" s="23">
        <v>0.155</v>
      </c>
      <c r="BJ139" s="23">
        <v>1.04</v>
      </c>
      <c r="BK139" s="23">
        <v>2.5000000000000001E-3</v>
      </c>
      <c r="BL139" s="23">
        <v>-2.5000000000000001E-2</v>
      </c>
      <c r="BM139" s="23">
        <v>5.0000000000000001E-3</v>
      </c>
      <c r="BN139" s="23">
        <v>0</v>
      </c>
      <c r="BO139" s="23">
        <v>0</v>
      </c>
      <c r="BP139" s="23">
        <v>5.0000000000000001E-3</v>
      </c>
      <c r="BQ139" s="23">
        <v>5.0000000000000001E-3</v>
      </c>
      <c r="BR139" s="23">
        <v>0.45</v>
      </c>
      <c r="BS139">
        <v>0.02</v>
      </c>
      <c r="BT139">
        <v>0</v>
      </c>
      <c r="BU139">
        <v>0</v>
      </c>
      <c r="BV139">
        <v>0.03</v>
      </c>
    </row>
    <row r="140" spans="1:74" x14ac:dyDescent="0.25">
      <c r="A140" s="24" t="e">
        <f>#REF!-B140</f>
        <v>#REF!</v>
      </c>
      <c r="B140" s="24">
        <v>3.4490000000000003</v>
      </c>
      <c r="C140" s="138">
        <f t="shared" si="5"/>
        <v>41334</v>
      </c>
      <c r="D140">
        <v>4.0824999999999996</v>
      </c>
      <c r="E140" s="24">
        <v>0.17</v>
      </c>
      <c r="F140" s="23">
        <v>5.9851341302789199E-2</v>
      </c>
      <c r="G140" s="23">
        <v>-0.125</v>
      </c>
      <c r="H140" s="23">
        <v>-0.14499999999999999</v>
      </c>
      <c r="I140" s="27">
        <v>-0.01</v>
      </c>
      <c r="J140" s="27">
        <v>-0.13</v>
      </c>
      <c r="K140" s="23">
        <v>0</v>
      </c>
      <c r="L140" s="23">
        <v>-4.0500000000000001E-2</v>
      </c>
      <c r="M140" s="23">
        <v>-7.5499999999999998E-2</v>
      </c>
      <c r="N140" s="23">
        <v>-0.115</v>
      </c>
      <c r="O140" s="23">
        <v>-0.115</v>
      </c>
      <c r="P140" s="23">
        <v>-0.125</v>
      </c>
      <c r="Q140" s="23">
        <v>-7.3999999999999996E-2</v>
      </c>
      <c r="R140" s="23">
        <v>-4.0500000000000001E-2</v>
      </c>
      <c r="S140" s="23">
        <v>0.155</v>
      </c>
      <c r="T140" s="23">
        <v>0.17499999999999999</v>
      </c>
      <c r="U140" s="23">
        <v>0.13</v>
      </c>
      <c r="V140" s="23">
        <v>0.5</v>
      </c>
      <c r="W140" s="23">
        <v>0.19500000000000001</v>
      </c>
      <c r="X140" s="23">
        <v>0.28999999999999998</v>
      </c>
      <c r="Y140" s="23">
        <v>-8.9999989999999998E-3</v>
      </c>
      <c r="Z140" s="23">
        <v>-2.9000000000000001E-2</v>
      </c>
      <c r="AA140" s="23">
        <v>1.7999999999999999E-2</v>
      </c>
      <c r="AB140" s="23">
        <v>3.0000000000000001E-3</v>
      </c>
      <c r="AC140" s="23">
        <v>2.5000000000000001E-3</v>
      </c>
      <c r="AD140" s="23">
        <v>-2.2499999999999999E-2</v>
      </c>
      <c r="AE140" s="23">
        <v>-7.4999999999999997E-2</v>
      </c>
      <c r="AF140" s="23">
        <v>-5.3499999999999999E-2</v>
      </c>
      <c r="AG140" s="23">
        <v>-7.5999999999999998E-2</v>
      </c>
      <c r="AH140" s="23">
        <v>-7.4999990000000002E-3</v>
      </c>
      <c r="AI140" s="23">
        <v>-6.4000000000000001E-2</v>
      </c>
      <c r="AJ140" s="23">
        <v>-0.1075</v>
      </c>
      <c r="AK140" s="23">
        <v>-8.9999989999999998E-3</v>
      </c>
      <c r="AL140" s="23">
        <v>3.1E-2</v>
      </c>
      <c r="AM140" s="23">
        <v>0.64</v>
      </c>
      <c r="AN140" s="23">
        <v>-1.7500000000000002E-2</v>
      </c>
      <c r="AO140" s="23">
        <v>-0.34</v>
      </c>
      <c r="AP140" s="23">
        <v>-7.0000000000000007E-2</v>
      </c>
      <c r="AQ140" s="23">
        <v>-0.13</v>
      </c>
      <c r="AR140" s="23">
        <v>6.8000000000000005E-2</v>
      </c>
      <c r="AS140" s="23">
        <v>-0.26</v>
      </c>
      <c r="AT140" s="23">
        <v>0</v>
      </c>
      <c r="AU140" s="23">
        <v>0.35</v>
      </c>
      <c r="AV140" s="23">
        <v>-0.34</v>
      </c>
      <c r="AW140" s="23">
        <v>-0.1615</v>
      </c>
      <c r="AX140" s="23">
        <v>-0.06</v>
      </c>
      <c r="AY140" s="23">
        <v>-0.10150000000000001</v>
      </c>
      <c r="AZ140" s="23">
        <v>-4.0500000000000001E-2</v>
      </c>
      <c r="BA140" s="23">
        <v>-9.7000000000000003E-2</v>
      </c>
      <c r="BB140" s="23">
        <v>-1.2500000000000001E-2</v>
      </c>
      <c r="BC140" s="23">
        <v>-6.0499999999999998E-2</v>
      </c>
      <c r="BD140" s="23">
        <v>-4.7500000000000001E-2</v>
      </c>
      <c r="BE140" s="23">
        <v>-7.4999999999999997E-2</v>
      </c>
      <c r="BF140" s="23">
        <v>0</v>
      </c>
      <c r="BG140" s="23">
        <v>0.17</v>
      </c>
      <c r="BH140" s="23">
        <v>0.17499999999999999</v>
      </c>
      <c r="BI140" s="23">
        <v>0.155</v>
      </c>
      <c r="BJ140" s="23">
        <v>0.54</v>
      </c>
      <c r="BK140" s="23">
        <v>2.5000000000000001E-3</v>
      </c>
      <c r="BL140" s="23">
        <v>-0.02</v>
      </c>
      <c r="BM140" s="23">
        <v>5.0000000000000001E-3</v>
      </c>
      <c r="BN140" s="23">
        <v>0</v>
      </c>
      <c r="BO140" s="23">
        <v>0</v>
      </c>
      <c r="BP140" s="23">
        <v>5.0000000000000001E-3</v>
      </c>
      <c r="BQ140" s="23">
        <v>5.0000000000000001E-3</v>
      </c>
      <c r="BR140" s="23">
        <v>0.1</v>
      </c>
      <c r="BS140">
        <v>0.02</v>
      </c>
      <c r="BT140">
        <v>0</v>
      </c>
      <c r="BU140">
        <v>0</v>
      </c>
      <c r="BV140">
        <v>0.03</v>
      </c>
    </row>
    <row r="141" spans="1:74" x14ac:dyDescent="0.25">
      <c r="A141" s="24" t="e">
        <f>#REF!-B141</f>
        <v>#REF!</v>
      </c>
      <c r="B141" s="24">
        <v>3.4590000000000005</v>
      </c>
      <c r="C141" s="138">
        <f t="shared" si="5"/>
        <v>41365</v>
      </c>
      <c r="D141">
        <v>3.8975</v>
      </c>
      <c r="E141" s="24">
        <v>0.17</v>
      </c>
      <c r="F141" s="23">
        <v>5.9895169516262399E-2</v>
      </c>
      <c r="G141" s="23">
        <v>-0.13</v>
      </c>
      <c r="H141" s="23">
        <v>-0.15</v>
      </c>
      <c r="I141" s="27">
        <v>-0.09</v>
      </c>
      <c r="J141" s="27">
        <v>-0.13</v>
      </c>
      <c r="K141" s="23">
        <v>-0.09</v>
      </c>
      <c r="L141" s="23">
        <v>-3.7999999999999999E-2</v>
      </c>
      <c r="M141" s="23">
        <v>-5.8000000000000003E-2</v>
      </c>
      <c r="N141" s="23">
        <v>-0.12</v>
      </c>
      <c r="O141" s="23">
        <v>-0.12</v>
      </c>
      <c r="P141" s="23">
        <v>-0.13</v>
      </c>
      <c r="Q141" s="23">
        <v>-5.3999999999999999E-2</v>
      </c>
      <c r="R141" s="23">
        <v>-3.7999999999999999E-2</v>
      </c>
      <c r="S141" s="23">
        <v>0.125</v>
      </c>
      <c r="T141" s="23">
        <v>0.14499999999999999</v>
      </c>
      <c r="U141" s="23">
        <v>0.04</v>
      </c>
      <c r="V141" s="23">
        <v>0.5</v>
      </c>
      <c r="W141" s="23">
        <v>0.14499999999999999</v>
      </c>
      <c r="X141" s="23">
        <v>0.19500000000000001</v>
      </c>
      <c r="Y141" s="23">
        <v>-1.15E-2</v>
      </c>
      <c r="Z141" s="23">
        <v>-4.3999999999999997E-2</v>
      </c>
      <c r="AA141" s="23">
        <v>1.7999999999999999E-2</v>
      </c>
      <c r="AB141" s="23">
        <v>3.0000000000000001E-3</v>
      </c>
      <c r="AC141" s="23">
        <v>2.5000000000000001E-3</v>
      </c>
      <c r="AD141" s="23">
        <v>-2.2499999999999999E-2</v>
      </c>
      <c r="AE141" s="23">
        <v>-7.2499999999999995E-2</v>
      </c>
      <c r="AF141" s="23">
        <v>-5.0999999999999997E-2</v>
      </c>
      <c r="AG141" s="23">
        <v>-7.3499999999999996E-2</v>
      </c>
      <c r="AH141" s="23">
        <v>-1.2500000000000001E-2</v>
      </c>
      <c r="AI141" s="23">
        <v>-7.1999999999999995E-2</v>
      </c>
      <c r="AJ141" s="23">
        <v>-7.0000000000000007E-2</v>
      </c>
      <c r="AK141" s="23">
        <v>-1.7000000000000001E-2</v>
      </c>
      <c r="AL141" s="23">
        <v>2.3E-2</v>
      </c>
      <c r="AM141" s="23">
        <v>0.38</v>
      </c>
      <c r="AN141" s="23">
        <v>0.02</v>
      </c>
      <c r="AO141" s="23">
        <v>-0.45</v>
      </c>
      <c r="AP141" s="23">
        <v>-7.0000000000000007E-2</v>
      </c>
      <c r="AQ141" s="23">
        <v>-0.19500000000000001</v>
      </c>
      <c r="AR141" s="23">
        <v>-0.25</v>
      </c>
      <c r="AS141" s="23">
        <v>-0.37</v>
      </c>
      <c r="AT141" s="23">
        <v>0</v>
      </c>
      <c r="AU141" s="23">
        <v>0.43</v>
      </c>
      <c r="AV141" s="23">
        <v>-0.45</v>
      </c>
      <c r="AW141" s="23">
        <v>-0.20200000000000001</v>
      </c>
      <c r="AX141" s="23">
        <v>-0.06</v>
      </c>
      <c r="AY141" s="23">
        <v>-0.14199999999999999</v>
      </c>
      <c r="AZ141" s="23">
        <v>-3.7999999999999999E-2</v>
      </c>
      <c r="BA141" s="23">
        <v>-0.1195</v>
      </c>
      <c r="BB141" s="23">
        <v>-1.2500000000000001E-2</v>
      </c>
      <c r="BC141" s="23">
        <v>-4.2999999999999997E-2</v>
      </c>
      <c r="BD141" s="23">
        <v>-0.01</v>
      </c>
      <c r="BE141" s="23">
        <v>-7.2499999999999995E-2</v>
      </c>
      <c r="BF141" s="23">
        <v>0</v>
      </c>
      <c r="BG141" s="23">
        <v>0.14000000000000001</v>
      </c>
      <c r="BH141" s="23">
        <v>0.14499999999999999</v>
      </c>
      <c r="BI141" s="23">
        <v>0.125</v>
      </c>
      <c r="BJ141" s="23">
        <v>0.36</v>
      </c>
      <c r="BK141" s="23">
        <v>2.5000000000000001E-3</v>
      </c>
      <c r="BL141" s="23">
        <v>-1.4999999999999999E-2</v>
      </c>
      <c r="BM141" s="23">
        <v>5.0000000000000001E-3</v>
      </c>
      <c r="BN141" s="23">
        <v>-0.01</v>
      </c>
      <c r="BO141" s="23">
        <v>0</v>
      </c>
      <c r="BP141" s="23">
        <v>5.0000000000000001E-3</v>
      </c>
      <c r="BQ141" s="23">
        <v>2.5000000000000001E-3</v>
      </c>
      <c r="BR141" s="23">
        <v>0.02</v>
      </c>
      <c r="BS141">
        <v>5.0000000000000001E-3</v>
      </c>
      <c r="BT141">
        <v>0</v>
      </c>
      <c r="BU141">
        <v>0</v>
      </c>
      <c r="BV141">
        <v>0.03</v>
      </c>
    </row>
    <row r="142" spans="1:74" x14ac:dyDescent="0.25">
      <c r="A142" s="24" t="e">
        <f>#REF!-B142</f>
        <v>#REF!</v>
      </c>
      <c r="B142" s="24">
        <v>3.5310000000000001</v>
      </c>
      <c r="C142" s="138">
        <f t="shared" si="5"/>
        <v>41395</v>
      </c>
      <c r="D142">
        <v>3.8925000000000001</v>
      </c>
      <c r="E142" s="24">
        <v>0.17</v>
      </c>
      <c r="F142" s="23">
        <v>5.9937583917006397E-2</v>
      </c>
      <c r="G142" s="23">
        <v>-0.13</v>
      </c>
      <c r="H142" s="23">
        <v>-0.15</v>
      </c>
      <c r="I142" s="27">
        <v>-0.09</v>
      </c>
      <c r="J142" s="27">
        <v>-0.13</v>
      </c>
      <c r="K142" s="23">
        <v>-0.09</v>
      </c>
      <c r="L142" s="23">
        <v>-3.7999999999999999E-2</v>
      </c>
      <c r="M142" s="23">
        <v>-5.8000000000000003E-2</v>
      </c>
      <c r="N142" s="23">
        <v>-0.12</v>
      </c>
      <c r="O142" s="23">
        <v>-0.12</v>
      </c>
      <c r="P142" s="23">
        <v>-0.13</v>
      </c>
      <c r="Q142" s="23">
        <v>-5.3999999999999999E-2</v>
      </c>
      <c r="R142" s="23">
        <v>-3.7999999999999999E-2</v>
      </c>
      <c r="S142" s="23">
        <v>0.125</v>
      </c>
      <c r="T142" s="23">
        <v>0.14499999999999999</v>
      </c>
      <c r="U142" s="23">
        <v>0.04</v>
      </c>
      <c r="V142" s="23">
        <v>0.5</v>
      </c>
      <c r="W142" s="23">
        <v>0.125</v>
      </c>
      <c r="X142" s="23">
        <v>0.13500000000000001</v>
      </c>
      <c r="Y142" s="23">
        <v>-1.15E-2</v>
      </c>
      <c r="Z142" s="23">
        <v>-4.3999999999999997E-2</v>
      </c>
      <c r="AA142" s="23">
        <v>2.0500000000000001E-2</v>
      </c>
      <c r="AB142" s="23">
        <v>5.4999999999999997E-3</v>
      </c>
      <c r="AC142" s="23">
        <v>2.5000000000000001E-3</v>
      </c>
      <c r="AD142" s="23">
        <v>-2.2499999999999999E-2</v>
      </c>
      <c r="AE142" s="23">
        <v>-7.2499999999999995E-2</v>
      </c>
      <c r="AF142" s="23">
        <v>-5.0999999999999997E-2</v>
      </c>
      <c r="AG142" s="23">
        <v>-7.3499999999999996E-2</v>
      </c>
      <c r="AH142" s="23">
        <v>-1.2500000000000001E-2</v>
      </c>
      <c r="AI142" s="23">
        <v>-7.1999999999999995E-2</v>
      </c>
      <c r="AJ142" s="23">
        <v>-7.0000000000000007E-2</v>
      </c>
      <c r="AK142" s="23">
        <v>-1.7000000000000001E-2</v>
      </c>
      <c r="AL142" s="23">
        <v>2.3E-2</v>
      </c>
      <c r="AM142" s="23">
        <v>0.33</v>
      </c>
      <c r="AN142" s="23">
        <v>0.02</v>
      </c>
      <c r="AO142" s="23">
        <v>-0.45</v>
      </c>
      <c r="AP142" s="23">
        <v>-7.0000000000000007E-2</v>
      </c>
      <c r="AQ142" s="23">
        <v>-0.19500000000000001</v>
      </c>
      <c r="AR142" s="23">
        <v>-0.1</v>
      </c>
      <c r="AS142" s="23">
        <v>-0.37</v>
      </c>
      <c r="AT142" s="23">
        <v>0</v>
      </c>
      <c r="AU142" s="23">
        <v>0.43</v>
      </c>
      <c r="AV142" s="23">
        <v>-0.45</v>
      </c>
      <c r="AW142" s="23">
        <v>-0.17949999999999999</v>
      </c>
      <c r="AX142" s="23">
        <v>-0.06</v>
      </c>
      <c r="AY142" s="23">
        <v>-0.1195</v>
      </c>
      <c r="AZ142" s="23">
        <v>-3.7999999999999999E-2</v>
      </c>
      <c r="BA142" s="23">
        <v>-0.112</v>
      </c>
      <c r="BB142" s="23">
        <v>-1.2500000000000001E-2</v>
      </c>
      <c r="BC142" s="23">
        <v>-4.2999999999999997E-2</v>
      </c>
      <c r="BD142" s="23">
        <v>-0.01</v>
      </c>
      <c r="BE142" s="23">
        <v>-7.2499999999999995E-2</v>
      </c>
      <c r="BF142" s="23">
        <v>0</v>
      </c>
      <c r="BG142" s="23">
        <v>0.14000000000000001</v>
      </c>
      <c r="BH142" s="23">
        <v>0.14499999999999999</v>
      </c>
      <c r="BI142" s="23">
        <v>0.125</v>
      </c>
      <c r="BJ142" s="23">
        <v>0.32500000000000001</v>
      </c>
      <c r="BK142" s="23">
        <v>2.5000000000000001E-3</v>
      </c>
      <c r="BL142" s="23">
        <v>-1.4999999999999999E-2</v>
      </c>
      <c r="BM142" s="23">
        <v>5.0000000000000001E-3</v>
      </c>
      <c r="BN142" s="23">
        <v>-0.01</v>
      </c>
      <c r="BO142" s="23">
        <v>0</v>
      </c>
      <c r="BP142" s="23">
        <v>5.0000000000000001E-3</v>
      </c>
      <c r="BQ142" s="23">
        <v>2.5000000000000001E-3</v>
      </c>
      <c r="BR142" s="23">
        <v>0.02</v>
      </c>
      <c r="BS142">
        <v>5.0000000000000001E-3</v>
      </c>
      <c r="BT142">
        <v>0</v>
      </c>
      <c r="BU142">
        <v>0</v>
      </c>
      <c r="BV142">
        <v>0.03</v>
      </c>
    </row>
    <row r="143" spans="1:74" x14ac:dyDescent="0.25">
      <c r="A143" s="24" t="e">
        <f>#REF!-B143</f>
        <v>#REF!</v>
      </c>
      <c r="B143" s="24">
        <v>3.6160000000000001</v>
      </c>
      <c r="C143" s="138">
        <f t="shared" si="5"/>
        <v>41426</v>
      </c>
      <c r="D143">
        <v>3.9275000000000002</v>
      </c>
      <c r="E143" s="24">
        <v>0.17</v>
      </c>
      <c r="F143" s="23">
        <v>5.9981412131735502E-2</v>
      </c>
      <c r="G143" s="23">
        <v>-0.13</v>
      </c>
      <c r="H143" s="23">
        <v>-0.15</v>
      </c>
      <c r="I143" s="27">
        <v>-0.09</v>
      </c>
      <c r="J143" s="27">
        <v>-0.13</v>
      </c>
      <c r="K143" s="23">
        <v>-0.09</v>
      </c>
      <c r="L143" s="23">
        <v>-3.7999999999999999E-2</v>
      </c>
      <c r="M143" s="23">
        <v>-5.8000000000000003E-2</v>
      </c>
      <c r="N143" s="23">
        <v>-0.12</v>
      </c>
      <c r="O143" s="23">
        <v>-0.12</v>
      </c>
      <c r="P143" s="23">
        <v>-0.13</v>
      </c>
      <c r="Q143" s="23">
        <v>-5.1499999999999997E-2</v>
      </c>
      <c r="R143" s="23">
        <v>-3.7999999999999999E-2</v>
      </c>
      <c r="S143" s="23">
        <v>0.125</v>
      </c>
      <c r="T143" s="23">
        <v>0.14499999999999999</v>
      </c>
      <c r="U143" s="23">
        <v>0.04</v>
      </c>
      <c r="V143" s="23">
        <v>0.5</v>
      </c>
      <c r="W143" s="23">
        <v>0.14499999999999999</v>
      </c>
      <c r="X143" s="23">
        <v>0.16500000000000001</v>
      </c>
      <c r="Y143" s="23">
        <v>-1.15E-2</v>
      </c>
      <c r="Z143" s="23">
        <v>-4.1500000000000002E-2</v>
      </c>
      <c r="AA143" s="23">
        <v>2.0500000000000001E-2</v>
      </c>
      <c r="AB143" s="23">
        <v>6.4999999999999997E-3</v>
      </c>
      <c r="AC143" s="23">
        <v>2.5000000000000001E-3</v>
      </c>
      <c r="AD143" s="23">
        <v>-2.2499999999999999E-2</v>
      </c>
      <c r="AE143" s="23">
        <v>-7.2499999999999995E-2</v>
      </c>
      <c r="AF143" s="23">
        <v>-5.0999999999999997E-2</v>
      </c>
      <c r="AG143" s="23">
        <v>-7.3499999999999996E-2</v>
      </c>
      <c r="AH143" s="23">
        <v>-1.2500000000000001E-2</v>
      </c>
      <c r="AI143" s="23">
        <v>-7.1999999999999995E-2</v>
      </c>
      <c r="AJ143" s="23">
        <v>-6.5000000000000002E-2</v>
      </c>
      <c r="AK143" s="23">
        <v>-1.7000000000000001E-2</v>
      </c>
      <c r="AL143" s="23">
        <v>2.3E-2</v>
      </c>
      <c r="AM143" s="23">
        <v>0.37</v>
      </c>
      <c r="AN143" s="23">
        <v>2.5000000000000001E-2</v>
      </c>
      <c r="AO143" s="23">
        <v>-0.45</v>
      </c>
      <c r="AP143" s="23">
        <v>-7.0000000000000007E-2</v>
      </c>
      <c r="AQ143" s="23">
        <v>-0.19500000000000001</v>
      </c>
      <c r="AR143" s="23">
        <v>-0.1</v>
      </c>
      <c r="AS143" s="23">
        <v>-0.37</v>
      </c>
      <c r="AT143" s="23">
        <v>0</v>
      </c>
      <c r="AU143" s="23">
        <v>0.43</v>
      </c>
      <c r="AV143" s="23">
        <v>-0.45</v>
      </c>
      <c r="AW143" s="23">
        <v>-0.127</v>
      </c>
      <c r="AX143" s="23">
        <v>-0.06</v>
      </c>
      <c r="AY143" s="23">
        <v>-6.7000000000000004E-2</v>
      </c>
      <c r="AZ143" s="23">
        <v>-3.7999999999999999E-2</v>
      </c>
      <c r="BA143" s="23">
        <v>-6.9500000000000006E-2</v>
      </c>
      <c r="BB143" s="23">
        <v>-1.2500000000000001E-2</v>
      </c>
      <c r="BC143" s="23">
        <v>-4.2999999999999997E-2</v>
      </c>
      <c r="BD143" s="23">
        <v>-5.0000000000000001E-3</v>
      </c>
      <c r="BE143" s="23">
        <v>-7.2499999999999995E-2</v>
      </c>
      <c r="BF143" s="23">
        <v>0</v>
      </c>
      <c r="BG143" s="23">
        <v>0.14000000000000001</v>
      </c>
      <c r="BH143" s="23">
        <v>0.14499999999999999</v>
      </c>
      <c r="BI143" s="23">
        <v>0.125</v>
      </c>
      <c r="BJ143" s="23">
        <v>0.33500000000000002</v>
      </c>
      <c r="BK143" s="23">
        <v>2.5000000000000001E-3</v>
      </c>
      <c r="BL143" s="23">
        <v>-1.4999999999999999E-2</v>
      </c>
      <c r="BM143" s="23">
        <v>5.0000000000000001E-3</v>
      </c>
      <c r="BN143" s="23">
        <v>-0.01</v>
      </c>
      <c r="BO143" s="23">
        <v>0</v>
      </c>
      <c r="BP143" s="23">
        <v>5.0000000000000001E-3</v>
      </c>
      <c r="BQ143" s="23">
        <v>2.5000000000000001E-3</v>
      </c>
      <c r="BR143" s="23">
        <v>3.5000000000000003E-2</v>
      </c>
      <c r="BS143">
        <v>5.0000000000000001E-3</v>
      </c>
      <c r="BT143">
        <v>0</v>
      </c>
      <c r="BU143">
        <v>0</v>
      </c>
      <c r="BV143">
        <v>0.03</v>
      </c>
    </row>
    <row r="144" spans="1:74" x14ac:dyDescent="0.25">
      <c r="A144" s="24" t="e">
        <f>#REF!-B144</f>
        <v>#REF!</v>
      </c>
      <c r="B144" s="24">
        <v>3.8860000000000001</v>
      </c>
      <c r="C144" s="138">
        <f t="shared" si="5"/>
        <v>41456</v>
      </c>
      <c r="D144">
        <v>3.9674999999999998</v>
      </c>
      <c r="E144" s="24">
        <v>0.17</v>
      </c>
      <c r="F144" s="23">
        <v>6.0023826533694501E-2</v>
      </c>
      <c r="G144" s="23">
        <v>-0.13</v>
      </c>
      <c r="H144" s="23">
        <v>-0.15</v>
      </c>
      <c r="I144" s="27">
        <v>-0.09</v>
      </c>
      <c r="J144" s="27">
        <v>-0.13</v>
      </c>
      <c r="K144" s="23">
        <v>-0.09</v>
      </c>
      <c r="L144" s="23">
        <v>-3.7999999999999999E-2</v>
      </c>
      <c r="M144" s="23">
        <v>-5.8000000000000003E-2</v>
      </c>
      <c r="N144" s="23">
        <v>-0.12</v>
      </c>
      <c r="O144" s="23">
        <v>-0.12</v>
      </c>
      <c r="P144" s="23">
        <v>-0.13</v>
      </c>
      <c r="Q144" s="23">
        <v>-5.0250000000000003E-2</v>
      </c>
      <c r="R144" s="23">
        <v>-3.7999999999999999E-2</v>
      </c>
      <c r="S144" s="23">
        <v>0.125</v>
      </c>
      <c r="T144" s="23">
        <v>0.14499999999999999</v>
      </c>
      <c r="U144" s="23">
        <v>0.04</v>
      </c>
      <c r="V144" s="23">
        <v>0.5</v>
      </c>
      <c r="W144" s="23">
        <v>0.15</v>
      </c>
      <c r="X144" s="23">
        <v>0.20499999999999999</v>
      </c>
      <c r="Y144" s="23">
        <v>-1.15E-2</v>
      </c>
      <c r="Z144" s="23">
        <v>-4.1500000000000002E-2</v>
      </c>
      <c r="AA144" s="23">
        <v>2.0500000000000001E-2</v>
      </c>
      <c r="AB144" s="23">
        <v>6.4999999999999997E-3</v>
      </c>
      <c r="AC144" s="23">
        <v>2.5000000000000001E-3</v>
      </c>
      <c r="AD144" s="23">
        <v>-2.2499999999999999E-2</v>
      </c>
      <c r="AE144" s="23">
        <v>-7.2499999999999995E-2</v>
      </c>
      <c r="AF144" s="23">
        <v>-5.0999999999999997E-2</v>
      </c>
      <c r="AG144" s="23">
        <v>-7.3499999999999996E-2</v>
      </c>
      <c r="AH144" s="23">
        <v>-1.2500000000000001E-2</v>
      </c>
      <c r="AI144" s="23">
        <v>-7.1999999999999995E-2</v>
      </c>
      <c r="AJ144" s="23">
        <v>-6.25E-2</v>
      </c>
      <c r="AK144" s="23">
        <v>-1.7000000000000001E-2</v>
      </c>
      <c r="AL144" s="23">
        <v>2.3E-2</v>
      </c>
      <c r="AM144" s="23">
        <v>0.41</v>
      </c>
      <c r="AN144" s="23">
        <v>2.75E-2</v>
      </c>
      <c r="AO144" s="23">
        <v>-0.45</v>
      </c>
      <c r="AP144" s="23">
        <v>-7.0000000000000007E-2</v>
      </c>
      <c r="AQ144" s="23">
        <v>-0.19500000000000001</v>
      </c>
      <c r="AR144" s="23">
        <v>-0.1</v>
      </c>
      <c r="AS144" s="23">
        <v>-0.37</v>
      </c>
      <c r="AT144" s="23">
        <v>0</v>
      </c>
      <c r="AU144" s="23">
        <v>0.43</v>
      </c>
      <c r="AV144" s="23">
        <v>-0.45</v>
      </c>
      <c r="AW144" s="23">
        <v>-0.13700000000000001</v>
      </c>
      <c r="AX144" s="23">
        <v>-0.06</v>
      </c>
      <c r="AY144" s="23">
        <v>-7.6999999999999999E-2</v>
      </c>
      <c r="AZ144" s="23">
        <v>-3.7999999999999999E-2</v>
      </c>
      <c r="BA144" s="23">
        <v>-6.7000000000000004E-2</v>
      </c>
      <c r="BB144" s="23">
        <v>-1.2500000000000001E-2</v>
      </c>
      <c r="BC144" s="23">
        <v>-4.2999999999999997E-2</v>
      </c>
      <c r="BD144" s="23">
        <v>-2.5000000000000001E-3</v>
      </c>
      <c r="BE144" s="23">
        <v>-7.2499999999999995E-2</v>
      </c>
      <c r="BF144" s="23">
        <v>0</v>
      </c>
      <c r="BG144" s="23">
        <v>0.14000000000000001</v>
      </c>
      <c r="BH144" s="23">
        <v>0.14499999999999999</v>
      </c>
      <c r="BI144" s="23">
        <v>0.125</v>
      </c>
      <c r="BJ144" s="23">
        <v>0.35</v>
      </c>
      <c r="BK144" s="23">
        <v>2.5000000000000001E-3</v>
      </c>
      <c r="BL144" s="23">
        <v>-0.01</v>
      </c>
      <c r="BM144" s="23">
        <v>5.0000000000000001E-3</v>
      </c>
      <c r="BN144" s="23">
        <v>-0.01</v>
      </c>
      <c r="BO144" s="23">
        <v>0</v>
      </c>
      <c r="BP144" s="23">
        <v>5.0000000000000001E-3</v>
      </c>
      <c r="BQ144" s="23">
        <v>2.5000000000000001E-3</v>
      </c>
      <c r="BR144" s="23">
        <v>3.5000000000000003E-2</v>
      </c>
      <c r="BS144">
        <v>5.0000000000000001E-3</v>
      </c>
      <c r="BT144">
        <v>0</v>
      </c>
      <c r="BU144">
        <v>0</v>
      </c>
      <c r="BV144">
        <v>0.03</v>
      </c>
    </row>
    <row r="145" spans="1:74" x14ac:dyDescent="0.25">
      <c r="A145" s="24" t="e">
        <f>#REF!-B145</f>
        <v>#REF!</v>
      </c>
      <c r="B145" s="24">
        <v>3.7949999999999999</v>
      </c>
      <c r="C145" s="138">
        <f t="shared" si="5"/>
        <v>41487</v>
      </c>
      <c r="D145">
        <v>4.0075000000000003</v>
      </c>
      <c r="E145" s="24">
        <v>0.17</v>
      </c>
      <c r="F145" s="23">
        <v>6.00676547496799E-2</v>
      </c>
      <c r="G145" s="23">
        <v>-0.13</v>
      </c>
      <c r="H145" s="23">
        <v>-0.15</v>
      </c>
      <c r="I145" s="27">
        <v>-0.09</v>
      </c>
      <c r="J145" s="27">
        <v>-0.13</v>
      </c>
      <c r="K145" s="23">
        <v>-0.09</v>
      </c>
      <c r="L145" s="23">
        <v>-3.7999999999999999E-2</v>
      </c>
      <c r="M145" s="23">
        <v>-5.8000000000000003E-2</v>
      </c>
      <c r="N145" s="23">
        <v>-0.12</v>
      </c>
      <c r="O145" s="23">
        <v>-0.12</v>
      </c>
      <c r="P145" s="23">
        <v>-0.13</v>
      </c>
      <c r="Q145" s="23">
        <v>-4.9000000000000002E-2</v>
      </c>
      <c r="R145" s="23">
        <v>-3.7999999999999999E-2</v>
      </c>
      <c r="S145" s="23">
        <v>0.125</v>
      </c>
      <c r="T145" s="23">
        <v>0.14499999999999999</v>
      </c>
      <c r="U145" s="23">
        <v>0.04</v>
      </c>
      <c r="V145" s="23">
        <v>0.5</v>
      </c>
      <c r="W145" s="23">
        <v>0.15</v>
      </c>
      <c r="X145" s="23">
        <v>0.20499999999999999</v>
      </c>
      <c r="Y145" s="23">
        <v>-1.15E-2</v>
      </c>
      <c r="Z145" s="23">
        <v>-4.1500000000000002E-2</v>
      </c>
      <c r="AA145" s="23">
        <v>1.55E-2</v>
      </c>
      <c r="AB145" s="23">
        <v>1.5E-3</v>
      </c>
      <c r="AC145" s="23">
        <v>2.5000000000000001E-3</v>
      </c>
      <c r="AD145" s="23">
        <v>-2.2499999999999999E-2</v>
      </c>
      <c r="AE145" s="23">
        <v>-7.2499999999999995E-2</v>
      </c>
      <c r="AF145" s="23">
        <v>-5.0999999999999997E-2</v>
      </c>
      <c r="AG145" s="23">
        <v>-7.3499999999999996E-2</v>
      </c>
      <c r="AH145" s="23">
        <v>-1.2500000000000001E-2</v>
      </c>
      <c r="AI145" s="23">
        <v>-7.1999999999999995E-2</v>
      </c>
      <c r="AJ145" s="23">
        <v>-0.06</v>
      </c>
      <c r="AK145" s="23">
        <v>-1.7000000000000001E-2</v>
      </c>
      <c r="AL145" s="23">
        <v>2.3E-2</v>
      </c>
      <c r="AM145" s="23">
        <v>0.41</v>
      </c>
      <c r="AN145" s="23">
        <v>0.03</v>
      </c>
      <c r="AO145" s="23">
        <v>-0.45</v>
      </c>
      <c r="AP145" s="23">
        <v>-7.0000000000000007E-2</v>
      </c>
      <c r="AQ145" s="23">
        <v>-0.19500000000000001</v>
      </c>
      <c r="AR145" s="23">
        <v>-0.1</v>
      </c>
      <c r="AS145" s="23">
        <v>-0.37</v>
      </c>
      <c r="AT145" s="23">
        <v>0</v>
      </c>
      <c r="AU145" s="23">
        <v>0.43</v>
      </c>
      <c r="AV145" s="23">
        <v>-0.45</v>
      </c>
      <c r="AW145" s="23">
        <v>-0.13200000000000001</v>
      </c>
      <c r="AX145" s="23">
        <v>-0.06</v>
      </c>
      <c r="AY145" s="23">
        <v>-7.1999999999999995E-2</v>
      </c>
      <c r="AZ145" s="23">
        <v>-3.7999999999999999E-2</v>
      </c>
      <c r="BA145" s="23">
        <v>-6.4500000000000002E-2</v>
      </c>
      <c r="BB145" s="23">
        <v>-1.2500000000000001E-2</v>
      </c>
      <c r="BC145" s="23">
        <v>-4.2999999999999997E-2</v>
      </c>
      <c r="BD145" s="23">
        <v>0</v>
      </c>
      <c r="BE145" s="23">
        <v>-7.2499999999999995E-2</v>
      </c>
      <c r="BF145" s="23">
        <v>0</v>
      </c>
      <c r="BG145" s="23">
        <v>0.14000000000000001</v>
      </c>
      <c r="BH145" s="23">
        <v>0.14499999999999999</v>
      </c>
      <c r="BI145" s="23">
        <v>0.125</v>
      </c>
      <c r="BJ145" s="23">
        <v>0.35</v>
      </c>
      <c r="BK145" s="23">
        <v>2.5000000000000001E-3</v>
      </c>
      <c r="BL145" s="23">
        <v>-0.01</v>
      </c>
      <c r="BM145" s="23">
        <v>5.0000000000000001E-3</v>
      </c>
      <c r="BN145" s="23">
        <v>-0.01</v>
      </c>
      <c r="BO145" s="23">
        <v>0</v>
      </c>
      <c r="BP145" s="23">
        <v>5.0000000000000001E-3</v>
      </c>
      <c r="BQ145" s="23">
        <v>2.5000000000000001E-3</v>
      </c>
      <c r="BR145" s="23">
        <v>0.01</v>
      </c>
      <c r="BS145">
        <v>5.0000000000000001E-3</v>
      </c>
      <c r="BT145">
        <v>0</v>
      </c>
      <c r="BU145">
        <v>0</v>
      </c>
      <c r="BV145">
        <v>0.03</v>
      </c>
    </row>
    <row r="146" spans="1:74" x14ac:dyDescent="0.25">
      <c r="A146" s="24" t="e">
        <f>#REF!-B146</f>
        <v>#REF!</v>
      </c>
      <c r="B146" s="24">
        <v>3.6640000000000006</v>
      </c>
      <c r="C146" s="138">
        <f t="shared" si="5"/>
        <v>41518</v>
      </c>
      <c r="D146">
        <v>4.0025000000000004</v>
      </c>
      <c r="E146" s="24">
        <v>0.17</v>
      </c>
      <c r="F146" s="23">
        <v>6.0111482966303899E-2</v>
      </c>
      <c r="G146" s="23">
        <v>-0.13</v>
      </c>
      <c r="H146" s="23">
        <v>-0.15</v>
      </c>
      <c r="I146" s="27">
        <v>-0.09</v>
      </c>
      <c r="J146" s="27">
        <v>-0.13</v>
      </c>
      <c r="K146" s="23">
        <v>-0.09</v>
      </c>
      <c r="L146" s="23">
        <v>-3.7999999999999999E-2</v>
      </c>
      <c r="M146" s="23">
        <v>-5.8000000000000003E-2</v>
      </c>
      <c r="N146" s="23">
        <v>-0.12</v>
      </c>
      <c r="O146" s="23">
        <v>-0.12</v>
      </c>
      <c r="P146" s="23">
        <v>-0.13</v>
      </c>
      <c r="Q146" s="23">
        <v>-5.2749999999999998E-2</v>
      </c>
      <c r="R146" s="23">
        <v>-3.7999999999999999E-2</v>
      </c>
      <c r="S146" s="23">
        <v>0.125</v>
      </c>
      <c r="T146" s="23">
        <v>0.14499999999999999</v>
      </c>
      <c r="U146" s="23">
        <v>0.04</v>
      </c>
      <c r="V146" s="23">
        <v>0.5</v>
      </c>
      <c r="W146" s="23">
        <v>0.125</v>
      </c>
      <c r="X146" s="23">
        <v>0.14499999999999999</v>
      </c>
      <c r="Y146" s="23">
        <v>-1.15E-2</v>
      </c>
      <c r="Z146" s="23">
        <v>-4.65E-2</v>
      </c>
      <c r="AA146" s="23">
        <v>1.55E-2</v>
      </c>
      <c r="AB146" s="23">
        <v>1.5E-3</v>
      </c>
      <c r="AC146" s="23">
        <v>2.5000000000000001E-3</v>
      </c>
      <c r="AD146" s="23">
        <v>-2.2499999999999999E-2</v>
      </c>
      <c r="AE146" s="23">
        <v>-7.2499999999999995E-2</v>
      </c>
      <c r="AF146" s="23">
        <v>-5.0999999999999997E-2</v>
      </c>
      <c r="AG146" s="23">
        <v>-7.3499999999999996E-2</v>
      </c>
      <c r="AH146" s="23">
        <v>-1.2500000000000001E-2</v>
      </c>
      <c r="AI146" s="23">
        <v>-7.1999999999999995E-2</v>
      </c>
      <c r="AJ146" s="23">
        <v>-6.7500000000000004E-2</v>
      </c>
      <c r="AK146" s="23">
        <v>-1.7000000000000001E-2</v>
      </c>
      <c r="AL146" s="23">
        <v>2.3E-2</v>
      </c>
      <c r="AM146" s="23">
        <v>0.36</v>
      </c>
      <c r="AN146" s="23">
        <v>2.2499999999999999E-2</v>
      </c>
      <c r="AO146" s="23">
        <v>-0.45</v>
      </c>
      <c r="AP146" s="23">
        <v>-7.0000000000000007E-2</v>
      </c>
      <c r="AQ146" s="23">
        <v>-0.19500000000000001</v>
      </c>
      <c r="AR146" s="23">
        <v>-0.1</v>
      </c>
      <c r="AS146" s="23">
        <v>-0.37</v>
      </c>
      <c r="AT146" s="23">
        <v>0</v>
      </c>
      <c r="AU146" s="23">
        <v>0.43</v>
      </c>
      <c r="AV146" s="23">
        <v>-0.45</v>
      </c>
      <c r="AW146" s="23">
        <v>-0.14199999999999999</v>
      </c>
      <c r="AX146" s="23">
        <v>-0.06</v>
      </c>
      <c r="AY146" s="23">
        <v>-8.2000000000000003E-2</v>
      </c>
      <c r="AZ146" s="23">
        <v>-3.7999999999999999E-2</v>
      </c>
      <c r="BA146" s="23">
        <v>-6.9500000000000006E-2</v>
      </c>
      <c r="BB146" s="23">
        <v>-1.2500000000000001E-2</v>
      </c>
      <c r="BC146" s="23">
        <v>-4.2999999999999997E-2</v>
      </c>
      <c r="BD146" s="23">
        <v>-7.4999999999999997E-3</v>
      </c>
      <c r="BE146" s="23">
        <v>-7.2499999999999995E-2</v>
      </c>
      <c r="BF146" s="23">
        <v>0</v>
      </c>
      <c r="BG146" s="23">
        <v>0.14000000000000001</v>
      </c>
      <c r="BH146" s="23">
        <v>0.14499999999999999</v>
      </c>
      <c r="BI146" s="23">
        <v>0.125</v>
      </c>
      <c r="BJ146" s="23">
        <v>0.315</v>
      </c>
      <c r="BK146" s="23">
        <v>2.5000000000000001E-3</v>
      </c>
      <c r="BL146" s="23">
        <v>-0.01</v>
      </c>
      <c r="BM146" s="23">
        <v>5.0000000000000001E-3</v>
      </c>
      <c r="BN146" s="23">
        <v>-0.01</v>
      </c>
      <c r="BO146" s="23">
        <v>0</v>
      </c>
      <c r="BP146" s="23">
        <v>5.0000000000000001E-3</v>
      </c>
      <c r="BQ146" s="23">
        <v>2.5000000000000001E-3</v>
      </c>
      <c r="BR146" s="23">
        <v>0.01</v>
      </c>
      <c r="BS146">
        <v>5.0000000000000001E-3</v>
      </c>
      <c r="BT146">
        <v>0</v>
      </c>
      <c r="BU146">
        <v>0</v>
      </c>
      <c r="BV146">
        <v>0.03</v>
      </c>
    </row>
    <row r="147" spans="1:74" x14ac:dyDescent="0.25">
      <c r="A147" s="24" t="e">
        <f>#REF!-B147</f>
        <v>#REF!</v>
      </c>
      <c r="B147" s="24">
        <v>3.5360000000000005</v>
      </c>
      <c r="C147" s="138">
        <f t="shared" si="5"/>
        <v>41548</v>
      </c>
      <c r="D147">
        <v>4.0274999999999999</v>
      </c>
      <c r="E147" s="24">
        <v>0.17</v>
      </c>
      <c r="F147" s="23">
        <v>6.0153897370095702E-2</v>
      </c>
      <c r="G147" s="23">
        <v>-0.13</v>
      </c>
      <c r="H147" s="23">
        <v>-0.15</v>
      </c>
      <c r="I147" s="27">
        <v>-0.09</v>
      </c>
      <c r="J147" s="27">
        <v>-0.13</v>
      </c>
      <c r="K147" s="23">
        <v>-0.09</v>
      </c>
      <c r="L147" s="23">
        <v>-3.7999999999999999E-2</v>
      </c>
      <c r="M147" s="23">
        <v>-5.8000000000000003E-2</v>
      </c>
      <c r="N147" s="23">
        <v>-0.12</v>
      </c>
      <c r="O147" s="23">
        <v>-0.12</v>
      </c>
      <c r="P147" s="23">
        <v>-0.13</v>
      </c>
      <c r="Q147" s="23">
        <v>-5.7750000000000003E-2</v>
      </c>
      <c r="R147" s="23">
        <v>-3.7999999999999999E-2</v>
      </c>
      <c r="S147" s="23">
        <v>0.125</v>
      </c>
      <c r="T147" s="23">
        <v>0.14499999999999999</v>
      </c>
      <c r="U147" s="23">
        <v>0.04</v>
      </c>
      <c r="V147" s="23">
        <v>0.5</v>
      </c>
      <c r="W147" s="23">
        <v>0.14499999999999999</v>
      </c>
      <c r="X147" s="23">
        <v>0.17499999999999999</v>
      </c>
      <c r="Y147" s="23">
        <v>-1.15E-2</v>
      </c>
      <c r="Z147" s="23">
        <v>-4.65E-2</v>
      </c>
      <c r="AA147" s="23">
        <v>1.0500000000000001E-2</v>
      </c>
      <c r="AB147" s="23">
        <v>-4.4999999999999997E-3</v>
      </c>
      <c r="AC147" s="23">
        <v>2.5000000000000001E-3</v>
      </c>
      <c r="AD147" s="23">
        <v>-2.2499999999999999E-2</v>
      </c>
      <c r="AE147" s="23">
        <v>-7.2499999999999995E-2</v>
      </c>
      <c r="AF147" s="23">
        <v>-5.0999999999999997E-2</v>
      </c>
      <c r="AG147" s="23">
        <v>-7.3499999999999996E-2</v>
      </c>
      <c r="AH147" s="23">
        <v>-1.2500000000000001E-2</v>
      </c>
      <c r="AI147" s="23">
        <v>-7.1999999999999995E-2</v>
      </c>
      <c r="AJ147" s="23">
        <v>-7.7499999999999999E-2</v>
      </c>
      <c r="AK147" s="23">
        <v>-1.7000000000000001E-2</v>
      </c>
      <c r="AL147" s="23">
        <v>2.3E-2</v>
      </c>
      <c r="AM147" s="23">
        <v>0.4</v>
      </c>
      <c r="AN147" s="23">
        <v>1.2500000000000001E-2</v>
      </c>
      <c r="AO147" s="23">
        <v>-0.45</v>
      </c>
      <c r="AP147" s="23">
        <v>-7.0000000000000007E-2</v>
      </c>
      <c r="AQ147" s="23">
        <v>-0.19500000000000001</v>
      </c>
      <c r="AR147" s="23">
        <v>-0.1</v>
      </c>
      <c r="AS147" s="23">
        <v>-0.37</v>
      </c>
      <c r="AT147" s="23">
        <v>0</v>
      </c>
      <c r="AU147" s="23">
        <v>0.43</v>
      </c>
      <c r="AV147" s="23">
        <v>-0.45</v>
      </c>
      <c r="AW147" s="23">
        <v>-0.1295</v>
      </c>
      <c r="AX147" s="23">
        <v>-0.06</v>
      </c>
      <c r="AY147" s="23">
        <v>-6.9500000000000006E-2</v>
      </c>
      <c r="AZ147" s="23">
        <v>-3.7999999999999999E-2</v>
      </c>
      <c r="BA147" s="23">
        <v>-7.1999999999999995E-2</v>
      </c>
      <c r="BB147" s="23">
        <v>-1.2500000000000001E-2</v>
      </c>
      <c r="BC147" s="23">
        <v>-4.2999999999999997E-2</v>
      </c>
      <c r="BD147" s="23">
        <v>-1.7500000000000002E-2</v>
      </c>
      <c r="BE147" s="23">
        <v>-7.2499999999999995E-2</v>
      </c>
      <c r="BF147" s="23">
        <v>0</v>
      </c>
      <c r="BG147" s="23">
        <v>0.14000000000000001</v>
      </c>
      <c r="BH147" s="23">
        <v>0.14499999999999999</v>
      </c>
      <c r="BI147" s="23">
        <v>0.125</v>
      </c>
      <c r="BJ147" s="23">
        <v>0.36</v>
      </c>
      <c r="BK147" s="23">
        <v>2.5000000000000001E-3</v>
      </c>
      <c r="BL147" s="23">
        <v>-1.4999999999999999E-2</v>
      </c>
      <c r="BM147" s="23">
        <v>5.0000000000000001E-3</v>
      </c>
      <c r="BN147" s="23">
        <v>-0.01</v>
      </c>
      <c r="BO147" s="23">
        <v>0</v>
      </c>
      <c r="BP147" s="23">
        <v>5.0000000000000001E-3</v>
      </c>
      <c r="BQ147" s="23">
        <v>2.5000000000000001E-3</v>
      </c>
      <c r="BR147" s="23">
        <v>0.01</v>
      </c>
      <c r="BS147">
        <v>5.0000000000000001E-3</v>
      </c>
      <c r="BT147">
        <v>0</v>
      </c>
      <c r="BU147">
        <v>0</v>
      </c>
      <c r="BV147">
        <v>0.03</v>
      </c>
    </row>
    <row r="148" spans="1:74" x14ac:dyDescent="0.25">
      <c r="A148" s="24" t="e">
        <f>#REF!-B148</f>
        <v>#REF!</v>
      </c>
      <c r="B148" s="24">
        <v>3.5169999999999999</v>
      </c>
      <c r="C148" s="138">
        <f t="shared" si="5"/>
        <v>41579</v>
      </c>
      <c r="D148">
        <v>4.1795</v>
      </c>
      <c r="E148" s="24">
        <v>0.17</v>
      </c>
      <c r="F148" s="23">
        <v>6.0197725587975502E-2</v>
      </c>
      <c r="G148" s="23">
        <v>-0.13</v>
      </c>
      <c r="H148" s="23">
        <v>-0.15</v>
      </c>
      <c r="I148" s="27">
        <v>-0.01</v>
      </c>
      <c r="J148" s="27">
        <v>-0.13</v>
      </c>
      <c r="K148" s="23">
        <v>0</v>
      </c>
      <c r="L148" s="23">
        <v>-3.7499999999999999E-2</v>
      </c>
      <c r="M148" s="23">
        <v>-7.2499999999999995E-2</v>
      </c>
      <c r="N148" s="23">
        <v>-0.12</v>
      </c>
      <c r="O148" s="23">
        <v>-0.12</v>
      </c>
      <c r="P148" s="23">
        <v>-0.13</v>
      </c>
      <c r="Q148" s="23">
        <v>-7.4999999999999997E-2</v>
      </c>
      <c r="R148" s="23">
        <v>-3.7499999999999999E-2</v>
      </c>
      <c r="S148" s="23">
        <v>0.155</v>
      </c>
      <c r="T148" s="23">
        <v>0.17499999999999999</v>
      </c>
      <c r="U148" s="23">
        <v>0.13</v>
      </c>
      <c r="V148" s="23">
        <v>0.5</v>
      </c>
      <c r="W148" s="23">
        <v>0.19500000000000001</v>
      </c>
      <c r="X148" s="23">
        <v>0.21</v>
      </c>
      <c r="Y148" s="23">
        <v>-8.9999989999999998E-3</v>
      </c>
      <c r="Z148" s="23">
        <v>-2.75E-2</v>
      </c>
      <c r="AA148" s="23">
        <v>1.15E-2</v>
      </c>
      <c r="AB148" s="23">
        <v>-1.5E-3</v>
      </c>
      <c r="AC148" s="23">
        <v>2.5000000000000001E-3</v>
      </c>
      <c r="AD148" s="23">
        <v>-2.2499999999999999E-2</v>
      </c>
      <c r="AE148" s="23">
        <v>-7.4999999999999997E-2</v>
      </c>
      <c r="AF148" s="23">
        <v>-5.3499999999999999E-2</v>
      </c>
      <c r="AG148" s="23">
        <v>-7.5999999999999998E-2</v>
      </c>
      <c r="AH148" s="23">
        <v>-8.9999989999999998E-3</v>
      </c>
      <c r="AI148" s="23">
        <v>-6.4000000000000001E-2</v>
      </c>
      <c r="AJ148" s="23">
        <v>-0.1125</v>
      </c>
      <c r="AK148" s="23">
        <v>-8.9999989999999998E-3</v>
      </c>
      <c r="AL148" s="23">
        <v>3.1E-2</v>
      </c>
      <c r="AM148" s="23">
        <v>0.65</v>
      </c>
      <c r="AN148" s="23">
        <v>-2.2499999999999999E-2</v>
      </c>
      <c r="AO148" s="23">
        <v>-0.34</v>
      </c>
      <c r="AP148" s="23">
        <v>-7.0000000000000007E-2</v>
      </c>
      <c r="AQ148" s="23">
        <v>-0.13</v>
      </c>
      <c r="AR148" s="23">
        <v>0.248</v>
      </c>
      <c r="AS148" s="23">
        <v>-0.26</v>
      </c>
      <c r="AT148" s="23">
        <v>0</v>
      </c>
      <c r="AU148" s="23">
        <v>0.35</v>
      </c>
      <c r="AV148" s="23">
        <v>-0.34</v>
      </c>
      <c r="AW148" s="23">
        <v>-0.13700000000000001</v>
      </c>
      <c r="AX148" s="23">
        <v>-0.06</v>
      </c>
      <c r="AY148" s="23">
        <v>-7.6999999999999999E-2</v>
      </c>
      <c r="AZ148" s="23">
        <v>-3.7499999999999999E-2</v>
      </c>
      <c r="BA148" s="23">
        <v>-6.7000000000000004E-2</v>
      </c>
      <c r="BB148" s="23">
        <v>-1.4E-2</v>
      </c>
      <c r="BC148" s="23">
        <v>-5.7500000000000002E-2</v>
      </c>
      <c r="BD148" s="23">
        <v>-5.2499999999999998E-2</v>
      </c>
      <c r="BE148" s="23">
        <v>-7.4999999999999997E-2</v>
      </c>
      <c r="BF148" s="23">
        <v>0</v>
      </c>
      <c r="BG148" s="23">
        <v>0.17</v>
      </c>
      <c r="BH148" s="23">
        <v>0.17499999999999999</v>
      </c>
      <c r="BI148" s="23">
        <v>0.155</v>
      </c>
      <c r="BJ148" s="23">
        <v>0.46</v>
      </c>
      <c r="BK148" s="23">
        <v>2.5000000000000001E-3</v>
      </c>
      <c r="BL148" s="23">
        <v>-0.02</v>
      </c>
      <c r="BM148" s="23">
        <v>5.0000000000000001E-3</v>
      </c>
      <c r="BN148" s="23">
        <v>0</v>
      </c>
      <c r="BO148" s="23">
        <v>0</v>
      </c>
      <c r="BP148" s="23">
        <v>5.0000000000000001E-3</v>
      </c>
      <c r="BQ148" s="23">
        <v>5.0000000000000001E-3</v>
      </c>
      <c r="BR148" s="23">
        <v>5.5E-2</v>
      </c>
      <c r="BS148">
        <v>0.02</v>
      </c>
      <c r="BT148">
        <v>0</v>
      </c>
      <c r="BU148">
        <v>0</v>
      </c>
      <c r="BV148">
        <v>0.03</v>
      </c>
    </row>
    <row r="149" spans="1:74" x14ac:dyDescent="0.25">
      <c r="A149" s="24" t="e">
        <f>#REF!-B149</f>
        <v>#REF!</v>
      </c>
      <c r="B149" s="24">
        <v>3.5060000000000002</v>
      </c>
      <c r="C149" s="138">
        <f t="shared" si="5"/>
        <v>41609</v>
      </c>
      <c r="D149">
        <v>4.3224999999999998</v>
      </c>
      <c r="E149" s="24">
        <v>0.17</v>
      </c>
      <c r="F149" s="23">
        <v>6.0240139992982403E-2</v>
      </c>
      <c r="G149" s="23">
        <v>-0.13250000000000001</v>
      </c>
      <c r="H149" s="23">
        <v>-0.1525</v>
      </c>
      <c r="I149" s="27">
        <v>-5.0000000000000001E-3</v>
      </c>
      <c r="J149" s="27">
        <v>-0.13</v>
      </c>
      <c r="K149" s="23">
        <v>5.0000000000000001E-3</v>
      </c>
      <c r="L149" s="23">
        <v>-3.7499999999999999E-2</v>
      </c>
      <c r="M149" s="23">
        <v>-7.2499999999999995E-2</v>
      </c>
      <c r="N149" s="23">
        <v>-0.1225</v>
      </c>
      <c r="O149" s="23">
        <v>-0.1225</v>
      </c>
      <c r="P149" s="23">
        <v>-0.13250000000000001</v>
      </c>
      <c r="Q149" s="23">
        <v>-8.6249999999999993E-2</v>
      </c>
      <c r="R149" s="23">
        <v>-3.7499999999999999E-2</v>
      </c>
      <c r="S149" s="23">
        <v>0.155</v>
      </c>
      <c r="T149" s="23">
        <v>0.17499999999999999</v>
      </c>
      <c r="U149" s="23">
        <v>0.13</v>
      </c>
      <c r="V149" s="23">
        <v>0.5</v>
      </c>
      <c r="W149" s="23">
        <v>0.215</v>
      </c>
      <c r="X149" s="23">
        <v>0.28999999999999998</v>
      </c>
      <c r="Y149" s="23">
        <v>-8.9999989999999998E-3</v>
      </c>
      <c r="Z149" s="23">
        <v>-2.75E-2</v>
      </c>
      <c r="AA149" s="23">
        <v>1.15E-2</v>
      </c>
      <c r="AB149" s="23">
        <v>-1.5E-3</v>
      </c>
      <c r="AC149" s="23">
        <v>2.5000000000000001E-3</v>
      </c>
      <c r="AD149" s="23">
        <v>-2.2499999999999999E-2</v>
      </c>
      <c r="AE149" s="23">
        <v>-7.4999999999999997E-2</v>
      </c>
      <c r="AF149" s="23">
        <v>-5.1499999999999997E-2</v>
      </c>
      <c r="AG149" s="23">
        <v>-7.3999999999999996E-2</v>
      </c>
      <c r="AH149" s="23">
        <v>-6.4999990000000002E-3</v>
      </c>
      <c r="AI149" s="23">
        <v>-6.4000000000000001E-2</v>
      </c>
      <c r="AJ149" s="23">
        <v>-0.13500000000000001</v>
      </c>
      <c r="AK149" s="23">
        <v>-8.9999989999999998E-3</v>
      </c>
      <c r="AL149" s="23">
        <v>3.1E-2</v>
      </c>
      <c r="AM149" s="23">
        <v>0.98</v>
      </c>
      <c r="AN149" s="23">
        <v>-4.4999999999999998E-2</v>
      </c>
      <c r="AO149" s="23">
        <v>-0.34</v>
      </c>
      <c r="AP149" s="23">
        <v>-7.0000000000000007E-2</v>
      </c>
      <c r="AQ149" s="23">
        <v>-0.13</v>
      </c>
      <c r="AR149" s="23">
        <v>0.308</v>
      </c>
      <c r="AS149" s="23">
        <v>-0.26</v>
      </c>
      <c r="AT149" s="23">
        <v>0</v>
      </c>
      <c r="AU149" s="23">
        <v>0.35</v>
      </c>
      <c r="AV149" s="23">
        <v>-0.34</v>
      </c>
      <c r="AW149" s="23">
        <v>-0.16450000000000001</v>
      </c>
      <c r="AX149" s="23">
        <v>-0.06</v>
      </c>
      <c r="AY149" s="23">
        <v>-0.1045</v>
      </c>
      <c r="AZ149" s="23">
        <v>-3.7499999999999999E-2</v>
      </c>
      <c r="BA149" s="23">
        <v>-9.4500000000000001E-2</v>
      </c>
      <c r="BB149" s="23">
        <v>-1.15E-2</v>
      </c>
      <c r="BC149" s="23">
        <v>-5.7500000000000002E-2</v>
      </c>
      <c r="BD149" s="23">
        <v>-7.4999999999999997E-2</v>
      </c>
      <c r="BE149" s="23">
        <v>-7.4999999999999997E-2</v>
      </c>
      <c r="BF149" s="23">
        <v>0</v>
      </c>
      <c r="BG149" s="23">
        <v>0.17</v>
      </c>
      <c r="BH149" s="23">
        <v>0.17499999999999999</v>
      </c>
      <c r="BI149" s="23">
        <v>0.155</v>
      </c>
      <c r="BJ149" s="23">
        <v>0.77</v>
      </c>
      <c r="BK149" s="23">
        <v>2.5000000000000001E-3</v>
      </c>
      <c r="BL149" s="23">
        <v>-2.5000000000000001E-2</v>
      </c>
      <c r="BM149" s="23">
        <v>5.0000000000000001E-3</v>
      </c>
      <c r="BN149" s="23">
        <v>0</v>
      </c>
      <c r="BO149" s="23">
        <v>0</v>
      </c>
      <c r="BP149" s="23">
        <v>5.0000000000000001E-3</v>
      </c>
      <c r="BQ149" s="23">
        <v>5.0000000000000001E-3</v>
      </c>
      <c r="BR149" s="23">
        <v>0.25</v>
      </c>
      <c r="BS149">
        <v>0.02</v>
      </c>
      <c r="BT149">
        <v>0</v>
      </c>
      <c r="BU149">
        <v>0</v>
      </c>
      <c r="BV149">
        <v>0.03</v>
      </c>
    </row>
    <row r="150" spans="1:74" x14ac:dyDescent="0.25">
      <c r="A150" s="24" t="e">
        <f>#REF!-B150</f>
        <v>#REF!</v>
      </c>
      <c r="B150" s="24">
        <v>3.5710000000000002</v>
      </c>
      <c r="C150" s="138">
        <f t="shared" si="5"/>
        <v>41640</v>
      </c>
      <c r="D150">
        <v>4.3825000000000003</v>
      </c>
      <c r="E150" s="24">
        <v>0.17</v>
      </c>
      <c r="F150" s="23">
        <v>6.0283968212118101E-2</v>
      </c>
      <c r="G150" s="23">
        <v>-0.13500000000000001</v>
      </c>
      <c r="H150" s="23">
        <v>-0.155</v>
      </c>
      <c r="I150" s="27">
        <v>1.4999999999999999E-2</v>
      </c>
      <c r="J150" s="27">
        <v>-0.13</v>
      </c>
      <c r="K150" s="23">
        <v>2.5000000000000001E-2</v>
      </c>
      <c r="L150" s="23">
        <v>-3.7499999999999999E-2</v>
      </c>
      <c r="M150" s="23">
        <v>-7.2499999999999995E-2</v>
      </c>
      <c r="N150" s="23">
        <v>-0.125</v>
      </c>
      <c r="O150" s="23">
        <v>-0.125</v>
      </c>
      <c r="P150" s="23">
        <v>-0.13500000000000001</v>
      </c>
      <c r="Q150" s="23">
        <v>-8.7499999999999994E-2</v>
      </c>
      <c r="R150" s="23">
        <v>-3.7499999999999999E-2</v>
      </c>
      <c r="S150" s="23">
        <v>0.155</v>
      </c>
      <c r="T150" s="23">
        <v>0.17499999999999999</v>
      </c>
      <c r="U150" s="23">
        <v>0.13</v>
      </c>
      <c r="V150" s="23">
        <v>0.5</v>
      </c>
      <c r="W150" s="23">
        <v>0.23499999999999999</v>
      </c>
      <c r="X150" s="23">
        <v>0.34</v>
      </c>
      <c r="Y150" s="23">
        <v>-6.9999989999999998E-3</v>
      </c>
      <c r="Z150" s="23">
        <v>-2.75E-2</v>
      </c>
      <c r="AA150" s="23">
        <v>1.15E-2</v>
      </c>
      <c r="AB150" s="23">
        <v>-1.5E-3</v>
      </c>
      <c r="AC150" s="23">
        <v>2.5000000000000001E-3</v>
      </c>
      <c r="AD150" s="23">
        <v>-2.0500000000000001E-2</v>
      </c>
      <c r="AE150" s="23">
        <v>-7.4999999999999997E-2</v>
      </c>
      <c r="AF150" s="23">
        <v>-5.1499999999999997E-2</v>
      </c>
      <c r="AG150" s="23">
        <v>-7.3999999999999996E-2</v>
      </c>
      <c r="AH150" s="23">
        <v>-6.4999990000000002E-3</v>
      </c>
      <c r="AI150" s="23">
        <v>-6.4000000000000001E-2</v>
      </c>
      <c r="AJ150" s="23">
        <v>-0.13750000000000001</v>
      </c>
      <c r="AK150" s="23">
        <v>-8.9999989999999998E-3</v>
      </c>
      <c r="AL150" s="23">
        <v>3.1E-2</v>
      </c>
      <c r="AM150" s="23">
        <v>1.6</v>
      </c>
      <c r="AN150" s="23">
        <v>-4.7500000000000001E-2</v>
      </c>
      <c r="AO150" s="23">
        <v>-0.34</v>
      </c>
      <c r="AP150" s="23">
        <v>-7.0000000000000007E-2</v>
      </c>
      <c r="AQ150" s="23">
        <v>-0.13</v>
      </c>
      <c r="AR150" s="23">
        <v>0.378</v>
      </c>
      <c r="AS150" s="23">
        <v>-0.26</v>
      </c>
      <c r="AT150" s="23">
        <v>0</v>
      </c>
      <c r="AU150" s="23">
        <v>0.35</v>
      </c>
      <c r="AV150" s="23">
        <v>-0.34</v>
      </c>
      <c r="AW150" s="23">
        <v>-0.17949999999999999</v>
      </c>
      <c r="AX150" s="23">
        <v>-0.06</v>
      </c>
      <c r="AY150" s="23">
        <v>-0.1195</v>
      </c>
      <c r="AZ150" s="23">
        <v>-3.7499999999999999E-2</v>
      </c>
      <c r="BA150" s="23">
        <v>-9.5000000000000001E-2</v>
      </c>
      <c r="BB150" s="23">
        <v>-1.15E-2</v>
      </c>
      <c r="BC150" s="23">
        <v>-5.7500000000000002E-2</v>
      </c>
      <c r="BD150" s="23">
        <v>-7.7499999999999999E-2</v>
      </c>
      <c r="BE150" s="23">
        <v>-7.4999999999999997E-2</v>
      </c>
      <c r="BF150" s="23">
        <v>0</v>
      </c>
      <c r="BG150" s="23">
        <v>0.17</v>
      </c>
      <c r="BH150" s="23">
        <v>0.17499999999999999</v>
      </c>
      <c r="BI150" s="23">
        <v>0.155</v>
      </c>
      <c r="BJ150" s="23">
        <v>1.04</v>
      </c>
      <c r="BK150" s="23">
        <v>2.5000000000000001E-3</v>
      </c>
      <c r="BL150" s="23">
        <v>-2.5000000000000001E-2</v>
      </c>
      <c r="BM150" s="23">
        <v>5.0000000000000001E-3</v>
      </c>
      <c r="BN150" s="23">
        <v>0</v>
      </c>
      <c r="BO150" s="23">
        <v>0</v>
      </c>
      <c r="BP150" s="23">
        <v>5.0000000000000001E-3</v>
      </c>
      <c r="BQ150" s="23">
        <v>5.0000000000000001E-3</v>
      </c>
      <c r="BR150" s="23">
        <v>0.45</v>
      </c>
      <c r="BS150">
        <v>0.02</v>
      </c>
      <c r="BT150">
        <v>0</v>
      </c>
      <c r="BU150">
        <v>0</v>
      </c>
      <c r="BV150">
        <v>0.03</v>
      </c>
    </row>
    <row r="151" spans="1:74" x14ac:dyDescent="0.25">
      <c r="A151" s="24" t="e">
        <f>#REF!-B151</f>
        <v>#REF!</v>
      </c>
      <c r="B151" s="24">
        <v>3.5660000000000003</v>
      </c>
      <c r="C151" s="138">
        <f t="shared" si="5"/>
        <v>41671</v>
      </c>
      <c r="D151">
        <v>4.2975000000000003</v>
      </c>
      <c r="E151" s="24">
        <v>0.17</v>
      </c>
      <c r="F151" s="23">
        <v>6.0327796431891102E-2</v>
      </c>
      <c r="G151" s="23">
        <v>-0.1275</v>
      </c>
      <c r="H151" s="23">
        <v>-0.14749999999999999</v>
      </c>
      <c r="I151" s="27">
        <v>0.01</v>
      </c>
      <c r="J151" s="27">
        <v>-0.13</v>
      </c>
      <c r="K151" s="23">
        <v>0.02</v>
      </c>
      <c r="L151" s="23">
        <v>-3.7499999999999999E-2</v>
      </c>
      <c r="M151" s="23">
        <v>-7.2499999999999995E-2</v>
      </c>
      <c r="N151" s="23">
        <v>-0.11749999999999999</v>
      </c>
      <c r="O151" s="23">
        <v>-0.11749999999999999</v>
      </c>
      <c r="P151" s="23">
        <v>-0.1275</v>
      </c>
      <c r="Q151" s="23">
        <v>-7.8750000000000001E-2</v>
      </c>
      <c r="R151" s="23">
        <v>-3.7499999999999999E-2</v>
      </c>
      <c r="S151" s="23">
        <v>0.155</v>
      </c>
      <c r="T151" s="23">
        <v>0.17499999999999999</v>
      </c>
      <c r="U151" s="23">
        <v>0.13</v>
      </c>
      <c r="V151" s="23">
        <v>0.5</v>
      </c>
      <c r="W151" s="23">
        <v>0.23499999999999999</v>
      </c>
      <c r="X151" s="23">
        <v>0.34</v>
      </c>
      <c r="Y151" s="23">
        <v>-6.9999989999999998E-3</v>
      </c>
      <c r="Z151" s="23">
        <v>-2.75E-2</v>
      </c>
      <c r="AA151" s="23">
        <v>1.15E-2</v>
      </c>
      <c r="AB151" s="23">
        <v>-1.5E-3</v>
      </c>
      <c r="AC151" s="23">
        <v>2.5000000000000001E-3</v>
      </c>
      <c r="AD151" s="23">
        <v>-2.0500000000000001E-2</v>
      </c>
      <c r="AE151" s="23">
        <v>-7.4999999999999997E-2</v>
      </c>
      <c r="AF151" s="23">
        <v>-5.1499999999999997E-2</v>
      </c>
      <c r="AG151" s="23">
        <v>-7.3999999999999996E-2</v>
      </c>
      <c r="AH151" s="23">
        <v>-6.4999990000000002E-3</v>
      </c>
      <c r="AI151" s="23">
        <v>-6.4000000000000001E-2</v>
      </c>
      <c r="AJ151" s="23">
        <v>-0.12</v>
      </c>
      <c r="AK151" s="23">
        <v>-8.9999989999999998E-3</v>
      </c>
      <c r="AL151" s="23">
        <v>3.1E-2</v>
      </c>
      <c r="AM151" s="23">
        <v>1.6</v>
      </c>
      <c r="AN151" s="23">
        <v>-0.03</v>
      </c>
      <c r="AO151" s="23">
        <v>-0.34</v>
      </c>
      <c r="AP151" s="23">
        <v>-7.0000000000000007E-2</v>
      </c>
      <c r="AQ151" s="23">
        <v>-0.13</v>
      </c>
      <c r="AR151" s="23">
        <v>0.248</v>
      </c>
      <c r="AS151" s="23">
        <v>-0.26</v>
      </c>
      <c r="AT151" s="23">
        <v>0</v>
      </c>
      <c r="AU151" s="23">
        <v>0.35</v>
      </c>
      <c r="AV151" s="23">
        <v>-0.34</v>
      </c>
      <c r="AW151" s="23">
        <v>-0.16950000000000001</v>
      </c>
      <c r="AX151" s="23">
        <v>-0.06</v>
      </c>
      <c r="AY151" s="23">
        <v>-0.1095</v>
      </c>
      <c r="AZ151" s="23">
        <v>-3.7499999999999999E-2</v>
      </c>
      <c r="BA151" s="23">
        <v>-9.5000000000000001E-2</v>
      </c>
      <c r="BB151" s="23">
        <v>-1.15E-2</v>
      </c>
      <c r="BC151" s="23">
        <v>-5.7500000000000002E-2</v>
      </c>
      <c r="BD151" s="23">
        <v>-0.06</v>
      </c>
      <c r="BE151" s="23">
        <v>-7.4999999999999997E-2</v>
      </c>
      <c r="BF151" s="23">
        <v>0</v>
      </c>
      <c r="BG151" s="23">
        <v>0.17</v>
      </c>
      <c r="BH151" s="23">
        <v>0.17499999999999999</v>
      </c>
      <c r="BI151" s="23">
        <v>0.155</v>
      </c>
      <c r="BJ151" s="23">
        <v>1.04</v>
      </c>
      <c r="BK151" s="23">
        <v>2.5000000000000001E-3</v>
      </c>
      <c r="BL151" s="23">
        <v>-2.5000000000000001E-2</v>
      </c>
      <c r="BM151" s="23">
        <v>5.0000000000000001E-3</v>
      </c>
      <c r="BN151" s="23">
        <v>0</v>
      </c>
      <c r="BO151" s="23">
        <v>0</v>
      </c>
      <c r="BP151" s="23">
        <v>5.0000000000000001E-3</v>
      </c>
      <c r="BQ151" s="23">
        <v>5.0000000000000001E-3</v>
      </c>
      <c r="BR151" s="23">
        <v>0.45</v>
      </c>
      <c r="BS151">
        <v>0.02</v>
      </c>
      <c r="BT151">
        <v>0</v>
      </c>
      <c r="BU151">
        <v>0</v>
      </c>
      <c r="BV151">
        <v>0.03</v>
      </c>
    </row>
    <row r="152" spans="1:74" x14ac:dyDescent="0.25">
      <c r="A152" s="24" t="e">
        <f>#REF!-B152</f>
        <v>#REF!</v>
      </c>
      <c r="B152" s="24">
        <v>3.5470000000000002</v>
      </c>
      <c r="C152" s="138">
        <f t="shared" si="5"/>
        <v>41699</v>
      </c>
      <c r="D152">
        <v>4.1675000000000004</v>
      </c>
      <c r="E152" s="24">
        <v>0.17</v>
      </c>
      <c r="F152" s="23">
        <v>6.0367383211590298E-2</v>
      </c>
      <c r="G152" s="23">
        <v>-0.125</v>
      </c>
      <c r="H152" s="23">
        <v>-0.14499999999999999</v>
      </c>
      <c r="I152" s="27">
        <v>-0.01</v>
      </c>
      <c r="J152" s="27">
        <v>-0.13</v>
      </c>
      <c r="K152" s="23">
        <v>0</v>
      </c>
      <c r="L152" s="23">
        <v>-3.7499999999999999E-2</v>
      </c>
      <c r="M152" s="23">
        <v>-7.2499999999999995E-2</v>
      </c>
      <c r="N152" s="23">
        <v>-0.115</v>
      </c>
      <c r="O152" s="23">
        <v>-0.115</v>
      </c>
      <c r="P152" s="23">
        <v>-0.125</v>
      </c>
      <c r="Q152" s="23">
        <v>-7.2499999999999995E-2</v>
      </c>
      <c r="R152" s="23">
        <v>-3.7499999999999999E-2</v>
      </c>
      <c r="S152" s="23">
        <v>0.155</v>
      </c>
      <c r="T152" s="23">
        <v>0.17499999999999999</v>
      </c>
      <c r="U152" s="23">
        <v>0.13</v>
      </c>
      <c r="V152" s="23">
        <v>0.5</v>
      </c>
      <c r="W152" s="23">
        <v>0.19500000000000001</v>
      </c>
      <c r="X152" s="23">
        <v>0.28999999999999998</v>
      </c>
      <c r="Y152" s="23">
        <v>-6.9999989999999998E-3</v>
      </c>
      <c r="Z152" s="23">
        <v>-2.75E-2</v>
      </c>
      <c r="AA152" s="23">
        <v>1.9E-2</v>
      </c>
      <c r="AB152" s="23">
        <v>4.0000000000000001E-3</v>
      </c>
      <c r="AC152" s="23">
        <v>2.5000000000000001E-3</v>
      </c>
      <c r="AD152" s="23">
        <v>-2.0500000000000001E-2</v>
      </c>
      <c r="AE152" s="23">
        <v>-7.4999999999999997E-2</v>
      </c>
      <c r="AF152" s="23">
        <v>-5.1499999999999997E-2</v>
      </c>
      <c r="AG152" s="23">
        <v>-7.3999999999999996E-2</v>
      </c>
      <c r="AH152" s="23">
        <v>-6.4999990000000002E-3</v>
      </c>
      <c r="AI152" s="23">
        <v>-6.4000000000000001E-2</v>
      </c>
      <c r="AJ152" s="23">
        <v>-0.1075</v>
      </c>
      <c r="AK152" s="23">
        <v>-8.9999989999999998E-3</v>
      </c>
      <c r="AL152" s="23">
        <v>3.1E-2</v>
      </c>
      <c r="AM152" s="23">
        <v>0.64</v>
      </c>
      <c r="AN152" s="23">
        <v>-1.7500000000000002E-2</v>
      </c>
      <c r="AO152" s="23">
        <v>-0.34</v>
      </c>
      <c r="AP152" s="23">
        <v>-7.0000000000000007E-2</v>
      </c>
      <c r="AQ152" s="23">
        <v>-0.13</v>
      </c>
      <c r="AR152" s="23">
        <v>6.8000000000000005E-2</v>
      </c>
      <c r="AS152" s="23">
        <v>-0.26</v>
      </c>
      <c r="AT152" s="23">
        <v>0</v>
      </c>
      <c r="AU152" s="23">
        <v>0.35</v>
      </c>
      <c r="AV152" s="23">
        <v>-0.34</v>
      </c>
      <c r="AW152" s="23">
        <v>-0.1595</v>
      </c>
      <c r="AX152" s="23">
        <v>-0.06</v>
      </c>
      <c r="AY152" s="23">
        <v>-9.9500000000000005E-2</v>
      </c>
      <c r="AZ152" s="23">
        <v>-3.7499999999999999E-2</v>
      </c>
      <c r="BA152" s="23">
        <v>-9.5000000000000001E-2</v>
      </c>
      <c r="BB152" s="23">
        <v>-1.15E-2</v>
      </c>
      <c r="BC152" s="23">
        <v>-5.7500000000000002E-2</v>
      </c>
      <c r="BD152" s="23">
        <v>-4.7500000000000001E-2</v>
      </c>
      <c r="BE152" s="23">
        <v>-7.4999999999999997E-2</v>
      </c>
      <c r="BF152" s="23">
        <v>0</v>
      </c>
      <c r="BG152" s="23">
        <v>0.17</v>
      </c>
      <c r="BH152" s="23">
        <v>0.17499999999999999</v>
      </c>
      <c r="BI152" s="23">
        <v>0.155</v>
      </c>
      <c r="BJ152" s="23">
        <v>0.54</v>
      </c>
      <c r="BK152" s="23">
        <v>2.5000000000000001E-3</v>
      </c>
      <c r="BL152" s="23">
        <v>-0.02</v>
      </c>
      <c r="BM152" s="23">
        <v>5.0000000000000001E-3</v>
      </c>
      <c r="BN152" s="23">
        <v>0</v>
      </c>
      <c r="BO152" s="23">
        <v>0</v>
      </c>
      <c r="BP152" s="23">
        <v>5.0000000000000001E-3</v>
      </c>
      <c r="BQ152" s="23">
        <v>5.0000000000000001E-3</v>
      </c>
      <c r="BR152" s="23">
        <v>0.1</v>
      </c>
      <c r="BS152">
        <v>0.02</v>
      </c>
      <c r="BT152">
        <v>0</v>
      </c>
      <c r="BU152">
        <v>0</v>
      </c>
      <c r="BV152">
        <v>0.03</v>
      </c>
    </row>
    <row r="153" spans="1:74" x14ac:dyDescent="0.25">
      <c r="A153" s="24" t="e">
        <f>#REF!-B153</f>
        <v>#REF!</v>
      </c>
      <c r="B153" s="24">
        <v>3.5560000000000005</v>
      </c>
      <c r="C153" s="138">
        <f t="shared" si="5"/>
        <v>41730</v>
      </c>
      <c r="D153">
        <v>3.9824999999999999</v>
      </c>
      <c r="E153" s="24">
        <v>0.17</v>
      </c>
      <c r="F153" s="23">
        <v>6.0411211432577903E-2</v>
      </c>
      <c r="G153" s="23">
        <v>-0.13</v>
      </c>
      <c r="H153" s="23">
        <v>-0.15</v>
      </c>
      <c r="I153" s="27">
        <v>-0.09</v>
      </c>
      <c r="J153" s="27">
        <v>-0.13</v>
      </c>
      <c r="K153" s="23">
        <v>-0.09</v>
      </c>
      <c r="L153" s="23">
        <v>-0.03</v>
      </c>
      <c r="M153" s="23">
        <v>-5.5500000000000001E-2</v>
      </c>
      <c r="N153" s="23">
        <v>-0.12</v>
      </c>
      <c r="O153" s="23">
        <v>-0.12</v>
      </c>
      <c r="P153" s="23">
        <v>-0.13</v>
      </c>
      <c r="Q153" s="23">
        <v>-5.2499999999999998E-2</v>
      </c>
      <c r="R153" s="23">
        <v>-3.5000000000000003E-2</v>
      </c>
      <c r="S153" s="23">
        <v>0.125</v>
      </c>
      <c r="T153" s="23">
        <v>0.14499999999999999</v>
      </c>
      <c r="U153" s="23">
        <v>0.04</v>
      </c>
      <c r="V153" s="23">
        <v>0.5</v>
      </c>
      <c r="W153" s="23">
        <v>0.14499999999999999</v>
      </c>
      <c r="X153" s="23">
        <v>0.19500000000000001</v>
      </c>
      <c r="Y153" s="23">
        <v>-9.4999990000000003E-3</v>
      </c>
      <c r="Z153" s="23">
        <v>-4.2500000000000003E-2</v>
      </c>
      <c r="AA153" s="23">
        <v>1.9E-2</v>
      </c>
      <c r="AB153" s="23">
        <v>4.0000000000000001E-3</v>
      </c>
      <c r="AC153" s="23">
        <v>2.5000000000000001E-3</v>
      </c>
      <c r="AD153" s="23">
        <v>-2.0500000000000001E-2</v>
      </c>
      <c r="AE153" s="23">
        <v>-7.2499999999999995E-2</v>
      </c>
      <c r="AF153" s="23">
        <v>-4.9000000000000002E-2</v>
      </c>
      <c r="AG153" s="23">
        <v>-7.1499999999999994E-2</v>
      </c>
      <c r="AH153" s="23">
        <v>-1.15E-2</v>
      </c>
      <c r="AI153" s="23">
        <v>-7.1999999999999995E-2</v>
      </c>
      <c r="AJ153" s="23">
        <v>-7.0000000000000007E-2</v>
      </c>
      <c r="AK153" s="23">
        <v>-1.7000000000000001E-2</v>
      </c>
      <c r="AL153" s="23">
        <v>2.3E-2</v>
      </c>
      <c r="AM153" s="23">
        <v>0.38</v>
      </c>
      <c r="AN153" s="23">
        <v>0.02</v>
      </c>
      <c r="AO153" s="23">
        <v>-0.45</v>
      </c>
      <c r="AP153" s="23">
        <v>-7.0000000000000007E-2</v>
      </c>
      <c r="AQ153" s="23">
        <v>-0.19500000000000001</v>
      </c>
      <c r="AR153" s="23">
        <v>-0.25</v>
      </c>
      <c r="AS153" s="23">
        <v>-0.37</v>
      </c>
      <c r="AT153" s="23">
        <v>0</v>
      </c>
      <c r="AU153" s="23">
        <v>0.43</v>
      </c>
      <c r="AV153" s="23">
        <v>-0.45</v>
      </c>
      <c r="AW153" s="23">
        <v>-0.2</v>
      </c>
      <c r="AX153" s="23">
        <v>-0.06</v>
      </c>
      <c r="AY153" s="23">
        <v>-0.14000000000000001</v>
      </c>
      <c r="AZ153" s="23">
        <v>-3.5000000000000003E-2</v>
      </c>
      <c r="BA153" s="23">
        <v>-0.11749999999999999</v>
      </c>
      <c r="BB153" s="23">
        <v>-1.15E-2</v>
      </c>
      <c r="BC153" s="23">
        <v>-4.0500000000000001E-2</v>
      </c>
      <c r="BD153" s="23">
        <v>-0.01</v>
      </c>
      <c r="BE153" s="23">
        <v>-7.2499999999999995E-2</v>
      </c>
      <c r="BF153" s="23">
        <v>0</v>
      </c>
      <c r="BG153" s="23">
        <v>0.14000000000000001</v>
      </c>
      <c r="BH153" s="23">
        <v>0.14499999999999999</v>
      </c>
      <c r="BI153" s="23">
        <v>0.125</v>
      </c>
      <c r="BJ153" s="23">
        <v>0.36</v>
      </c>
      <c r="BK153" s="23">
        <v>2.5000000000000001E-3</v>
      </c>
      <c r="BL153" s="23">
        <v>-1.4999999999999999E-2</v>
      </c>
      <c r="BM153" s="23">
        <v>5.0000000000000001E-3</v>
      </c>
      <c r="BN153" s="23">
        <v>-0.01</v>
      </c>
      <c r="BO153" s="23">
        <v>0</v>
      </c>
      <c r="BP153" s="23">
        <v>5.0000000000000001E-3</v>
      </c>
      <c r="BQ153" s="23">
        <v>2.5000000000000001E-3</v>
      </c>
      <c r="BR153" s="23">
        <v>0.02</v>
      </c>
      <c r="BS153">
        <v>5.0000000000000001E-3</v>
      </c>
      <c r="BT153">
        <v>0</v>
      </c>
      <c r="BU153">
        <v>0</v>
      </c>
      <c r="BV153">
        <v>0.03</v>
      </c>
    </row>
    <row r="154" spans="1:74" x14ac:dyDescent="0.25">
      <c r="A154" s="24" t="e">
        <f>#REF!-B154</f>
        <v>#REF!</v>
      </c>
      <c r="B154" s="24">
        <v>3.6230000000000002</v>
      </c>
      <c r="C154" s="138">
        <f t="shared" si="5"/>
        <v>41760</v>
      </c>
      <c r="D154">
        <v>3.9775</v>
      </c>
      <c r="E154" s="24">
        <v>0.17</v>
      </c>
      <c r="F154" s="23">
        <v>6.0453625840593397E-2</v>
      </c>
      <c r="G154" s="23">
        <v>-0.13</v>
      </c>
      <c r="H154" s="23">
        <v>-0.15</v>
      </c>
      <c r="I154" s="27">
        <v>-0.09</v>
      </c>
      <c r="J154" s="27">
        <v>-0.13</v>
      </c>
      <c r="K154" s="23">
        <v>-0.09</v>
      </c>
      <c r="L154" s="23">
        <v>-0.03</v>
      </c>
      <c r="M154" s="23">
        <v>-5.5500000000000001E-2</v>
      </c>
      <c r="N154" s="23">
        <v>-0.12</v>
      </c>
      <c r="O154" s="23">
        <v>-0.12</v>
      </c>
      <c r="P154" s="23">
        <v>-0.13</v>
      </c>
      <c r="Q154" s="23">
        <v>-5.2499999999999998E-2</v>
      </c>
      <c r="R154" s="23">
        <v>-3.5000000000000003E-2</v>
      </c>
      <c r="S154" s="23">
        <v>0.125</v>
      </c>
      <c r="T154" s="23">
        <v>0.14499999999999999</v>
      </c>
      <c r="U154" s="23">
        <v>0.04</v>
      </c>
      <c r="V154" s="23">
        <v>0.5</v>
      </c>
      <c r="W154" s="23">
        <v>0.125</v>
      </c>
      <c r="X154" s="23">
        <v>0.13500000000000001</v>
      </c>
      <c r="Y154" s="23">
        <v>-9.4999990000000003E-3</v>
      </c>
      <c r="Z154" s="23">
        <v>-4.2500000000000003E-2</v>
      </c>
      <c r="AA154" s="23">
        <v>2.1499999999999998E-2</v>
      </c>
      <c r="AB154" s="23">
        <v>6.4999999999999997E-3</v>
      </c>
      <c r="AC154" s="23">
        <v>2.5000000000000001E-3</v>
      </c>
      <c r="AD154" s="23">
        <v>-2.0500000000000001E-2</v>
      </c>
      <c r="AE154" s="23">
        <v>-7.2499999999999995E-2</v>
      </c>
      <c r="AF154" s="23">
        <v>-4.9000000000000002E-2</v>
      </c>
      <c r="AG154" s="23">
        <v>-7.1499999999999994E-2</v>
      </c>
      <c r="AH154" s="23">
        <v>-1.15E-2</v>
      </c>
      <c r="AI154" s="23">
        <v>-7.1999999999999995E-2</v>
      </c>
      <c r="AJ154" s="23">
        <v>-7.0000000000000007E-2</v>
      </c>
      <c r="AK154" s="23">
        <v>-1.7000000000000001E-2</v>
      </c>
      <c r="AL154" s="23">
        <v>2.3E-2</v>
      </c>
      <c r="AM154" s="23">
        <v>0.33</v>
      </c>
      <c r="AN154" s="23">
        <v>0.02</v>
      </c>
      <c r="AO154" s="23">
        <v>-0.45</v>
      </c>
      <c r="AP154" s="23">
        <v>-7.0000000000000007E-2</v>
      </c>
      <c r="AQ154" s="23">
        <v>-0.19500000000000001</v>
      </c>
      <c r="AR154" s="23">
        <v>-0.1</v>
      </c>
      <c r="AS154" s="23">
        <v>-0.37</v>
      </c>
      <c r="AT154" s="23">
        <v>0</v>
      </c>
      <c r="AU154" s="23">
        <v>0.43</v>
      </c>
      <c r="AV154" s="23">
        <v>-0.45</v>
      </c>
      <c r="AW154" s="23">
        <v>-0.17749999999999999</v>
      </c>
      <c r="AX154" s="23">
        <v>-0.06</v>
      </c>
      <c r="AY154" s="23">
        <v>-0.11749999999999999</v>
      </c>
      <c r="AZ154" s="23">
        <v>-3.5000000000000003E-2</v>
      </c>
      <c r="BA154" s="23">
        <v>-0.11</v>
      </c>
      <c r="BB154" s="23">
        <v>-1.15E-2</v>
      </c>
      <c r="BC154" s="23">
        <v>-4.0500000000000001E-2</v>
      </c>
      <c r="BD154" s="23">
        <v>-0.01</v>
      </c>
      <c r="BE154" s="23">
        <v>-7.2499999999999995E-2</v>
      </c>
      <c r="BF154" s="23">
        <v>0</v>
      </c>
      <c r="BG154" s="23">
        <v>0.14000000000000001</v>
      </c>
      <c r="BH154" s="23">
        <v>0.14499999999999999</v>
      </c>
      <c r="BI154" s="23">
        <v>0.125</v>
      </c>
      <c r="BJ154" s="23">
        <v>0.32500000000000001</v>
      </c>
      <c r="BK154" s="23">
        <v>2.5000000000000001E-3</v>
      </c>
      <c r="BL154" s="23">
        <v>-1.4999999999999999E-2</v>
      </c>
      <c r="BM154" s="23">
        <v>5.0000000000000001E-3</v>
      </c>
      <c r="BN154" s="23">
        <v>-0.01</v>
      </c>
      <c r="BO154" s="23">
        <v>0</v>
      </c>
      <c r="BP154" s="23">
        <v>5.0000000000000001E-3</v>
      </c>
      <c r="BQ154" s="23">
        <v>2.5000000000000001E-3</v>
      </c>
      <c r="BR154" s="23">
        <v>0.02</v>
      </c>
      <c r="BS154">
        <v>5.0000000000000001E-3</v>
      </c>
      <c r="BT154">
        <v>0</v>
      </c>
      <c r="BU154">
        <v>0</v>
      </c>
      <c r="BV154">
        <v>0.03</v>
      </c>
    </row>
    <row r="155" spans="1:74" x14ac:dyDescent="0.25">
      <c r="A155" s="24" t="e">
        <f>#REF!-B155</f>
        <v>#REF!</v>
      </c>
      <c r="B155" s="24">
        <v>3.7050000000000001</v>
      </c>
      <c r="C155" s="138">
        <f t="shared" si="5"/>
        <v>41791</v>
      </c>
      <c r="D155">
        <v>4.0125000000000002</v>
      </c>
      <c r="E155" s="24">
        <v>0.17</v>
      </c>
      <c r="F155" s="23">
        <v>6.0497454062836901E-2</v>
      </c>
      <c r="G155" s="23">
        <v>-0.13</v>
      </c>
      <c r="H155" s="23">
        <v>-0.15</v>
      </c>
      <c r="I155" s="27">
        <v>-0.09</v>
      </c>
      <c r="J155" s="27">
        <v>-0.13</v>
      </c>
      <c r="K155" s="23">
        <v>-0.09</v>
      </c>
      <c r="L155" s="23">
        <v>-0.03</v>
      </c>
      <c r="M155" s="23">
        <v>-5.5500000000000001E-2</v>
      </c>
      <c r="N155" s="23">
        <v>-0.12</v>
      </c>
      <c r="O155" s="23">
        <v>-0.12</v>
      </c>
      <c r="P155" s="23">
        <v>-0.13</v>
      </c>
      <c r="Q155" s="23">
        <v>-0.05</v>
      </c>
      <c r="R155" s="23">
        <v>-3.5000000000000003E-2</v>
      </c>
      <c r="S155" s="23">
        <v>0.125</v>
      </c>
      <c r="T155" s="23">
        <v>0.14499999999999999</v>
      </c>
      <c r="U155" s="23">
        <v>0.04</v>
      </c>
      <c r="V155" s="23">
        <v>0.5</v>
      </c>
      <c r="W155" s="23">
        <v>0.14499999999999999</v>
      </c>
      <c r="X155" s="23">
        <v>0.16500000000000001</v>
      </c>
      <c r="Y155" s="23">
        <v>-9.4999990000000003E-3</v>
      </c>
      <c r="Z155" s="23">
        <v>-0.04</v>
      </c>
      <c r="AA155" s="23">
        <v>2.1499999999999998E-2</v>
      </c>
      <c r="AB155" s="23">
        <v>6.4999999999999997E-3</v>
      </c>
      <c r="AC155" s="23">
        <v>2.5000000000000001E-3</v>
      </c>
      <c r="AD155" s="23">
        <v>-2.0500000000000001E-2</v>
      </c>
      <c r="AE155" s="23">
        <v>-7.2499999999999995E-2</v>
      </c>
      <c r="AF155" s="23">
        <v>-4.9000000000000002E-2</v>
      </c>
      <c r="AG155" s="23">
        <v>-7.1499999999999994E-2</v>
      </c>
      <c r="AH155" s="23">
        <v>-1.15E-2</v>
      </c>
      <c r="AI155" s="23">
        <v>-7.1999999999999995E-2</v>
      </c>
      <c r="AJ155" s="23">
        <v>-6.5000000000000002E-2</v>
      </c>
      <c r="AK155" s="23">
        <v>-1.7000000000000001E-2</v>
      </c>
      <c r="AL155" s="23">
        <v>2.3E-2</v>
      </c>
      <c r="AM155" s="23">
        <v>0.37</v>
      </c>
      <c r="AN155" s="23">
        <v>2.5000000000000001E-2</v>
      </c>
      <c r="AO155" s="23">
        <v>-0.45</v>
      </c>
      <c r="AP155" s="23">
        <v>-7.0000000000000007E-2</v>
      </c>
      <c r="AQ155" s="23">
        <v>-0.19500000000000001</v>
      </c>
      <c r="AR155" s="23">
        <v>-0.1</v>
      </c>
      <c r="AS155" s="23">
        <v>-0.37</v>
      </c>
      <c r="AT155" s="23">
        <v>0</v>
      </c>
      <c r="AU155" s="23">
        <v>0.43</v>
      </c>
      <c r="AV155" s="23">
        <v>-0.45</v>
      </c>
      <c r="AW155" s="23">
        <v>-0.125</v>
      </c>
      <c r="AX155" s="23">
        <v>-0.06</v>
      </c>
      <c r="AY155" s="23">
        <v>-6.5000000000000002E-2</v>
      </c>
      <c r="AZ155" s="23">
        <v>-3.5000000000000003E-2</v>
      </c>
      <c r="BA155" s="23">
        <v>-6.7500000000000004E-2</v>
      </c>
      <c r="BB155" s="23">
        <v>-1.15E-2</v>
      </c>
      <c r="BC155" s="23">
        <v>-4.0500000000000001E-2</v>
      </c>
      <c r="BD155" s="23">
        <v>-5.0000000000000001E-3</v>
      </c>
      <c r="BE155" s="23">
        <v>-7.2499999999999995E-2</v>
      </c>
      <c r="BF155" s="23">
        <v>0</v>
      </c>
      <c r="BG155" s="23">
        <v>0.14000000000000001</v>
      </c>
      <c r="BH155" s="23">
        <v>0.14499999999999999</v>
      </c>
      <c r="BI155" s="23">
        <v>0.125</v>
      </c>
      <c r="BJ155" s="23">
        <v>0.33500000000000002</v>
      </c>
      <c r="BK155" s="23">
        <v>2.5000000000000001E-3</v>
      </c>
      <c r="BL155" s="23">
        <v>-1.4999999999999999E-2</v>
      </c>
      <c r="BM155" s="23">
        <v>5.0000000000000001E-3</v>
      </c>
      <c r="BN155" s="23">
        <v>-0.01</v>
      </c>
      <c r="BO155" s="23">
        <v>0</v>
      </c>
      <c r="BP155" s="23">
        <v>5.0000000000000001E-3</v>
      </c>
      <c r="BQ155" s="23">
        <v>2.5000000000000001E-3</v>
      </c>
      <c r="BR155" s="23">
        <v>3.5000000000000003E-2</v>
      </c>
      <c r="BS155">
        <v>5.0000000000000001E-3</v>
      </c>
      <c r="BT155">
        <v>0</v>
      </c>
      <c r="BU155">
        <v>0</v>
      </c>
      <c r="BV155">
        <v>0.03</v>
      </c>
    </row>
    <row r="156" spans="1:74" x14ac:dyDescent="0.25">
      <c r="A156" s="24" t="e">
        <f>#REF!-B156</f>
        <v>#REF!</v>
      </c>
      <c r="B156" s="24">
        <v>3.9780000000000002</v>
      </c>
      <c r="C156" s="138">
        <f t="shared" si="5"/>
        <v>41821</v>
      </c>
      <c r="D156">
        <v>4.0525000000000002</v>
      </c>
      <c r="E156" s="24">
        <v>0.17</v>
      </c>
      <c r="F156" s="23">
        <v>6.0539868472067902E-2</v>
      </c>
      <c r="G156" s="23">
        <v>-0.13</v>
      </c>
      <c r="H156" s="23">
        <v>-0.15</v>
      </c>
      <c r="I156" s="27">
        <v>-0.09</v>
      </c>
      <c r="J156" s="27">
        <v>-0.13</v>
      </c>
      <c r="K156" s="23">
        <v>-0.09</v>
      </c>
      <c r="L156" s="23">
        <v>-0.03</v>
      </c>
      <c r="M156" s="23">
        <v>-5.5500000000000001E-2</v>
      </c>
      <c r="N156" s="23">
        <v>-0.12</v>
      </c>
      <c r="O156" s="23">
        <v>-0.12</v>
      </c>
      <c r="P156" s="23">
        <v>-0.13</v>
      </c>
      <c r="Q156" s="23">
        <v>-4.8750000000000002E-2</v>
      </c>
      <c r="R156" s="23">
        <v>-3.5000000000000003E-2</v>
      </c>
      <c r="S156" s="23">
        <v>0.125</v>
      </c>
      <c r="T156" s="23">
        <v>0.14499999999999999</v>
      </c>
      <c r="U156" s="23">
        <v>0.04</v>
      </c>
      <c r="V156" s="23">
        <v>0.5</v>
      </c>
      <c r="W156" s="23">
        <v>0.15</v>
      </c>
      <c r="X156" s="23">
        <v>0.20499999999999999</v>
      </c>
      <c r="Y156" s="23">
        <v>-9.4999990000000003E-3</v>
      </c>
      <c r="Z156" s="23">
        <v>-0.04</v>
      </c>
      <c r="AA156" s="23">
        <v>2.1499999999999998E-2</v>
      </c>
      <c r="AB156" s="23">
        <v>6.4999999999999997E-3</v>
      </c>
      <c r="AC156" s="23">
        <v>2.5000000000000001E-3</v>
      </c>
      <c r="AD156" s="23">
        <v>-2.0500000000000001E-2</v>
      </c>
      <c r="AE156" s="23">
        <v>-7.2499999999999995E-2</v>
      </c>
      <c r="AF156" s="23">
        <v>-4.9000000000000002E-2</v>
      </c>
      <c r="AG156" s="23">
        <v>-7.1499999999999994E-2</v>
      </c>
      <c r="AH156" s="23">
        <v>-1.15E-2</v>
      </c>
      <c r="AI156" s="23">
        <v>-7.1999999999999995E-2</v>
      </c>
      <c r="AJ156" s="23">
        <v>-6.25E-2</v>
      </c>
      <c r="AK156" s="23">
        <v>-1.7000000000000001E-2</v>
      </c>
      <c r="AL156" s="23">
        <v>2.3E-2</v>
      </c>
      <c r="AM156" s="23">
        <v>0.41</v>
      </c>
      <c r="AN156" s="23">
        <v>2.75E-2</v>
      </c>
      <c r="AO156" s="23">
        <v>-0.45</v>
      </c>
      <c r="AP156" s="23">
        <v>-7.0000000000000007E-2</v>
      </c>
      <c r="AQ156" s="23">
        <v>-0.19500000000000001</v>
      </c>
      <c r="AR156" s="23">
        <v>-0.1</v>
      </c>
      <c r="AS156" s="23">
        <v>-0.37</v>
      </c>
      <c r="AT156" s="23">
        <v>0</v>
      </c>
      <c r="AU156" s="23">
        <v>0.43</v>
      </c>
      <c r="AV156" s="23">
        <v>-0.45</v>
      </c>
      <c r="AW156" s="23">
        <v>-0.13500000000000001</v>
      </c>
      <c r="AX156" s="23">
        <v>-0.06</v>
      </c>
      <c r="AY156" s="23">
        <v>-7.4999999999999997E-2</v>
      </c>
      <c r="AZ156" s="23">
        <v>-3.5000000000000003E-2</v>
      </c>
      <c r="BA156" s="23">
        <v>-6.5000000000000002E-2</v>
      </c>
      <c r="BB156" s="23">
        <v>-1.15E-2</v>
      </c>
      <c r="BC156" s="23">
        <v>-4.0500000000000001E-2</v>
      </c>
      <c r="BD156" s="23">
        <v>-2.5000000000000001E-3</v>
      </c>
      <c r="BE156" s="23">
        <v>-7.2499999999999995E-2</v>
      </c>
      <c r="BF156" s="23">
        <v>0</v>
      </c>
      <c r="BG156" s="23">
        <v>0.14000000000000001</v>
      </c>
      <c r="BH156" s="23">
        <v>0.14499999999999999</v>
      </c>
      <c r="BI156" s="23">
        <v>0.125</v>
      </c>
      <c r="BJ156" s="23">
        <v>0.35</v>
      </c>
      <c r="BK156" s="23">
        <v>2.5000000000000001E-3</v>
      </c>
      <c r="BL156" s="23">
        <v>-0.01</v>
      </c>
      <c r="BM156" s="23">
        <v>5.0000000000000001E-3</v>
      </c>
      <c r="BN156" s="23">
        <v>-0.01</v>
      </c>
      <c r="BO156" s="23">
        <v>0</v>
      </c>
      <c r="BP156" s="23">
        <v>5.0000000000000001E-3</v>
      </c>
      <c r="BQ156" s="23">
        <v>2.5000000000000001E-3</v>
      </c>
      <c r="BR156" s="23">
        <v>3.5000000000000003E-2</v>
      </c>
      <c r="BS156">
        <v>5.0000000000000001E-3</v>
      </c>
      <c r="BT156">
        <v>0</v>
      </c>
      <c r="BU156">
        <v>0</v>
      </c>
      <c r="BV156">
        <v>0.03</v>
      </c>
    </row>
    <row r="157" spans="1:74" x14ac:dyDescent="0.25">
      <c r="A157" s="24" t="e">
        <f>#REF!-B157</f>
        <v>#REF!</v>
      </c>
      <c r="B157" s="24">
        <v>3.8910000000000005</v>
      </c>
      <c r="C157" s="138">
        <f t="shared" si="5"/>
        <v>41852</v>
      </c>
      <c r="D157">
        <v>4.0925000000000002</v>
      </c>
      <c r="E157" s="24">
        <v>0.17</v>
      </c>
      <c r="F157" s="23">
        <v>6.0583696695566798E-2</v>
      </c>
      <c r="G157" s="23">
        <v>-0.13</v>
      </c>
      <c r="H157" s="23">
        <v>-0.15</v>
      </c>
      <c r="I157" s="27">
        <v>-0.09</v>
      </c>
      <c r="J157" s="27">
        <v>-0.13</v>
      </c>
      <c r="K157" s="23">
        <v>-0.09</v>
      </c>
      <c r="L157" s="23">
        <v>-0.03</v>
      </c>
      <c r="M157" s="23">
        <v>-5.5500000000000001E-2</v>
      </c>
      <c r="N157" s="23">
        <v>-0.12</v>
      </c>
      <c r="O157" s="23">
        <v>-0.12</v>
      </c>
      <c r="P157" s="23">
        <v>-0.13</v>
      </c>
      <c r="Q157" s="23">
        <v>-4.7500000000000001E-2</v>
      </c>
      <c r="R157" s="23">
        <v>-3.5000000000000003E-2</v>
      </c>
      <c r="S157" s="23">
        <v>0.125</v>
      </c>
      <c r="T157" s="23">
        <v>0.14499999999999999</v>
      </c>
      <c r="U157" s="23">
        <v>0.04</v>
      </c>
      <c r="V157" s="23">
        <v>0.5</v>
      </c>
      <c r="W157" s="23">
        <v>0.15</v>
      </c>
      <c r="X157" s="23">
        <v>0.20499999999999999</v>
      </c>
      <c r="Y157" s="23">
        <v>-9.4999990000000003E-3</v>
      </c>
      <c r="Z157" s="23">
        <v>-0.04</v>
      </c>
      <c r="AA157" s="23">
        <v>1.6500000000000001E-2</v>
      </c>
      <c r="AB157" s="23">
        <v>1.5E-3</v>
      </c>
      <c r="AC157" s="23">
        <v>2.5000000000000001E-3</v>
      </c>
      <c r="AD157" s="23">
        <v>-2.0500000000000001E-2</v>
      </c>
      <c r="AE157" s="23">
        <v>-7.2499999999999995E-2</v>
      </c>
      <c r="AF157" s="23">
        <v>-4.9000000000000002E-2</v>
      </c>
      <c r="AG157" s="23">
        <v>-7.1499999999999994E-2</v>
      </c>
      <c r="AH157" s="23">
        <v>-1.15E-2</v>
      </c>
      <c r="AI157" s="23">
        <v>-7.1999999999999995E-2</v>
      </c>
      <c r="AJ157" s="23">
        <v>-0.06</v>
      </c>
      <c r="AK157" s="23">
        <v>-1.7000000000000001E-2</v>
      </c>
      <c r="AL157" s="23">
        <v>2.3E-2</v>
      </c>
      <c r="AM157" s="23">
        <v>0.41</v>
      </c>
      <c r="AN157" s="23">
        <v>0.03</v>
      </c>
      <c r="AO157" s="23">
        <v>-0.45</v>
      </c>
      <c r="AP157" s="23">
        <v>-7.0000000000000007E-2</v>
      </c>
      <c r="AQ157" s="23">
        <v>-0.19500000000000001</v>
      </c>
      <c r="AR157" s="23">
        <v>-0.1</v>
      </c>
      <c r="AS157" s="23">
        <v>-0.37</v>
      </c>
      <c r="AT157" s="23">
        <v>0</v>
      </c>
      <c r="AU157" s="23">
        <v>0.43</v>
      </c>
      <c r="AV157" s="23">
        <v>-0.45</v>
      </c>
      <c r="AW157" s="23">
        <v>-0.13</v>
      </c>
      <c r="AX157" s="23">
        <v>-0.06</v>
      </c>
      <c r="AY157" s="23">
        <v>-7.0000000000000007E-2</v>
      </c>
      <c r="AZ157" s="23">
        <v>-3.5000000000000003E-2</v>
      </c>
      <c r="BA157" s="23">
        <v>-6.25E-2</v>
      </c>
      <c r="BB157" s="23">
        <v>-1.15E-2</v>
      </c>
      <c r="BC157" s="23">
        <v>-4.0500000000000001E-2</v>
      </c>
      <c r="BD157" s="23">
        <v>0</v>
      </c>
      <c r="BE157" s="23">
        <v>-7.2499999999999995E-2</v>
      </c>
      <c r="BF157" s="23">
        <v>0</v>
      </c>
      <c r="BG157" s="23">
        <v>0.14000000000000001</v>
      </c>
      <c r="BH157" s="23">
        <v>0.14499999999999999</v>
      </c>
      <c r="BI157" s="23">
        <v>0.125</v>
      </c>
      <c r="BJ157" s="23">
        <v>0.35</v>
      </c>
      <c r="BK157" s="23">
        <v>2.5000000000000001E-3</v>
      </c>
      <c r="BL157" s="23">
        <v>-0.01</v>
      </c>
      <c r="BM157" s="23">
        <v>5.0000000000000001E-3</v>
      </c>
      <c r="BN157" s="23">
        <v>-0.01</v>
      </c>
      <c r="BO157" s="23">
        <v>0</v>
      </c>
      <c r="BP157" s="23">
        <v>5.0000000000000001E-3</v>
      </c>
      <c r="BQ157" s="23">
        <v>2.5000000000000001E-3</v>
      </c>
      <c r="BR157" s="23">
        <v>0.01</v>
      </c>
      <c r="BS157">
        <v>5.0000000000000001E-3</v>
      </c>
      <c r="BT157">
        <v>0</v>
      </c>
      <c r="BU157">
        <v>0</v>
      </c>
      <c r="BV157">
        <v>0.03</v>
      </c>
    </row>
    <row r="158" spans="1:74" x14ac:dyDescent="0.25">
      <c r="A158" s="24" t="e">
        <f>#REF!-B158</f>
        <v>#REF!</v>
      </c>
      <c r="B158" s="24">
        <v>3.7630000000000003</v>
      </c>
      <c r="C158" s="138">
        <f t="shared" si="5"/>
        <v>41883</v>
      </c>
      <c r="D158">
        <v>4.0875000000000004</v>
      </c>
      <c r="E158" s="24">
        <v>0.17</v>
      </c>
      <c r="F158" s="23">
        <v>6.0627524919704398E-2</v>
      </c>
      <c r="G158" s="23">
        <v>-0.13</v>
      </c>
      <c r="H158" s="23">
        <v>-0.15</v>
      </c>
      <c r="I158" s="27">
        <v>-0.09</v>
      </c>
      <c r="J158" s="27">
        <v>-0.13</v>
      </c>
      <c r="K158" s="23">
        <v>-0.09</v>
      </c>
      <c r="L158" s="23">
        <v>-0.03</v>
      </c>
      <c r="M158" s="23">
        <v>-5.5500000000000001E-2</v>
      </c>
      <c r="N158" s="23">
        <v>-0.12</v>
      </c>
      <c r="O158" s="23">
        <v>-0.12</v>
      </c>
      <c r="P158" s="23">
        <v>-0.13</v>
      </c>
      <c r="Q158" s="23">
        <v>-5.1249999999999997E-2</v>
      </c>
      <c r="R158" s="23">
        <v>-3.5000000000000003E-2</v>
      </c>
      <c r="S158" s="23">
        <v>0.125</v>
      </c>
      <c r="T158" s="23">
        <v>0.14499999999999999</v>
      </c>
      <c r="U158" s="23">
        <v>0.04</v>
      </c>
      <c r="V158" s="23">
        <v>0.5</v>
      </c>
      <c r="W158" s="23">
        <v>0.125</v>
      </c>
      <c r="X158" s="23">
        <v>0.14499999999999999</v>
      </c>
      <c r="Y158" s="23">
        <v>-9.4999990000000003E-3</v>
      </c>
      <c r="Z158" s="23">
        <v>-4.4999999999999998E-2</v>
      </c>
      <c r="AA158" s="23">
        <v>1.6500000000000001E-2</v>
      </c>
      <c r="AB158" s="23">
        <v>1.5E-3</v>
      </c>
      <c r="AC158" s="23">
        <v>2.5000000000000001E-3</v>
      </c>
      <c r="AD158" s="23">
        <v>-2.0500000000000001E-2</v>
      </c>
      <c r="AE158" s="23">
        <v>-7.2499999999999995E-2</v>
      </c>
      <c r="AF158" s="23">
        <v>-4.9000000000000002E-2</v>
      </c>
      <c r="AG158" s="23">
        <v>-7.1499999999999994E-2</v>
      </c>
      <c r="AH158" s="23">
        <v>-1.15E-2</v>
      </c>
      <c r="AI158" s="23">
        <v>-7.1999999999999995E-2</v>
      </c>
      <c r="AJ158" s="23">
        <v>-6.7500000000000004E-2</v>
      </c>
      <c r="AK158" s="23">
        <v>-1.7000000000000001E-2</v>
      </c>
      <c r="AL158" s="23">
        <v>2.3E-2</v>
      </c>
      <c r="AM158" s="23">
        <v>0.36</v>
      </c>
      <c r="AN158" s="23">
        <v>2.2499999999999999E-2</v>
      </c>
      <c r="AO158" s="23">
        <v>-0.45</v>
      </c>
      <c r="AP158" s="23">
        <v>-7.0000000000000007E-2</v>
      </c>
      <c r="AQ158" s="23">
        <v>-0.19500000000000001</v>
      </c>
      <c r="AR158" s="23">
        <v>-0.1</v>
      </c>
      <c r="AS158" s="23">
        <v>-0.37</v>
      </c>
      <c r="AT158" s="23">
        <v>0</v>
      </c>
      <c r="AU158" s="23">
        <v>0.43</v>
      </c>
      <c r="AV158" s="23">
        <v>-0.45</v>
      </c>
      <c r="AW158" s="23">
        <v>-0.14000000000000001</v>
      </c>
      <c r="AX158" s="23">
        <v>-0.06</v>
      </c>
      <c r="AY158" s="23">
        <v>-0.08</v>
      </c>
      <c r="AZ158" s="23">
        <v>-3.5000000000000003E-2</v>
      </c>
      <c r="BA158" s="23">
        <v>-6.7500000000000004E-2</v>
      </c>
      <c r="BB158" s="23">
        <v>-1.15E-2</v>
      </c>
      <c r="BC158" s="23">
        <v>-4.0500000000000001E-2</v>
      </c>
      <c r="BD158" s="23">
        <v>-7.4999999999999997E-3</v>
      </c>
      <c r="BE158" s="23">
        <v>-7.2499999999999995E-2</v>
      </c>
      <c r="BF158" s="23">
        <v>0</v>
      </c>
      <c r="BG158" s="23">
        <v>0.14000000000000001</v>
      </c>
      <c r="BH158" s="23">
        <v>0.14499999999999999</v>
      </c>
      <c r="BI158" s="23">
        <v>0.125</v>
      </c>
      <c r="BJ158" s="23">
        <v>0.315</v>
      </c>
      <c r="BK158" s="23">
        <v>2.5000000000000001E-3</v>
      </c>
      <c r="BL158" s="23">
        <v>-0.01</v>
      </c>
      <c r="BM158" s="23">
        <v>5.0000000000000001E-3</v>
      </c>
      <c r="BN158" s="23">
        <v>-0.01</v>
      </c>
      <c r="BO158" s="23">
        <v>0</v>
      </c>
      <c r="BP158" s="23">
        <v>5.0000000000000001E-3</v>
      </c>
      <c r="BQ158" s="23">
        <v>2.5000000000000001E-3</v>
      </c>
      <c r="BR158" s="23">
        <v>0.01</v>
      </c>
      <c r="BS158">
        <v>5.0000000000000001E-3</v>
      </c>
      <c r="BT158">
        <v>0</v>
      </c>
      <c r="BU158">
        <v>0</v>
      </c>
      <c r="BV158">
        <v>0.03</v>
      </c>
    </row>
    <row r="159" spans="1:74" x14ac:dyDescent="0.25">
      <c r="A159" s="24" t="e">
        <f>#REF!-B159</f>
        <v>#REF!</v>
      </c>
      <c r="B159" s="24">
        <v>3.6380000000000003</v>
      </c>
      <c r="C159" s="138">
        <f t="shared" si="5"/>
        <v>41913</v>
      </c>
      <c r="D159">
        <v>4.1124999999999998</v>
      </c>
      <c r="E159" s="24">
        <v>0.17</v>
      </c>
      <c r="F159" s="23">
        <v>6.0669939330766802E-2</v>
      </c>
      <c r="G159" s="23">
        <v>-0.13</v>
      </c>
      <c r="H159" s="23">
        <v>-0.15</v>
      </c>
      <c r="I159" s="27">
        <v>-0.09</v>
      </c>
      <c r="J159" s="27">
        <v>-0.13</v>
      </c>
      <c r="K159" s="23">
        <v>-0.09</v>
      </c>
      <c r="L159" s="23">
        <v>-0.03</v>
      </c>
      <c r="M159" s="23">
        <v>-5.5500000000000001E-2</v>
      </c>
      <c r="N159" s="23">
        <v>-0.12</v>
      </c>
      <c r="O159" s="23">
        <v>-0.12</v>
      </c>
      <c r="P159" s="23">
        <v>-0.13</v>
      </c>
      <c r="Q159" s="23">
        <v>-5.6250000000000001E-2</v>
      </c>
      <c r="R159" s="23">
        <v>-3.5000000000000003E-2</v>
      </c>
      <c r="S159" s="23">
        <v>0.125</v>
      </c>
      <c r="T159" s="23">
        <v>0.14499999999999999</v>
      </c>
      <c r="U159" s="23">
        <v>0.04</v>
      </c>
      <c r="V159" s="23">
        <v>0.5</v>
      </c>
      <c r="W159" s="23">
        <v>0.14499999999999999</v>
      </c>
      <c r="X159" s="23">
        <v>0.17499999999999999</v>
      </c>
      <c r="Y159" s="23">
        <v>-9.4999990000000003E-3</v>
      </c>
      <c r="Z159" s="23">
        <v>-4.4999999999999998E-2</v>
      </c>
      <c r="AA159" s="23">
        <v>1.15E-2</v>
      </c>
      <c r="AB159" s="23">
        <v>-3.5000000000000001E-3</v>
      </c>
      <c r="AC159" s="23">
        <v>2.5000000000000001E-3</v>
      </c>
      <c r="AD159" s="23">
        <v>-2.0500000000000001E-2</v>
      </c>
      <c r="AE159" s="23">
        <v>-7.2499999999999995E-2</v>
      </c>
      <c r="AF159" s="23">
        <v>-4.9000000000000002E-2</v>
      </c>
      <c r="AG159" s="23">
        <v>-7.1499999999999994E-2</v>
      </c>
      <c r="AH159" s="23">
        <v>-1.15E-2</v>
      </c>
      <c r="AI159" s="23">
        <v>-7.1999999999999995E-2</v>
      </c>
      <c r="AJ159" s="23">
        <v>-7.7499999999999999E-2</v>
      </c>
      <c r="AK159" s="23">
        <v>-1.7000000000000001E-2</v>
      </c>
      <c r="AL159" s="23">
        <v>2.3E-2</v>
      </c>
      <c r="AM159" s="23">
        <v>0.4</v>
      </c>
      <c r="AN159" s="23">
        <v>1.2500000000000001E-2</v>
      </c>
      <c r="AO159" s="23">
        <v>-0.45</v>
      </c>
      <c r="AP159" s="23">
        <v>-7.0000000000000007E-2</v>
      </c>
      <c r="AQ159" s="23">
        <v>-0.19500000000000001</v>
      </c>
      <c r="AR159" s="23">
        <v>-0.1</v>
      </c>
      <c r="AS159" s="23">
        <v>-0.37</v>
      </c>
      <c r="AT159" s="23">
        <v>0</v>
      </c>
      <c r="AU159" s="23">
        <v>0.43</v>
      </c>
      <c r="AV159" s="23">
        <v>-0.45</v>
      </c>
      <c r="AW159" s="23">
        <v>-0.1275</v>
      </c>
      <c r="AX159" s="23">
        <v>-0.06</v>
      </c>
      <c r="AY159" s="23">
        <v>-6.7500000000000004E-2</v>
      </c>
      <c r="AZ159" s="23">
        <v>-3.5000000000000003E-2</v>
      </c>
      <c r="BA159" s="23">
        <v>-7.0000000000000007E-2</v>
      </c>
      <c r="BB159" s="23">
        <v>-1.15E-2</v>
      </c>
      <c r="BC159" s="23">
        <v>-4.0500000000000001E-2</v>
      </c>
      <c r="BD159" s="23">
        <v>-1.7500000000000002E-2</v>
      </c>
      <c r="BE159" s="23">
        <v>-7.2499999999999995E-2</v>
      </c>
      <c r="BF159" s="23">
        <v>0</v>
      </c>
      <c r="BG159" s="23">
        <v>0.14000000000000001</v>
      </c>
      <c r="BH159" s="23">
        <v>0.14499999999999999</v>
      </c>
      <c r="BI159" s="23">
        <v>0.125</v>
      </c>
      <c r="BJ159" s="23">
        <v>0.36</v>
      </c>
      <c r="BK159" s="23">
        <v>2.5000000000000001E-3</v>
      </c>
      <c r="BL159" s="23">
        <v>-1.4999999999999999E-2</v>
      </c>
      <c r="BM159" s="23">
        <v>5.0000000000000001E-3</v>
      </c>
      <c r="BN159" s="23">
        <v>-0.01</v>
      </c>
      <c r="BO159" s="23">
        <v>0</v>
      </c>
      <c r="BP159" s="23">
        <v>5.0000000000000001E-3</v>
      </c>
      <c r="BQ159" s="23">
        <v>2.5000000000000001E-3</v>
      </c>
      <c r="BR159" s="23">
        <v>0.01</v>
      </c>
      <c r="BS159">
        <v>5.0000000000000001E-3</v>
      </c>
      <c r="BT159">
        <v>0</v>
      </c>
      <c r="BU159">
        <v>0</v>
      </c>
      <c r="BV159">
        <v>0.03</v>
      </c>
    </row>
    <row r="160" spans="1:74" x14ac:dyDescent="0.25">
      <c r="A160" s="24" t="e">
        <f>#REF!-B160</f>
        <v>#REF!</v>
      </c>
      <c r="B160" s="24">
        <v>3.62</v>
      </c>
      <c r="C160" s="138">
        <f t="shared" si="5"/>
        <v>41944</v>
      </c>
      <c r="D160">
        <v>4.2645</v>
      </c>
      <c r="E160" s="24">
        <v>0.17</v>
      </c>
      <c r="F160" s="23">
        <v>6.0713767556160203E-2</v>
      </c>
      <c r="G160" s="23">
        <v>-0.13</v>
      </c>
      <c r="H160" s="23">
        <v>-0.15</v>
      </c>
      <c r="I160" s="27">
        <v>-0.01</v>
      </c>
      <c r="J160" s="27">
        <v>-0.13</v>
      </c>
      <c r="K160" s="23">
        <v>0</v>
      </c>
      <c r="L160" s="23">
        <v>-0.03</v>
      </c>
      <c r="M160" s="23">
        <v>-7.0000000000000007E-2</v>
      </c>
      <c r="N160" s="23">
        <v>-0.12</v>
      </c>
      <c r="O160" s="23">
        <v>-0.12</v>
      </c>
      <c r="P160" s="23">
        <v>-0.13</v>
      </c>
      <c r="Q160" s="23">
        <v>-7.3499999999999996E-2</v>
      </c>
      <c r="R160" s="23">
        <v>-3.4500000000000003E-2</v>
      </c>
      <c r="S160" s="23">
        <v>0</v>
      </c>
      <c r="T160" s="23">
        <v>0.02</v>
      </c>
      <c r="U160" s="23">
        <v>0</v>
      </c>
      <c r="V160" s="23">
        <v>0.5</v>
      </c>
      <c r="W160" s="23">
        <v>0.19500000000000001</v>
      </c>
      <c r="X160" s="23">
        <v>0.21</v>
      </c>
      <c r="Y160" s="23">
        <v>-6.9999989999999998E-3</v>
      </c>
      <c r="Z160" s="23">
        <v>-2.5999999999999999E-2</v>
      </c>
      <c r="AA160" s="23">
        <v>1.2500000000000001E-2</v>
      </c>
      <c r="AB160" s="23">
        <v>-2.5000000000000001E-3</v>
      </c>
      <c r="AC160" s="23">
        <v>2.5000000000000001E-3</v>
      </c>
      <c r="AD160" s="23">
        <v>-2.0500000000000001E-2</v>
      </c>
      <c r="AE160" s="23">
        <v>-7.4999999999999997E-2</v>
      </c>
      <c r="AF160" s="23">
        <v>-5.1499999999999997E-2</v>
      </c>
      <c r="AG160" s="23">
        <v>-7.3999999999999996E-2</v>
      </c>
      <c r="AH160" s="23">
        <v>-7.9999990000000007E-3</v>
      </c>
      <c r="AI160" s="23">
        <v>-6.4000000000000001E-2</v>
      </c>
      <c r="AJ160" s="23">
        <v>-0.1125</v>
      </c>
      <c r="AK160" s="23">
        <v>-8.9999989999999998E-3</v>
      </c>
      <c r="AL160" s="23">
        <v>3.1E-2</v>
      </c>
      <c r="AM160" s="23">
        <v>0.65</v>
      </c>
      <c r="AN160" s="23">
        <v>-2.2499999999999999E-2</v>
      </c>
      <c r="AO160" s="23">
        <v>-0.34</v>
      </c>
      <c r="AP160" s="23">
        <v>-7.0000000000000007E-2</v>
      </c>
      <c r="AQ160" s="23">
        <v>-0.13</v>
      </c>
      <c r="AR160" s="23">
        <v>0.248</v>
      </c>
      <c r="AS160" s="23">
        <v>-0.26</v>
      </c>
      <c r="AT160" s="23">
        <v>0</v>
      </c>
      <c r="AU160" s="23">
        <v>0.35</v>
      </c>
      <c r="AV160" s="23">
        <v>-0.34</v>
      </c>
      <c r="AW160" s="23">
        <v>-0.13500000000000001</v>
      </c>
      <c r="AX160" s="23">
        <v>-0.06</v>
      </c>
      <c r="AY160" s="23">
        <v>-7.4999999999999997E-2</v>
      </c>
      <c r="AZ160" s="23">
        <v>-3.4500000000000003E-2</v>
      </c>
      <c r="BA160" s="23">
        <v>-6.5000000000000002E-2</v>
      </c>
      <c r="BB160" s="23">
        <v>-1.2999999999999999E-2</v>
      </c>
      <c r="BC160" s="23">
        <v>-5.5E-2</v>
      </c>
      <c r="BD160" s="23">
        <v>-5.2499999999999998E-2</v>
      </c>
      <c r="BE160" s="23">
        <v>-7.4999999999999997E-2</v>
      </c>
      <c r="BF160" s="23">
        <v>0</v>
      </c>
      <c r="BG160" s="23">
        <v>0</v>
      </c>
      <c r="BH160" s="23">
        <v>0.02</v>
      </c>
      <c r="BI160" s="23">
        <v>0</v>
      </c>
      <c r="BJ160" s="23">
        <v>0.46</v>
      </c>
      <c r="BK160" s="23">
        <v>2.5000000000000001E-3</v>
      </c>
      <c r="BL160" s="23">
        <v>-0.02</v>
      </c>
      <c r="BM160" s="23">
        <v>5.0000000000000001E-3</v>
      </c>
      <c r="BN160" s="23">
        <v>0</v>
      </c>
      <c r="BO160" s="23">
        <v>0</v>
      </c>
      <c r="BP160" s="23">
        <v>5.0000000000000001E-3</v>
      </c>
      <c r="BQ160" s="23">
        <v>5.0000000000000001E-3</v>
      </c>
      <c r="BR160" s="23">
        <v>5.5E-2</v>
      </c>
      <c r="BS160">
        <v>0.02</v>
      </c>
      <c r="BT160">
        <v>0</v>
      </c>
      <c r="BU160">
        <v>0</v>
      </c>
      <c r="BV160">
        <v>0.03</v>
      </c>
    </row>
    <row r="161" spans="1:74" x14ac:dyDescent="0.25">
      <c r="A161" s="24" t="e">
        <f>#REF!-B161</f>
        <v>#REF!</v>
      </c>
      <c r="B161" s="24">
        <v>3.61</v>
      </c>
      <c r="C161" s="138">
        <f t="shared" si="5"/>
        <v>41974</v>
      </c>
      <c r="D161">
        <v>4.4074999999999998</v>
      </c>
      <c r="E161" s="24">
        <v>0.17</v>
      </c>
      <c r="F161" s="23">
        <v>6.0756181968437697E-2</v>
      </c>
      <c r="G161" s="23">
        <v>-0.13250000000000001</v>
      </c>
      <c r="H161" s="23">
        <v>-0.1525</v>
      </c>
      <c r="I161" s="27">
        <v>-5.0000000000000001E-3</v>
      </c>
      <c r="J161" s="27">
        <v>-0.13</v>
      </c>
      <c r="K161" s="23">
        <v>5.0000000000000001E-3</v>
      </c>
      <c r="L161" s="23">
        <v>-0.03</v>
      </c>
      <c r="M161" s="23">
        <v>-7.0000000000000007E-2</v>
      </c>
      <c r="N161" s="23">
        <v>-0.1225</v>
      </c>
      <c r="O161" s="23">
        <v>-0.1225</v>
      </c>
      <c r="P161" s="23">
        <v>-0.13250000000000001</v>
      </c>
      <c r="Q161" s="23">
        <v>-8.4750000000000006E-2</v>
      </c>
      <c r="R161" s="23">
        <v>-3.4500000000000003E-2</v>
      </c>
      <c r="S161" s="23">
        <v>0</v>
      </c>
      <c r="T161" s="23">
        <v>0.02</v>
      </c>
      <c r="U161" s="23">
        <v>0</v>
      </c>
      <c r="V161" s="23">
        <v>0.5</v>
      </c>
      <c r="W161" s="23">
        <v>0.215</v>
      </c>
      <c r="X161" s="23">
        <v>0.28999999999999998</v>
      </c>
      <c r="Y161" s="23">
        <v>-6.9999989999999998E-3</v>
      </c>
      <c r="Z161" s="23">
        <v>-2.5999999999999999E-2</v>
      </c>
      <c r="AA161" s="23">
        <v>1.2500000000000001E-2</v>
      </c>
      <c r="AB161" s="23">
        <v>-2.5000000000000001E-3</v>
      </c>
      <c r="AC161" s="23">
        <v>2.5000000000000001E-3</v>
      </c>
      <c r="AD161" s="23">
        <v>-2.0500000000000001E-2</v>
      </c>
      <c r="AE161" s="23">
        <v>-7.4999999999999997E-2</v>
      </c>
      <c r="AF161" s="23">
        <v>-4.9500000000000002E-2</v>
      </c>
      <c r="AG161" s="23">
        <v>-7.1999999999999995E-2</v>
      </c>
      <c r="AH161" s="23">
        <v>-5.4999990000000002E-3</v>
      </c>
      <c r="AI161" s="23">
        <v>-6.4000000000000001E-2</v>
      </c>
      <c r="AJ161" s="23">
        <v>-0.13500000000000001</v>
      </c>
      <c r="AK161" s="23">
        <v>-8.9999989999999998E-3</v>
      </c>
      <c r="AL161" s="23">
        <v>3.1E-2</v>
      </c>
      <c r="AM161" s="23">
        <v>0.98</v>
      </c>
      <c r="AN161" s="23">
        <v>-4.4999999999999998E-2</v>
      </c>
      <c r="AO161" s="23">
        <v>-0.34</v>
      </c>
      <c r="AP161" s="23">
        <v>-7.0000000000000007E-2</v>
      </c>
      <c r="AQ161" s="23">
        <v>-0.13</v>
      </c>
      <c r="AR161" s="23">
        <v>0.308</v>
      </c>
      <c r="AS161" s="23">
        <v>-0.26</v>
      </c>
      <c r="AT161" s="23">
        <v>0</v>
      </c>
      <c r="AU161" s="23">
        <v>0.35</v>
      </c>
      <c r="AV161" s="23">
        <v>-0.34</v>
      </c>
      <c r="AW161" s="23">
        <v>-0.16250000000000001</v>
      </c>
      <c r="AX161" s="23">
        <v>-0.06</v>
      </c>
      <c r="AY161" s="23">
        <v>-0.10249999999999999</v>
      </c>
      <c r="AZ161" s="23">
        <v>-3.4500000000000003E-2</v>
      </c>
      <c r="BA161" s="23">
        <v>-9.2499999999999999E-2</v>
      </c>
      <c r="BB161" s="23">
        <v>-1.0500000000000001E-2</v>
      </c>
      <c r="BC161" s="23">
        <v>-5.5E-2</v>
      </c>
      <c r="BD161" s="23">
        <v>-7.4999999999999997E-2</v>
      </c>
      <c r="BE161" s="23">
        <v>-7.4999999999999997E-2</v>
      </c>
      <c r="BF161" s="23">
        <v>0</v>
      </c>
      <c r="BG161" s="23">
        <v>0</v>
      </c>
      <c r="BH161" s="23">
        <v>0.02</v>
      </c>
      <c r="BI161" s="23">
        <v>0</v>
      </c>
      <c r="BJ161" s="23">
        <v>0.77</v>
      </c>
      <c r="BK161" s="23">
        <v>2.5000000000000001E-3</v>
      </c>
      <c r="BL161" s="23">
        <v>-2.5000000000000001E-2</v>
      </c>
      <c r="BM161" s="23">
        <v>5.0000000000000001E-3</v>
      </c>
      <c r="BN161" s="23">
        <v>0</v>
      </c>
      <c r="BO161" s="23">
        <v>0</v>
      </c>
      <c r="BP161" s="23">
        <v>5.0000000000000001E-3</v>
      </c>
      <c r="BQ161" s="23">
        <v>5.0000000000000001E-3</v>
      </c>
      <c r="BR161" s="23">
        <v>0.25</v>
      </c>
      <c r="BS161">
        <v>0.02</v>
      </c>
      <c r="BT161">
        <v>0</v>
      </c>
      <c r="BU161">
        <v>0</v>
      </c>
      <c r="BV161">
        <v>0.03</v>
      </c>
    </row>
    <row r="162" spans="1:74" x14ac:dyDescent="0.25">
      <c r="A162" s="24" t="e">
        <f>#REF!-B162</f>
        <v>#REF!</v>
      </c>
      <c r="B162" s="24">
        <v>3.6749999999999998</v>
      </c>
      <c r="C162" s="138">
        <f t="shared" si="5"/>
        <v>42005</v>
      </c>
      <c r="D162">
        <v>4.4675000000000002</v>
      </c>
      <c r="E162" s="24">
        <v>0.17</v>
      </c>
      <c r="F162" s="23">
        <v>6.0800010195086497E-2</v>
      </c>
      <c r="G162" s="23">
        <v>-0.13500000000000001</v>
      </c>
      <c r="H162" s="23">
        <v>-0.155</v>
      </c>
      <c r="I162" s="27">
        <v>1.4999999999999999E-2</v>
      </c>
      <c r="J162" s="27">
        <v>-0.13</v>
      </c>
      <c r="K162" s="23">
        <v>2.5000000000000001E-2</v>
      </c>
      <c r="L162" s="23">
        <v>-0.03</v>
      </c>
      <c r="M162" s="23">
        <v>-7.0000000000000007E-2</v>
      </c>
      <c r="N162" s="23">
        <v>-0.125</v>
      </c>
      <c r="O162" s="23">
        <v>-0.125</v>
      </c>
      <c r="P162" s="23">
        <v>-0.13500000000000001</v>
      </c>
      <c r="Q162" s="23">
        <v>-8.5000000000000006E-2</v>
      </c>
      <c r="R162" s="23">
        <v>-3.2500000000000001E-2</v>
      </c>
      <c r="S162" s="23">
        <v>0</v>
      </c>
      <c r="T162" s="23">
        <v>0.02</v>
      </c>
      <c r="U162" s="23">
        <v>0</v>
      </c>
      <c r="V162" s="23">
        <v>0.5</v>
      </c>
      <c r="W162" s="23">
        <v>0.23499999999999999</v>
      </c>
      <c r="X162" s="23">
        <v>0.34</v>
      </c>
      <c r="Y162" s="23">
        <v>-4.9999989999999998E-3</v>
      </c>
      <c r="Z162" s="23">
        <v>-2.5999999999999999E-2</v>
      </c>
      <c r="AA162" s="23">
        <v>1.2500000000000001E-2</v>
      </c>
      <c r="AB162" s="23">
        <v>-2.5000000000000001E-3</v>
      </c>
      <c r="AC162" s="23">
        <v>2.5000000000000001E-3</v>
      </c>
      <c r="AD162" s="23">
        <v>-1.8499999999999999E-2</v>
      </c>
      <c r="AE162" s="23">
        <v>-7.4999999999999997E-2</v>
      </c>
      <c r="AF162" s="23">
        <v>-4.9500000000000002E-2</v>
      </c>
      <c r="AG162" s="23">
        <v>-7.1999999999999995E-2</v>
      </c>
      <c r="AH162" s="23">
        <v>-5.4999990000000002E-3</v>
      </c>
      <c r="AI162" s="23">
        <v>-6.4000000000000001E-2</v>
      </c>
      <c r="AJ162" s="23">
        <v>-0.13750000000000001</v>
      </c>
      <c r="AK162" s="23">
        <v>-8.9999989999999998E-3</v>
      </c>
      <c r="AL162" s="23">
        <v>3.1E-2</v>
      </c>
      <c r="AM162" s="23">
        <v>1.6</v>
      </c>
      <c r="AN162" s="23">
        <v>-4.7500000000000001E-2</v>
      </c>
      <c r="AO162" s="23">
        <v>-0.34</v>
      </c>
      <c r="AP162" s="23">
        <v>-7.0000000000000007E-2</v>
      </c>
      <c r="AQ162" s="23">
        <v>-0.13</v>
      </c>
      <c r="AR162" s="23">
        <v>0.378</v>
      </c>
      <c r="AS162" s="23">
        <v>-0.26</v>
      </c>
      <c r="AT162" s="23">
        <v>0</v>
      </c>
      <c r="AU162" s="23">
        <v>0.35</v>
      </c>
      <c r="AV162" s="23">
        <v>-0.34</v>
      </c>
      <c r="AW162" s="23">
        <v>-0.17749999999999999</v>
      </c>
      <c r="AX162" s="23">
        <v>-0.06</v>
      </c>
      <c r="AY162" s="23">
        <v>-0.11749999999999999</v>
      </c>
      <c r="AZ162" s="23">
        <v>-3.2500000000000001E-2</v>
      </c>
      <c r="BA162" s="23">
        <v>-9.2999999999999999E-2</v>
      </c>
      <c r="BB162" s="23">
        <v>-1.0500000000000001E-2</v>
      </c>
      <c r="BC162" s="23">
        <v>-5.5E-2</v>
      </c>
      <c r="BD162" s="23">
        <v>-7.7499999999999999E-2</v>
      </c>
      <c r="BE162" s="23">
        <v>-7.4999999999999997E-2</v>
      </c>
      <c r="BF162" s="23">
        <v>0</v>
      </c>
      <c r="BG162" s="23">
        <v>0</v>
      </c>
      <c r="BH162" s="23">
        <v>0.02</v>
      </c>
      <c r="BI162" s="23">
        <v>0</v>
      </c>
      <c r="BJ162" s="23">
        <v>1.04</v>
      </c>
      <c r="BK162" s="23">
        <v>2.5000000000000001E-3</v>
      </c>
      <c r="BL162" s="23">
        <v>-2.5000000000000001E-2</v>
      </c>
      <c r="BM162" s="23">
        <v>5.0000000000000001E-3</v>
      </c>
      <c r="BN162" s="23">
        <v>0</v>
      </c>
      <c r="BO162" s="23">
        <v>0</v>
      </c>
      <c r="BP162" s="23">
        <v>5.0000000000000001E-3</v>
      </c>
      <c r="BQ162" s="23">
        <v>0</v>
      </c>
      <c r="BR162" s="23">
        <v>0.45</v>
      </c>
      <c r="BS162">
        <v>0.02</v>
      </c>
      <c r="BT162">
        <v>0</v>
      </c>
      <c r="BU162">
        <v>0</v>
      </c>
      <c r="BV162">
        <v>0.03</v>
      </c>
    </row>
    <row r="163" spans="1:74" x14ac:dyDescent="0.25">
      <c r="A163" s="24" t="e">
        <f>#REF!-B163</f>
        <v>#REF!</v>
      </c>
      <c r="B163" s="24">
        <v>3.67</v>
      </c>
      <c r="C163" s="138">
        <f t="shared" si="5"/>
        <v>42036</v>
      </c>
      <c r="D163">
        <v>4.3825000000000003</v>
      </c>
      <c r="E163" s="24">
        <v>0.17</v>
      </c>
      <c r="F163" s="23">
        <v>6.0843838422372599E-2</v>
      </c>
      <c r="G163" s="23">
        <v>-0.1275</v>
      </c>
      <c r="H163" s="23">
        <v>-0.14749999999999999</v>
      </c>
      <c r="I163" s="27">
        <v>0.01</v>
      </c>
      <c r="J163" s="27">
        <v>-0.13</v>
      </c>
      <c r="K163" s="23">
        <v>0.02</v>
      </c>
      <c r="L163" s="23">
        <v>-0.03</v>
      </c>
      <c r="M163" s="23">
        <v>-7.0000000000000007E-2</v>
      </c>
      <c r="N163" s="23">
        <v>-0.11749999999999999</v>
      </c>
      <c r="O163" s="23">
        <v>-0.11749999999999999</v>
      </c>
      <c r="P163" s="23">
        <v>-0.1275</v>
      </c>
      <c r="Q163" s="23">
        <v>-7.6249999999999998E-2</v>
      </c>
      <c r="R163" s="23">
        <v>-3.2500000000000001E-2</v>
      </c>
      <c r="S163" s="23">
        <v>0</v>
      </c>
      <c r="T163" s="23">
        <v>0.02</v>
      </c>
      <c r="U163" s="23">
        <v>0</v>
      </c>
      <c r="V163" s="23">
        <v>0.5</v>
      </c>
      <c r="W163" s="23">
        <v>0.23499999999999999</v>
      </c>
      <c r="X163" s="23">
        <v>0.34</v>
      </c>
      <c r="Y163" s="23">
        <v>-4.9999989999999998E-3</v>
      </c>
      <c r="Z163" s="23">
        <v>-2.5999999999999999E-2</v>
      </c>
      <c r="AA163" s="23">
        <v>1.2500000000000001E-2</v>
      </c>
      <c r="AB163" s="23">
        <v>-2.5000000000000001E-3</v>
      </c>
      <c r="AC163" s="23">
        <v>2.5000000000000001E-3</v>
      </c>
      <c r="AD163" s="23">
        <v>-1.8499999999999999E-2</v>
      </c>
      <c r="AE163" s="23">
        <v>-7.4999999999999997E-2</v>
      </c>
      <c r="AF163" s="23">
        <v>-4.9500000000000002E-2</v>
      </c>
      <c r="AG163" s="23">
        <v>-7.1999999999999995E-2</v>
      </c>
      <c r="AH163" s="23">
        <v>-5.4999990000000002E-3</v>
      </c>
      <c r="AI163" s="23">
        <v>-6.4000000000000001E-2</v>
      </c>
      <c r="AJ163" s="23">
        <v>-0.12</v>
      </c>
      <c r="AK163" s="23">
        <v>-8.9999989999999998E-3</v>
      </c>
      <c r="AL163" s="23">
        <v>3.1E-2</v>
      </c>
      <c r="AM163" s="23">
        <v>1.6</v>
      </c>
      <c r="AN163" s="23">
        <v>-0.03</v>
      </c>
      <c r="AO163" s="23">
        <v>-0.34</v>
      </c>
      <c r="AP163" s="23">
        <v>-7.0000000000000007E-2</v>
      </c>
      <c r="AQ163" s="23">
        <v>-0.13</v>
      </c>
      <c r="AR163" s="23">
        <v>0.248</v>
      </c>
      <c r="AS163" s="23">
        <v>-0.26</v>
      </c>
      <c r="AT163" s="23">
        <v>0</v>
      </c>
      <c r="AU163" s="23">
        <v>0.35</v>
      </c>
      <c r="AV163" s="23">
        <v>-0.34</v>
      </c>
      <c r="AW163" s="23">
        <v>-0.16750000000000001</v>
      </c>
      <c r="AX163" s="23">
        <v>-0.06</v>
      </c>
      <c r="AY163" s="23">
        <v>-0.1075</v>
      </c>
      <c r="AZ163" s="23">
        <v>-3.2500000000000001E-2</v>
      </c>
      <c r="BA163" s="23">
        <v>-9.2999999999999999E-2</v>
      </c>
      <c r="BB163" s="23">
        <v>-1.0500000000000001E-2</v>
      </c>
      <c r="BC163" s="23">
        <v>-5.5E-2</v>
      </c>
      <c r="BD163" s="23">
        <v>-0.06</v>
      </c>
      <c r="BE163" s="23">
        <v>-7.4999999999999997E-2</v>
      </c>
      <c r="BF163" s="23">
        <v>0</v>
      </c>
      <c r="BG163" s="23">
        <v>0</v>
      </c>
      <c r="BH163" s="23">
        <v>0.02</v>
      </c>
      <c r="BI163" s="23">
        <v>0</v>
      </c>
      <c r="BJ163" s="23">
        <v>1.04</v>
      </c>
      <c r="BK163" s="23">
        <v>2.5000000000000001E-3</v>
      </c>
      <c r="BL163" s="23">
        <v>-2.5000000000000001E-2</v>
      </c>
      <c r="BM163" s="23">
        <v>5.0000000000000001E-3</v>
      </c>
      <c r="BN163" s="23">
        <v>0</v>
      </c>
      <c r="BO163" s="23">
        <v>0</v>
      </c>
      <c r="BP163" s="23">
        <v>5.0000000000000001E-3</v>
      </c>
      <c r="BQ163" s="23">
        <v>0</v>
      </c>
      <c r="BR163" s="23">
        <v>0.45</v>
      </c>
      <c r="BS163">
        <v>0.02</v>
      </c>
      <c r="BT163">
        <v>0</v>
      </c>
      <c r="BU163">
        <v>0</v>
      </c>
      <c r="BV163">
        <v>0.03</v>
      </c>
    </row>
    <row r="164" spans="1:74" x14ac:dyDescent="0.25">
      <c r="A164" s="24" t="e">
        <f>#REF!-B164</f>
        <v>#REF!</v>
      </c>
      <c r="B164" s="24">
        <v>3.65</v>
      </c>
      <c r="C164" s="138">
        <f t="shared" si="5"/>
        <v>42064</v>
      </c>
      <c r="D164">
        <v>4.2525000000000004</v>
      </c>
      <c r="E164" s="24">
        <v>0.17</v>
      </c>
      <c r="F164" s="23">
        <v>6.0883425208856999E-2</v>
      </c>
      <c r="G164" s="23">
        <v>-0.125</v>
      </c>
      <c r="H164" s="23">
        <v>-0.14499999999999999</v>
      </c>
      <c r="I164" s="27">
        <v>-0.01</v>
      </c>
      <c r="J164" s="27">
        <v>-0.13</v>
      </c>
      <c r="K164" s="23">
        <v>0</v>
      </c>
      <c r="L164" s="23">
        <v>-0.03</v>
      </c>
      <c r="M164" s="23">
        <v>-7.0000000000000007E-2</v>
      </c>
      <c r="N164" s="23">
        <v>-0.115</v>
      </c>
      <c r="O164" s="23">
        <v>-0.115</v>
      </c>
      <c r="P164" s="23">
        <v>-0.125</v>
      </c>
      <c r="Q164" s="23">
        <v>-7.0000000000000007E-2</v>
      </c>
      <c r="R164" s="23">
        <v>-3.2500000000000001E-2</v>
      </c>
      <c r="S164" s="23">
        <v>0</v>
      </c>
      <c r="T164" s="23">
        <v>0.02</v>
      </c>
      <c r="U164" s="23">
        <v>0</v>
      </c>
      <c r="V164" s="23">
        <v>0.5</v>
      </c>
      <c r="W164" s="23">
        <v>0.19500000000000001</v>
      </c>
      <c r="X164" s="23">
        <v>0.28999999999999998</v>
      </c>
      <c r="Y164" s="23">
        <v>-4.9999989999999998E-3</v>
      </c>
      <c r="Z164" s="23">
        <v>-2.5999999999999999E-2</v>
      </c>
      <c r="AA164" s="23">
        <v>0.02</v>
      </c>
      <c r="AB164" s="23">
        <v>5.0000000000000001E-3</v>
      </c>
      <c r="AC164" s="23">
        <v>2.5000000000000001E-3</v>
      </c>
      <c r="AD164" s="23">
        <v>-1.8499999999999999E-2</v>
      </c>
      <c r="AE164" s="23">
        <v>-7.4999999999999997E-2</v>
      </c>
      <c r="AF164" s="23">
        <v>-4.9500000000000002E-2</v>
      </c>
      <c r="AG164" s="23">
        <v>-7.1999999999999995E-2</v>
      </c>
      <c r="AH164" s="23">
        <v>-5.4999990000000002E-3</v>
      </c>
      <c r="AI164" s="23">
        <v>-6.4000000000000001E-2</v>
      </c>
      <c r="AJ164" s="23">
        <v>-0.1075</v>
      </c>
      <c r="AK164" s="23">
        <v>-8.9999989999999998E-3</v>
      </c>
      <c r="AL164" s="23">
        <v>3.1E-2</v>
      </c>
      <c r="AM164" s="23">
        <v>0.64</v>
      </c>
      <c r="AN164" s="23">
        <v>-1.7500000000000002E-2</v>
      </c>
      <c r="AO164" s="23">
        <v>-0.34</v>
      </c>
      <c r="AP164" s="23">
        <v>-7.0000000000000007E-2</v>
      </c>
      <c r="AQ164" s="23">
        <v>-0.13</v>
      </c>
      <c r="AR164" s="23">
        <v>6.8000000000000005E-2</v>
      </c>
      <c r="AS164" s="23">
        <v>-0.26</v>
      </c>
      <c r="AT164" s="23">
        <v>0</v>
      </c>
      <c r="AU164" s="23">
        <v>0.35</v>
      </c>
      <c r="AV164" s="23">
        <v>-0.34</v>
      </c>
      <c r="AW164" s="23">
        <v>-0.1575</v>
      </c>
      <c r="AX164" s="23">
        <v>-0.06</v>
      </c>
      <c r="AY164" s="23">
        <v>-9.7500000000000003E-2</v>
      </c>
      <c r="AZ164" s="23">
        <v>-3.2500000000000001E-2</v>
      </c>
      <c r="BA164" s="23">
        <v>-9.2999999999999999E-2</v>
      </c>
      <c r="BB164" s="23">
        <v>-1.0500000000000001E-2</v>
      </c>
      <c r="BC164" s="23">
        <v>-5.5E-2</v>
      </c>
      <c r="BD164" s="23">
        <v>-4.7500000000000001E-2</v>
      </c>
      <c r="BE164" s="23">
        <v>-7.4999999999999997E-2</v>
      </c>
      <c r="BF164" s="23">
        <v>0</v>
      </c>
      <c r="BG164" s="23">
        <v>0</v>
      </c>
      <c r="BH164" s="23">
        <v>0.02</v>
      </c>
      <c r="BI164" s="23">
        <v>0</v>
      </c>
      <c r="BJ164" s="23">
        <v>0.54</v>
      </c>
      <c r="BK164" s="23">
        <v>2.5000000000000001E-3</v>
      </c>
      <c r="BL164" s="23">
        <v>-0.02</v>
      </c>
      <c r="BM164" s="23">
        <v>5.0000000000000001E-3</v>
      </c>
      <c r="BN164" s="23">
        <v>0</v>
      </c>
      <c r="BO164" s="23">
        <v>0</v>
      </c>
      <c r="BP164" s="23">
        <v>5.0000000000000001E-3</v>
      </c>
      <c r="BQ164" s="23">
        <v>0</v>
      </c>
      <c r="BR164" s="23">
        <v>0.1</v>
      </c>
      <c r="BS164">
        <v>0.02</v>
      </c>
      <c r="BT164">
        <v>0</v>
      </c>
      <c r="BU164">
        <v>0</v>
      </c>
      <c r="BV164">
        <v>0.03</v>
      </c>
    </row>
    <row r="165" spans="1:74" x14ac:dyDescent="0.25">
      <c r="A165" s="24" t="e">
        <f>#REF!-B165</f>
        <v>#REF!</v>
      </c>
      <c r="B165" s="24">
        <v>3.6580000000000004</v>
      </c>
      <c r="C165" s="138">
        <f t="shared" si="5"/>
        <v>42095</v>
      </c>
      <c r="D165">
        <v>4.0674999999999999</v>
      </c>
      <c r="E165" s="24">
        <v>0.17</v>
      </c>
      <c r="F165" s="23">
        <v>6.0927253437357699E-2</v>
      </c>
      <c r="G165" s="23">
        <v>-0.13</v>
      </c>
      <c r="H165" s="23">
        <v>-0.15</v>
      </c>
      <c r="I165" s="27">
        <v>-0.09</v>
      </c>
      <c r="J165" s="27">
        <v>-0.13</v>
      </c>
      <c r="K165" s="23">
        <v>-0.09</v>
      </c>
      <c r="L165" s="23">
        <v>-0.03</v>
      </c>
      <c r="M165" s="23">
        <v>-5.2999999999999999E-2</v>
      </c>
      <c r="N165" s="23">
        <v>-0.12</v>
      </c>
      <c r="O165" s="23">
        <v>-0.12</v>
      </c>
      <c r="P165" s="23">
        <v>-0.13</v>
      </c>
      <c r="Q165" s="23">
        <v>-0.05</v>
      </c>
      <c r="R165" s="23">
        <v>-0.03</v>
      </c>
      <c r="S165" s="23">
        <v>0</v>
      </c>
      <c r="T165" s="23">
        <v>0.02</v>
      </c>
      <c r="U165" s="23">
        <v>0</v>
      </c>
      <c r="V165" s="23">
        <v>0.5</v>
      </c>
      <c r="W165" s="23">
        <v>0.14499999999999999</v>
      </c>
      <c r="X165" s="23">
        <v>0.19500000000000001</v>
      </c>
      <c r="Y165" s="23">
        <v>-7.4999990000000002E-3</v>
      </c>
      <c r="Z165" s="23">
        <v>-4.1000000000000002E-2</v>
      </c>
      <c r="AA165" s="23">
        <v>0.02</v>
      </c>
      <c r="AB165" s="23">
        <v>5.0000000000000001E-3</v>
      </c>
      <c r="AC165" s="23">
        <v>2.5000000000000001E-3</v>
      </c>
      <c r="AD165" s="23">
        <v>-1.8499999999999999E-2</v>
      </c>
      <c r="AE165" s="23">
        <v>-7.2499999999999995E-2</v>
      </c>
      <c r="AF165" s="23">
        <v>-4.7E-2</v>
      </c>
      <c r="AG165" s="23">
        <v>-6.9500000000000006E-2</v>
      </c>
      <c r="AH165" s="23">
        <v>-1.0500000000000001E-2</v>
      </c>
      <c r="AI165" s="23">
        <v>-7.1999999999999995E-2</v>
      </c>
      <c r="AJ165" s="23">
        <v>-7.0000000000000007E-2</v>
      </c>
      <c r="AK165" s="23">
        <v>-1.7000000000000001E-2</v>
      </c>
      <c r="AL165" s="23">
        <v>2.3E-2</v>
      </c>
      <c r="AM165" s="23">
        <v>0.38</v>
      </c>
      <c r="AN165" s="23">
        <v>0.02</v>
      </c>
      <c r="AO165" s="23">
        <v>0</v>
      </c>
      <c r="AP165" s="23">
        <v>-7.0000000000000007E-2</v>
      </c>
      <c r="AQ165" s="23">
        <v>-0.19500000000000001</v>
      </c>
      <c r="AR165" s="23">
        <v>-0.25</v>
      </c>
      <c r="AS165" s="23">
        <v>-0.37</v>
      </c>
      <c r="AT165" s="23">
        <v>0</v>
      </c>
      <c r="AU165" s="23">
        <v>0.43</v>
      </c>
      <c r="AV165" s="23">
        <v>0</v>
      </c>
      <c r="AW165" s="23">
        <v>-0.19800000000000001</v>
      </c>
      <c r="AX165" s="23">
        <v>-0.06</v>
      </c>
      <c r="AY165" s="23">
        <v>-0.13800000000000001</v>
      </c>
      <c r="AZ165" s="23">
        <v>-0.03</v>
      </c>
      <c r="BA165" s="23">
        <v>-0.11550000000000001</v>
      </c>
      <c r="BB165" s="23">
        <v>-1.0500000000000001E-2</v>
      </c>
      <c r="BC165" s="23">
        <v>-3.7999999999999999E-2</v>
      </c>
      <c r="BD165" s="23">
        <v>-0.01</v>
      </c>
      <c r="BE165" s="23">
        <v>-7.2499999999999995E-2</v>
      </c>
      <c r="BF165" s="23">
        <v>0</v>
      </c>
      <c r="BG165" s="23">
        <v>0</v>
      </c>
      <c r="BH165" s="23">
        <v>0.02</v>
      </c>
      <c r="BI165" s="23">
        <v>0</v>
      </c>
      <c r="BJ165" s="23">
        <v>0.36</v>
      </c>
      <c r="BK165" s="23">
        <v>2.5000000000000001E-3</v>
      </c>
      <c r="BL165" s="23">
        <v>-1.4999999999999999E-2</v>
      </c>
      <c r="BM165" s="23">
        <v>5.0000000000000001E-3</v>
      </c>
      <c r="BN165" s="23">
        <v>-0.01</v>
      </c>
      <c r="BO165" s="23">
        <v>0</v>
      </c>
      <c r="BP165" s="23">
        <v>5.0000000000000001E-3</v>
      </c>
      <c r="BQ165" s="23">
        <v>0</v>
      </c>
      <c r="BR165" s="23">
        <v>0.02</v>
      </c>
      <c r="BS165">
        <v>5.0000000000000001E-3</v>
      </c>
      <c r="BT165">
        <v>0</v>
      </c>
      <c r="BU165">
        <v>0</v>
      </c>
      <c r="BV165">
        <v>0.03</v>
      </c>
    </row>
    <row r="166" spans="1:74" x14ac:dyDescent="0.25">
      <c r="A166" s="24" t="e">
        <f>#REF!-B166</f>
        <v>#REF!</v>
      </c>
      <c r="B166" s="24">
        <v>3.72</v>
      </c>
      <c r="C166" s="138">
        <f t="shared" si="5"/>
        <v>42125</v>
      </c>
      <c r="D166">
        <v>4.0625</v>
      </c>
      <c r="E166" s="24">
        <v>0.17</v>
      </c>
      <c r="F166" s="23">
        <v>6.0969667852643003E-2</v>
      </c>
      <c r="G166" s="23">
        <v>-0.13</v>
      </c>
      <c r="H166" s="23">
        <v>-0.15</v>
      </c>
      <c r="I166" s="27">
        <v>-0.09</v>
      </c>
      <c r="J166" s="27">
        <v>-0.13</v>
      </c>
      <c r="K166" s="23">
        <v>-0.09</v>
      </c>
      <c r="L166" s="23">
        <v>-0.03</v>
      </c>
      <c r="M166" s="23">
        <v>-5.2999999999999999E-2</v>
      </c>
      <c r="N166" s="23">
        <v>-0.12</v>
      </c>
      <c r="O166" s="23">
        <v>-0.12</v>
      </c>
      <c r="P166" s="23">
        <v>-0.13</v>
      </c>
      <c r="Q166" s="23">
        <v>-0.05</v>
      </c>
      <c r="R166" s="23">
        <v>-0.03</v>
      </c>
      <c r="S166" s="23">
        <v>0</v>
      </c>
      <c r="T166" s="23">
        <v>0.02</v>
      </c>
      <c r="U166" s="23">
        <v>0</v>
      </c>
      <c r="V166" s="23">
        <v>0.5</v>
      </c>
      <c r="W166" s="23">
        <v>0.125</v>
      </c>
      <c r="X166" s="23">
        <v>0.13500000000000001</v>
      </c>
      <c r="Y166" s="23">
        <v>-7.4999990000000002E-3</v>
      </c>
      <c r="Z166" s="23">
        <v>-4.1000000000000002E-2</v>
      </c>
      <c r="AA166" s="23">
        <v>2.2499999999999999E-2</v>
      </c>
      <c r="AB166" s="23">
        <v>7.4999999999999997E-3</v>
      </c>
      <c r="AC166" s="23">
        <v>2.5000000000000001E-3</v>
      </c>
      <c r="AD166" s="23">
        <v>-1.8499999999999999E-2</v>
      </c>
      <c r="AE166" s="23">
        <v>-7.2499999999999995E-2</v>
      </c>
      <c r="AF166" s="23">
        <v>-4.7E-2</v>
      </c>
      <c r="AG166" s="23">
        <v>-6.9500000000000006E-2</v>
      </c>
      <c r="AH166" s="23">
        <v>-1.0500000000000001E-2</v>
      </c>
      <c r="AI166" s="23">
        <v>-7.1999999999999995E-2</v>
      </c>
      <c r="AJ166" s="23">
        <v>-7.0000000000000007E-2</v>
      </c>
      <c r="AK166" s="23">
        <v>-1.7000000000000001E-2</v>
      </c>
      <c r="AL166" s="23">
        <v>2.3E-2</v>
      </c>
      <c r="AM166" s="23">
        <v>0.33</v>
      </c>
      <c r="AN166" s="23">
        <v>0.02</v>
      </c>
      <c r="AO166" s="23">
        <v>0</v>
      </c>
      <c r="AP166" s="23">
        <v>-7.0000000000000007E-2</v>
      </c>
      <c r="AQ166" s="23">
        <v>-0.19500000000000001</v>
      </c>
      <c r="AR166" s="23">
        <v>-0.1</v>
      </c>
      <c r="AS166" s="23">
        <v>-0.37</v>
      </c>
      <c r="AT166" s="23">
        <v>0</v>
      </c>
      <c r="AU166" s="23">
        <v>0.43</v>
      </c>
      <c r="AV166" s="23">
        <v>0</v>
      </c>
      <c r="AW166" s="23">
        <v>-0.17549999999999999</v>
      </c>
      <c r="AX166" s="23">
        <v>-0.06</v>
      </c>
      <c r="AY166" s="23">
        <v>-0.11550000000000001</v>
      </c>
      <c r="AZ166" s="23">
        <v>-0.03</v>
      </c>
      <c r="BA166" s="23">
        <v>-0.108</v>
      </c>
      <c r="BB166" s="23">
        <v>-1.0500000000000001E-2</v>
      </c>
      <c r="BC166" s="23">
        <v>-3.7999999999999999E-2</v>
      </c>
      <c r="BD166" s="23">
        <v>-0.01</v>
      </c>
      <c r="BE166" s="23">
        <v>-7.2499999999999995E-2</v>
      </c>
      <c r="BF166" s="23">
        <v>0</v>
      </c>
      <c r="BG166" s="23">
        <v>0</v>
      </c>
      <c r="BH166" s="23">
        <v>0.02</v>
      </c>
      <c r="BI166" s="23">
        <v>0</v>
      </c>
      <c r="BJ166" s="23">
        <v>0.32500000000000001</v>
      </c>
      <c r="BK166" s="23">
        <v>2.5000000000000001E-3</v>
      </c>
      <c r="BL166" s="23">
        <v>-1.4999999999999999E-2</v>
      </c>
      <c r="BM166" s="23">
        <v>5.0000000000000001E-3</v>
      </c>
      <c r="BN166" s="23">
        <v>-0.01</v>
      </c>
      <c r="BO166" s="23">
        <v>0</v>
      </c>
      <c r="BP166" s="23">
        <v>5.0000000000000001E-3</v>
      </c>
      <c r="BQ166" s="23">
        <v>0</v>
      </c>
      <c r="BR166" s="23">
        <v>0.02</v>
      </c>
      <c r="BS166">
        <v>5.0000000000000001E-3</v>
      </c>
      <c r="BT166">
        <v>0</v>
      </c>
      <c r="BU166">
        <v>0</v>
      </c>
      <c r="BV166">
        <v>0.03</v>
      </c>
    </row>
    <row r="167" spans="1:74" x14ac:dyDescent="0.25">
      <c r="A167" s="24" t="e">
        <f>#REF!-B167</f>
        <v>#REF!</v>
      </c>
      <c r="B167" s="24">
        <v>3.7990000000000004</v>
      </c>
      <c r="C167" s="138">
        <f t="shared" si="5"/>
        <v>42156</v>
      </c>
      <c r="D167">
        <v>4.0975000000000001</v>
      </c>
      <c r="E167" s="24">
        <v>0.17</v>
      </c>
      <c r="F167" s="23">
        <v>6.1013496082398699E-2</v>
      </c>
      <c r="G167" s="23">
        <v>-0.13</v>
      </c>
      <c r="H167" s="23">
        <v>-0.15</v>
      </c>
      <c r="I167" s="27">
        <v>-0.09</v>
      </c>
      <c r="J167" s="27">
        <v>-0.13</v>
      </c>
      <c r="K167" s="23">
        <v>-0.09</v>
      </c>
      <c r="L167" s="23">
        <v>-0.03</v>
      </c>
      <c r="M167" s="23">
        <v>-5.2999999999999999E-2</v>
      </c>
      <c r="N167" s="23">
        <v>-0.12</v>
      </c>
      <c r="O167" s="23">
        <v>-0.12</v>
      </c>
      <c r="P167" s="23">
        <v>-0.13</v>
      </c>
      <c r="Q167" s="23">
        <v>-4.7500000000000001E-2</v>
      </c>
      <c r="R167" s="23">
        <v>-0.03</v>
      </c>
      <c r="S167" s="23">
        <v>0</v>
      </c>
      <c r="T167" s="23">
        <v>0.02</v>
      </c>
      <c r="U167" s="23">
        <v>0</v>
      </c>
      <c r="V167" s="23">
        <v>0.5</v>
      </c>
      <c r="W167" s="23">
        <v>0.14499999999999999</v>
      </c>
      <c r="X167" s="23">
        <v>0.16500000000000001</v>
      </c>
      <c r="Y167" s="23">
        <v>-7.4999990000000002E-3</v>
      </c>
      <c r="Z167" s="23">
        <v>-3.85E-2</v>
      </c>
      <c r="AA167" s="23">
        <v>2.2499999999999999E-2</v>
      </c>
      <c r="AB167" s="23">
        <v>7.4999999999999997E-3</v>
      </c>
      <c r="AC167" s="23">
        <v>2.5000000000000001E-3</v>
      </c>
      <c r="AD167" s="23">
        <v>-1.8499999999999999E-2</v>
      </c>
      <c r="AE167" s="23">
        <v>-7.2499999999999995E-2</v>
      </c>
      <c r="AF167" s="23">
        <v>-4.7E-2</v>
      </c>
      <c r="AG167" s="23">
        <v>-6.9500000000000006E-2</v>
      </c>
      <c r="AH167" s="23">
        <v>-1.0500000000000001E-2</v>
      </c>
      <c r="AI167" s="23">
        <v>-7.1999999999999995E-2</v>
      </c>
      <c r="AJ167" s="23">
        <v>-6.5000000000000002E-2</v>
      </c>
      <c r="AK167" s="23">
        <v>-1.7000000000000001E-2</v>
      </c>
      <c r="AL167" s="23">
        <v>2.3E-2</v>
      </c>
      <c r="AM167" s="23">
        <v>0.37</v>
      </c>
      <c r="AN167" s="23">
        <v>2.5000000000000001E-2</v>
      </c>
      <c r="AO167" s="23">
        <v>0</v>
      </c>
      <c r="AP167" s="23">
        <v>-7.0000000000000007E-2</v>
      </c>
      <c r="AQ167" s="23">
        <v>-0.19500000000000001</v>
      </c>
      <c r="AR167" s="23">
        <v>-0.1</v>
      </c>
      <c r="AS167" s="23">
        <v>-0.37</v>
      </c>
      <c r="AT167" s="23">
        <v>0</v>
      </c>
      <c r="AU167" s="23">
        <v>0.43</v>
      </c>
      <c r="AV167" s="23">
        <v>0</v>
      </c>
      <c r="AW167" s="23">
        <v>-0.123</v>
      </c>
      <c r="AX167" s="23">
        <v>-0.06</v>
      </c>
      <c r="AY167" s="23">
        <v>-6.3E-2</v>
      </c>
      <c r="AZ167" s="23">
        <v>-0.03</v>
      </c>
      <c r="BA167" s="23">
        <v>-6.5500000000000003E-2</v>
      </c>
      <c r="BB167" s="23">
        <v>-1.0500000000000001E-2</v>
      </c>
      <c r="BC167" s="23">
        <v>-3.7999999999999999E-2</v>
      </c>
      <c r="BD167" s="23">
        <v>-5.0000000000000001E-3</v>
      </c>
      <c r="BE167" s="23">
        <v>-7.2499999999999995E-2</v>
      </c>
      <c r="BF167" s="23">
        <v>0</v>
      </c>
      <c r="BG167" s="23">
        <v>0</v>
      </c>
      <c r="BH167" s="23">
        <v>0.02</v>
      </c>
      <c r="BI167" s="23">
        <v>0</v>
      </c>
      <c r="BJ167" s="23">
        <v>0.33500000000000002</v>
      </c>
      <c r="BK167" s="23">
        <v>2.5000000000000001E-3</v>
      </c>
      <c r="BL167" s="23">
        <v>-1.4999999999999999E-2</v>
      </c>
      <c r="BM167" s="23">
        <v>5.0000000000000001E-3</v>
      </c>
      <c r="BN167" s="23">
        <v>-0.01</v>
      </c>
      <c r="BO167" s="23">
        <v>0</v>
      </c>
      <c r="BP167" s="23">
        <v>5.0000000000000001E-3</v>
      </c>
      <c r="BQ167" s="23">
        <v>0</v>
      </c>
      <c r="BR167" s="23">
        <v>3.5000000000000003E-2</v>
      </c>
      <c r="BS167">
        <v>5.0000000000000001E-3</v>
      </c>
      <c r="BT167">
        <v>0</v>
      </c>
      <c r="BU167">
        <v>0</v>
      </c>
      <c r="BV167">
        <v>0.03</v>
      </c>
    </row>
    <row r="168" spans="1:74" x14ac:dyDescent="0.25">
      <c r="A168" s="24" t="e">
        <f>#REF!-B168</f>
        <v>#REF!</v>
      </c>
      <c r="B168" s="24">
        <v>4.0750000000000002</v>
      </c>
      <c r="C168" s="138">
        <f t="shared" si="5"/>
        <v>42186</v>
      </c>
      <c r="D168">
        <v>4.1375000000000002</v>
      </c>
      <c r="E168" s="24">
        <v>0.17</v>
      </c>
      <c r="F168" s="23">
        <v>6.1055910498899003E-2</v>
      </c>
      <c r="G168" s="23">
        <v>-0.13</v>
      </c>
      <c r="H168" s="23">
        <v>-0.15</v>
      </c>
      <c r="I168" s="27">
        <v>-0.09</v>
      </c>
      <c r="J168" s="27">
        <v>-0.13</v>
      </c>
      <c r="K168" s="23">
        <v>-0.09</v>
      </c>
      <c r="L168" s="23">
        <v>-0.03</v>
      </c>
      <c r="M168" s="23">
        <v>-5.2999999999999999E-2</v>
      </c>
      <c r="N168" s="23">
        <v>-0.12</v>
      </c>
      <c r="O168" s="23">
        <v>-0.12</v>
      </c>
      <c r="P168" s="23">
        <v>-0.13</v>
      </c>
      <c r="Q168" s="23">
        <v>-4.6249999999999999E-2</v>
      </c>
      <c r="R168" s="23">
        <v>-0.03</v>
      </c>
      <c r="S168" s="23">
        <v>0</v>
      </c>
      <c r="T168" s="23">
        <v>0.02</v>
      </c>
      <c r="U168" s="23">
        <v>0</v>
      </c>
      <c r="V168" s="23">
        <v>0.5</v>
      </c>
      <c r="W168" s="23">
        <v>0.15</v>
      </c>
      <c r="X168" s="23">
        <v>0.20499999999999999</v>
      </c>
      <c r="Y168" s="23">
        <v>-7.4999990000000002E-3</v>
      </c>
      <c r="Z168" s="23">
        <v>-3.85E-2</v>
      </c>
      <c r="AA168" s="23">
        <v>2.2499999999999999E-2</v>
      </c>
      <c r="AB168" s="23">
        <v>7.4999999999999997E-3</v>
      </c>
      <c r="AC168" s="23">
        <v>2.5000000000000001E-3</v>
      </c>
      <c r="AD168" s="23">
        <v>-1.8499999999999999E-2</v>
      </c>
      <c r="AE168" s="23">
        <v>-7.2499999999999995E-2</v>
      </c>
      <c r="AF168" s="23">
        <v>-4.7E-2</v>
      </c>
      <c r="AG168" s="23">
        <v>-6.9500000000000006E-2</v>
      </c>
      <c r="AH168" s="23">
        <v>-1.0500000000000001E-2</v>
      </c>
      <c r="AI168" s="23">
        <v>-7.1999999999999995E-2</v>
      </c>
      <c r="AJ168" s="23">
        <v>-6.25E-2</v>
      </c>
      <c r="AK168" s="23">
        <v>-1.7000000000000001E-2</v>
      </c>
      <c r="AL168" s="23">
        <v>2.3E-2</v>
      </c>
      <c r="AM168" s="23">
        <v>0.41</v>
      </c>
      <c r="AN168" s="23">
        <v>2.75E-2</v>
      </c>
      <c r="AO168" s="23">
        <v>0</v>
      </c>
      <c r="AP168" s="23">
        <v>-7.0000000000000007E-2</v>
      </c>
      <c r="AQ168" s="23">
        <v>-0.19500000000000001</v>
      </c>
      <c r="AR168" s="23">
        <v>-0.1</v>
      </c>
      <c r="AS168" s="23">
        <v>-0.37</v>
      </c>
      <c r="AT168" s="23">
        <v>0</v>
      </c>
      <c r="AU168" s="23">
        <v>0.43</v>
      </c>
      <c r="AV168" s="23">
        <v>0</v>
      </c>
      <c r="AW168" s="23">
        <v>-0.13300000000000001</v>
      </c>
      <c r="AX168" s="23">
        <v>-0.06</v>
      </c>
      <c r="AY168" s="23">
        <v>-7.2999999999999995E-2</v>
      </c>
      <c r="AZ168" s="23">
        <v>-0.03</v>
      </c>
      <c r="BA168" s="23">
        <v>-6.3E-2</v>
      </c>
      <c r="BB168" s="23">
        <v>-1.0500000000000001E-2</v>
      </c>
      <c r="BC168" s="23">
        <v>-3.7999999999999999E-2</v>
      </c>
      <c r="BD168" s="23">
        <v>-2.5000000000000001E-3</v>
      </c>
      <c r="BE168" s="23">
        <v>-7.2499999999999995E-2</v>
      </c>
      <c r="BF168" s="23">
        <v>0</v>
      </c>
      <c r="BG168" s="23">
        <v>0</v>
      </c>
      <c r="BH168" s="23">
        <v>0.02</v>
      </c>
      <c r="BI168" s="23">
        <v>0</v>
      </c>
      <c r="BJ168" s="23">
        <v>0.35</v>
      </c>
      <c r="BK168" s="23">
        <v>2.5000000000000001E-3</v>
      </c>
      <c r="BL168" s="23">
        <v>-0.01</v>
      </c>
      <c r="BM168" s="23">
        <v>5.0000000000000001E-3</v>
      </c>
      <c r="BN168" s="23">
        <v>-0.01</v>
      </c>
      <c r="BO168" s="23">
        <v>0</v>
      </c>
      <c r="BP168" s="23">
        <v>5.0000000000000001E-3</v>
      </c>
      <c r="BQ168" s="23">
        <v>0</v>
      </c>
      <c r="BR168" s="23">
        <v>3.5000000000000003E-2</v>
      </c>
      <c r="BS168">
        <v>5.0000000000000001E-3</v>
      </c>
      <c r="BT168">
        <v>0</v>
      </c>
      <c r="BU168">
        <v>0</v>
      </c>
      <c r="BV168">
        <v>0.03</v>
      </c>
    </row>
    <row r="169" spans="1:74" x14ac:dyDescent="0.25">
      <c r="A169" s="24" t="e">
        <f>#REF!-B169</f>
        <v>#REF!</v>
      </c>
      <c r="B169" s="24">
        <v>3.992</v>
      </c>
      <c r="C169" s="138">
        <f t="shared" si="5"/>
        <v>42217</v>
      </c>
      <c r="D169">
        <v>4.1775000000000002</v>
      </c>
      <c r="E169" s="24">
        <v>0.17</v>
      </c>
      <c r="F169" s="23">
        <v>6.1099738729909703E-2</v>
      </c>
      <c r="G169" s="23">
        <v>-0.13</v>
      </c>
      <c r="H169" s="23">
        <v>-0.15</v>
      </c>
      <c r="I169" s="27">
        <v>-0.09</v>
      </c>
      <c r="J169" s="27">
        <v>-0.13</v>
      </c>
      <c r="K169" s="23">
        <v>-0.09</v>
      </c>
      <c r="L169" s="23">
        <v>-0.03</v>
      </c>
      <c r="M169" s="23">
        <v>-5.2999999999999999E-2</v>
      </c>
      <c r="N169" s="23">
        <v>-0.12</v>
      </c>
      <c r="O169" s="23">
        <v>-0.12</v>
      </c>
      <c r="P169" s="23">
        <v>-0.13</v>
      </c>
      <c r="Q169" s="23">
        <v>-4.4999999999999998E-2</v>
      </c>
      <c r="R169" s="23">
        <v>-0.03</v>
      </c>
      <c r="S169" s="23">
        <v>0</v>
      </c>
      <c r="T169" s="23">
        <v>0.02</v>
      </c>
      <c r="U169" s="23">
        <v>0</v>
      </c>
      <c r="V169" s="23">
        <v>0.5</v>
      </c>
      <c r="W169" s="23">
        <v>0.15</v>
      </c>
      <c r="X169" s="23">
        <v>0.20499999999999999</v>
      </c>
      <c r="Y169" s="23">
        <v>-7.4999990000000002E-3</v>
      </c>
      <c r="Z169" s="23">
        <v>-3.85E-2</v>
      </c>
      <c r="AA169" s="23">
        <v>1.7500000000000002E-2</v>
      </c>
      <c r="AB169" s="23">
        <v>2.5000000000000001E-3</v>
      </c>
      <c r="AC169" s="23">
        <v>2.5000000000000001E-3</v>
      </c>
      <c r="AD169" s="23">
        <v>-1.8499999999999999E-2</v>
      </c>
      <c r="AE169" s="23">
        <v>-7.2499999999999995E-2</v>
      </c>
      <c r="AF169" s="23">
        <v>-4.7E-2</v>
      </c>
      <c r="AG169" s="23">
        <v>-6.9500000000000006E-2</v>
      </c>
      <c r="AH169" s="23">
        <v>-1.0500000000000001E-2</v>
      </c>
      <c r="AI169" s="23">
        <v>-7.1999999999999995E-2</v>
      </c>
      <c r="AJ169" s="23">
        <v>-0.06</v>
      </c>
      <c r="AK169" s="23">
        <v>-1.7000000000000001E-2</v>
      </c>
      <c r="AL169" s="23">
        <v>2.3E-2</v>
      </c>
      <c r="AM169" s="23">
        <v>0.41</v>
      </c>
      <c r="AN169" s="23">
        <v>0.03</v>
      </c>
      <c r="AO169" s="23">
        <v>0</v>
      </c>
      <c r="AP169" s="23">
        <v>-7.0000000000000007E-2</v>
      </c>
      <c r="AQ169" s="23">
        <v>-0.19500000000000001</v>
      </c>
      <c r="AR169" s="23">
        <v>-0.1</v>
      </c>
      <c r="AS169" s="23">
        <v>-0.37</v>
      </c>
      <c r="AT169" s="23">
        <v>0</v>
      </c>
      <c r="AU169" s="23">
        <v>0.43</v>
      </c>
      <c r="AV169" s="23">
        <v>0</v>
      </c>
      <c r="AW169" s="23">
        <v>-0.128</v>
      </c>
      <c r="AX169" s="23">
        <v>-0.06</v>
      </c>
      <c r="AY169" s="23">
        <v>-6.8000000000000005E-2</v>
      </c>
      <c r="AZ169" s="23">
        <v>-0.03</v>
      </c>
      <c r="BA169" s="23">
        <v>-6.0499999999999998E-2</v>
      </c>
      <c r="BB169" s="23">
        <v>-1.0500000000000001E-2</v>
      </c>
      <c r="BC169" s="23">
        <v>-3.7999999999999999E-2</v>
      </c>
      <c r="BD169" s="23">
        <v>0</v>
      </c>
      <c r="BE169" s="23">
        <v>-7.2499999999999995E-2</v>
      </c>
      <c r="BF169" s="23">
        <v>0</v>
      </c>
      <c r="BG169" s="23">
        <v>0</v>
      </c>
      <c r="BH169" s="23">
        <v>0.02</v>
      </c>
      <c r="BI169" s="23">
        <v>0</v>
      </c>
      <c r="BJ169" s="23">
        <v>0.35</v>
      </c>
      <c r="BK169" s="23">
        <v>2.5000000000000001E-3</v>
      </c>
      <c r="BL169" s="23">
        <v>-0.01</v>
      </c>
      <c r="BM169" s="23">
        <v>5.0000000000000001E-3</v>
      </c>
      <c r="BN169" s="23">
        <v>-0.01</v>
      </c>
      <c r="BO169" s="23">
        <v>0</v>
      </c>
      <c r="BP169" s="23">
        <v>5.0000000000000001E-3</v>
      </c>
      <c r="BQ169" s="23">
        <v>0</v>
      </c>
      <c r="BR169" s="23">
        <v>0.01</v>
      </c>
      <c r="BS169">
        <v>5.0000000000000001E-3</v>
      </c>
      <c r="BT169">
        <v>0</v>
      </c>
      <c r="BU169">
        <v>0</v>
      </c>
      <c r="BV169">
        <v>0.03</v>
      </c>
    </row>
    <row r="170" spans="1:74" x14ac:dyDescent="0.25">
      <c r="A170" s="24" t="e">
        <f>#REF!-B170</f>
        <v>#REF!</v>
      </c>
      <c r="B170" s="24">
        <v>3.867</v>
      </c>
      <c r="C170" s="138">
        <f t="shared" si="5"/>
        <v>42248</v>
      </c>
      <c r="D170">
        <v>4.1725000000000003</v>
      </c>
      <c r="E170" s="24">
        <v>0.17</v>
      </c>
      <c r="F170" s="23">
        <v>6.1143566961559002E-2</v>
      </c>
      <c r="G170" s="23">
        <v>-0.13</v>
      </c>
      <c r="H170" s="23">
        <v>-0.15</v>
      </c>
      <c r="I170" s="27">
        <v>-0.09</v>
      </c>
      <c r="J170" s="27">
        <v>-0.13</v>
      </c>
      <c r="K170" s="23">
        <v>-0.09</v>
      </c>
      <c r="L170" s="23">
        <v>0</v>
      </c>
      <c r="M170" s="23">
        <v>-5.2999999999999999E-2</v>
      </c>
      <c r="N170" s="23">
        <v>-0.12</v>
      </c>
      <c r="O170" s="23">
        <v>-0.12</v>
      </c>
      <c r="P170" s="23">
        <v>-0.13</v>
      </c>
      <c r="Q170" s="23">
        <v>0</v>
      </c>
      <c r="R170" s="23">
        <v>0</v>
      </c>
      <c r="S170" s="23">
        <v>0</v>
      </c>
      <c r="T170" s="23">
        <v>0.02</v>
      </c>
      <c r="U170" s="23">
        <v>0</v>
      </c>
      <c r="V170" s="23">
        <v>0.5</v>
      </c>
      <c r="W170" s="23">
        <v>0.125</v>
      </c>
      <c r="X170" s="23">
        <v>0.14499999999999999</v>
      </c>
      <c r="Y170" s="23">
        <v>-7.4999990000000002E-3</v>
      </c>
      <c r="Z170" s="23">
        <v>-4.3499999999999997E-2</v>
      </c>
      <c r="AA170" s="23">
        <v>1.7500000000000002E-2</v>
      </c>
      <c r="AB170" s="23">
        <v>2.5000000000000001E-3</v>
      </c>
      <c r="AC170" s="23">
        <v>2.5000000000000001E-3</v>
      </c>
      <c r="AD170" s="23">
        <v>-1.8499999999999999E-2</v>
      </c>
      <c r="AE170" s="23">
        <v>-7.2499999999999995E-2</v>
      </c>
      <c r="AF170" s="23">
        <v>-4.7E-2</v>
      </c>
      <c r="AG170" s="23">
        <v>-6.9500000000000006E-2</v>
      </c>
      <c r="AH170" s="23">
        <v>-1.0500000000000001E-2</v>
      </c>
      <c r="AI170" s="23">
        <v>-7.1999999999999995E-2</v>
      </c>
      <c r="AJ170" s="23">
        <v>0</v>
      </c>
      <c r="AK170" s="23">
        <v>-1.7000000000000001E-2</v>
      </c>
      <c r="AL170" s="23">
        <v>2.3E-2</v>
      </c>
      <c r="AM170" s="23">
        <v>0.36</v>
      </c>
      <c r="AN170" s="23">
        <v>2.2499999999999999E-2</v>
      </c>
      <c r="AO170" s="23">
        <v>0</v>
      </c>
      <c r="AP170" s="23">
        <v>-7.0000000000000007E-2</v>
      </c>
      <c r="AQ170" s="23">
        <v>-0.19500000000000001</v>
      </c>
      <c r="AR170" s="23">
        <v>-0.1</v>
      </c>
      <c r="AS170" s="23">
        <v>-0.37</v>
      </c>
      <c r="AT170" s="23">
        <v>0</v>
      </c>
      <c r="AU170" s="23">
        <v>0.43</v>
      </c>
      <c r="AV170" s="23">
        <v>0</v>
      </c>
      <c r="AW170" s="23">
        <v>-0.13800000000000001</v>
      </c>
      <c r="AX170" s="23">
        <v>-0.06</v>
      </c>
      <c r="AY170" s="23">
        <v>-7.8E-2</v>
      </c>
      <c r="AZ170" s="23">
        <v>0</v>
      </c>
      <c r="BA170" s="23">
        <v>-6.5500000000000003E-2</v>
      </c>
      <c r="BB170" s="23">
        <v>-1.0500000000000001E-2</v>
      </c>
      <c r="BC170" s="23">
        <v>-3.7999999999999999E-2</v>
      </c>
      <c r="BD170" s="23">
        <v>-7.4999999999999997E-3</v>
      </c>
      <c r="BE170" s="23">
        <v>-7.2499999999999995E-2</v>
      </c>
      <c r="BF170" s="23">
        <v>0</v>
      </c>
      <c r="BG170" s="23">
        <v>0</v>
      </c>
      <c r="BH170" s="23">
        <v>0.02</v>
      </c>
      <c r="BI170" s="23">
        <v>0</v>
      </c>
      <c r="BJ170" s="23">
        <v>0.315</v>
      </c>
      <c r="BK170" s="23">
        <v>2.5000000000000001E-3</v>
      </c>
      <c r="BL170" s="23">
        <v>-0.01</v>
      </c>
      <c r="BM170" s="23">
        <v>5.0000000000000001E-3</v>
      </c>
      <c r="BN170" s="23">
        <v>-0.01</v>
      </c>
      <c r="BO170" s="23">
        <v>0</v>
      </c>
      <c r="BP170" s="23">
        <v>5.0000000000000001E-3</v>
      </c>
      <c r="BQ170" s="23">
        <v>0</v>
      </c>
      <c r="BR170" s="23">
        <v>0.01</v>
      </c>
      <c r="BS170">
        <v>5.0000000000000001E-3</v>
      </c>
      <c r="BT170">
        <v>0</v>
      </c>
      <c r="BU170">
        <v>0</v>
      </c>
      <c r="BV170">
        <v>0.03</v>
      </c>
    </row>
    <row r="171" spans="1:74" x14ac:dyDescent="0.25">
      <c r="A171" s="24" t="e">
        <f>#REF!-B171</f>
        <v>#REF!</v>
      </c>
      <c r="B171" s="24">
        <v>3.7450000000000001</v>
      </c>
      <c r="C171" s="138">
        <f t="shared" si="5"/>
        <v>42278</v>
      </c>
      <c r="D171">
        <v>4.1974999999999998</v>
      </c>
      <c r="E171" s="24">
        <v>0.17</v>
      </c>
      <c r="F171" s="23">
        <v>6.1185981379891202E-2</v>
      </c>
      <c r="G171" s="23">
        <v>-0.13</v>
      </c>
      <c r="H171" s="23">
        <v>-0.15</v>
      </c>
      <c r="I171" s="27">
        <v>-0.09</v>
      </c>
      <c r="J171" s="27">
        <v>-0.13</v>
      </c>
      <c r="K171" s="23">
        <v>-0.09</v>
      </c>
      <c r="L171" s="23">
        <v>0</v>
      </c>
      <c r="M171" s="23">
        <v>-5.2999999999999999E-2</v>
      </c>
      <c r="N171" s="23">
        <v>-0.12</v>
      </c>
      <c r="O171" s="23">
        <v>-0.12</v>
      </c>
      <c r="P171" s="23">
        <v>-0.13</v>
      </c>
      <c r="Q171" s="23">
        <v>0</v>
      </c>
      <c r="R171" s="23">
        <v>0</v>
      </c>
      <c r="S171" s="23">
        <v>0</v>
      </c>
      <c r="T171" s="23">
        <v>0.02</v>
      </c>
      <c r="U171" s="23">
        <v>0</v>
      </c>
      <c r="V171" s="23">
        <v>0.5</v>
      </c>
      <c r="W171" s="23">
        <v>0.14499999999999999</v>
      </c>
      <c r="X171" s="23">
        <v>0.17499999999999999</v>
      </c>
      <c r="Y171" s="23">
        <v>-7.4999990000000002E-3</v>
      </c>
      <c r="Z171" s="23">
        <v>-4.3499999999999997E-2</v>
      </c>
      <c r="AA171" s="23">
        <v>1.2500000000000001E-2</v>
      </c>
      <c r="AB171" s="23">
        <v>-2.5000000000000001E-3</v>
      </c>
      <c r="AC171" s="23">
        <v>2.5000000000000001E-3</v>
      </c>
      <c r="AD171" s="23">
        <v>-1.8499999999999999E-2</v>
      </c>
      <c r="AE171" s="23">
        <v>-7.2499999999999995E-2</v>
      </c>
      <c r="AF171" s="23">
        <v>-4.7E-2</v>
      </c>
      <c r="AG171" s="23">
        <v>-6.9500000000000006E-2</v>
      </c>
      <c r="AH171" s="23">
        <v>-1.0500000000000001E-2</v>
      </c>
      <c r="AI171" s="23">
        <v>-7.1999999999999995E-2</v>
      </c>
      <c r="AJ171" s="23">
        <v>0</v>
      </c>
      <c r="AK171" s="23">
        <v>-1.7000000000000001E-2</v>
      </c>
      <c r="AL171" s="23">
        <v>2.3E-2</v>
      </c>
      <c r="AM171" s="23">
        <v>0.4</v>
      </c>
      <c r="AN171" s="23">
        <v>1.2500000000000001E-2</v>
      </c>
      <c r="AO171" s="23">
        <v>0</v>
      </c>
      <c r="AP171" s="23">
        <v>-7.0000000000000007E-2</v>
      </c>
      <c r="AQ171" s="23">
        <v>-0.19500000000000001</v>
      </c>
      <c r="AR171" s="23">
        <v>-0.1</v>
      </c>
      <c r="AS171" s="23">
        <v>-0.37</v>
      </c>
      <c r="AT171" s="23">
        <v>0</v>
      </c>
      <c r="AU171" s="23">
        <v>0.43</v>
      </c>
      <c r="AV171" s="23">
        <v>0</v>
      </c>
      <c r="AW171" s="23">
        <v>-0.1255</v>
      </c>
      <c r="AX171" s="23">
        <v>-0.06</v>
      </c>
      <c r="AY171" s="23">
        <v>-6.5500000000000003E-2</v>
      </c>
      <c r="AZ171" s="23">
        <v>0</v>
      </c>
      <c r="BA171" s="23">
        <v>-6.8000000000000005E-2</v>
      </c>
      <c r="BB171" s="23">
        <v>-1.0500000000000001E-2</v>
      </c>
      <c r="BC171" s="23">
        <v>-3.7999999999999999E-2</v>
      </c>
      <c r="BD171" s="23">
        <v>-1.7500000000000002E-2</v>
      </c>
      <c r="BE171" s="23">
        <v>-7.2499999999999995E-2</v>
      </c>
      <c r="BF171" s="23">
        <v>0</v>
      </c>
      <c r="BG171" s="23">
        <v>0</v>
      </c>
      <c r="BH171" s="23">
        <v>0.02</v>
      </c>
      <c r="BI171" s="23">
        <v>0</v>
      </c>
      <c r="BJ171" s="23">
        <v>0.36</v>
      </c>
      <c r="BK171" s="23">
        <v>2.5000000000000001E-3</v>
      </c>
      <c r="BL171" s="23">
        <v>-1.4999999999999999E-2</v>
      </c>
      <c r="BM171" s="23">
        <v>5.0000000000000001E-3</v>
      </c>
      <c r="BN171" s="23">
        <v>-0.01</v>
      </c>
      <c r="BO171" s="23">
        <v>0</v>
      </c>
      <c r="BP171" s="23">
        <v>5.0000000000000001E-3</v>
      </c>
      <c r="BQ171" s="23">
        <v>0</v>
      </c>
      <c r="BR171" s="23">
        <v>0.01</v>
      </c>
      <c r="BS171">
        <v>5.0000000000000001E-3</v>
      </c>
      <c r="BT171">
        <v>0</v>
      </c>
      <c r="BU171">
        <v>0</v>
      </c>
      <c r="BV171">
        <v>0.03</v>
      </c>
    </row>
    <row r="172" spans="1:74" x14ac:dyDescent="0.25">
      <c r="A172" s="24" t="e">
        <f>#REF!-B172</f>
        <v>#REF!</v>
      </c>
      <c r="B172" s="24">
        <v>3.7280000000000002</v>
      </c>
      <c r="C172" s="138">
        <f t="shared" si="5"/>
        <v>42309</v>
      </c>
      <c r="D172">
        <v>4.3494999999999999</v>
      </c>
      <c r="E172" s="24">
        <v>0.17</v>
      </c>
      <c r="F172" s="23">
        <v>6.1229809612795401E-2</v>
      </c>
      <c r="G172" s="23">
        <v>-0.13</v>
      </c>
      <c r="H172" s="23">
        <v>-0.15</v>
      </c>
      <c r="I172" s="27">
        <v>-0.01</v>
      </c>
      <c r="J172" s="27">
        <v>-0.13</v>
      </c>
      <c r="K172" s="23">
        <v>0</v>
      </c>
      <c r="L172" s="23">
        <v>0</v>
      </c>
      <c r="M172" s="23">
        <v>-6.7500000000000004E-2</v>
      </c>
      <c r="N172" s="23">
        <v>-0.12</v>
      </c>
      <c r="O172" s="23">
        <v>-0.12</v>
      </c>
      <c r="P172" s="23">
        <v>-0.13</v>
      </c>
      <c r="Q172" s="23">
        <v>0</v>
      </c>
      <c r="R172" s="23">
        <v>0</v>
      </c>
      <c r="S172" s="23">
        <v>0</v>
      </c>
      <c r="T172" s="23">
        <v>0.02</v>
      </c>
      <c r="U172" s="23">
        <v>0</v>
      </c>
      <c r="V172" s="23">
        <v>0.5</v>
      </c>
      <c r="W172" s="23">
        <v>0.19500000000000001</v>
      </c>
      <c r="X172" s="23">
        <v>0.21</v>
      </c>
      <c r="Y172" s="23">
        <v>-4.9999989999999998E-3</v>
      </c>
      <c r="Z172" s="23">
        <v>-2.4500000000000001E-2</v>
      </c>
      <c r="AA172" s="23">
        <v>1.35E-2</v>
      </c>
      <c r="AB172" s="23">
        <v>-1.4999989999999999E-3</v>
      </c>
      <c r="AC172" s="23">
        <v>2.5000000000000001E-3</v>
      </c>
      <c r="AD172" s="23">
        <v>-1.8499999999999999E-2</v>
      </c>
      <c r="AE172" s="23">
        <v>-7.4999999999999997E-2</v>
      </c>
      <c r="AF172" s="23">
        <v>-4.9500000000000002E-2</v>
      </c>
      <c r="AG172" s="23">
        <v>-7.1999999999999995E-2</v>
      </c>
      <c r="AH172" s="23">
        <v>-6.9999989999999998E-3</v>
      </c>
      <c r="AI172" s="23">
        <v>-6.4000000000000001E-2</v>
      </c>
      <c r="AJ172" s="23">
        <v>0</v>
      </c>
      <c r="AK172" s="23">
        <v>-8.9999989999999998E-3</v>
      </c>
      <c r="AL172" s="23">
        <v>3.1E-2</v>
      </c>
      <c r="AM172" s="23">
        <v>0.65</v>
      </c>
      <c r="AN172" s="23">
        <v>-2.2499999999999999E-2</v>
      </c>
      <c r="AO172" s="23">
        <v>0</v>
      </c>
      <c r="AP172" s="23">
        <v>-7.0000000000000007E-2</v>
      </c>
      <c r="AQ172" s="23">
        <v>-0.13</v>
      </c>
      <c r="AR172" s="23">
        <v>0</v>
      </c>
      <c r="AS172" s="23">
        <v>-0.26</v>
      </c>
      <c r="AT172" s="23">
        <v>0</v>
      </c>
      <c r="AU172" s="23">
        <v>0.35</v>
      </c>
      <c r="AV172" s="23">
        <v>0</v>
      </c>
      <c r="AW172" s="23">
        <v>-0.13300000000000001</v>
      </c>
      <c r="AX172" s="23">
        <v>-0.06</v>
      </c>
      <c r="AY172" s="23">
        <v>-7.2999999999999995E-2</v>
      </c>
      <c r="AZ172" s="23">
        <v>0</v>
      </c>
      <c r="BA172" s="23">
        <v>-6.3E-2</v>
      </c>
      <c r="BB172" s="23">
        <v>-1.2E-2</v>
      </c>
      <c r="BC172" s="23">
        <v>-5.2499999999999998E-2</v>
      </c>
      <c r="BD172" s="23">
        <v>-5.2499999999999998E-2</v>
      </c>
      <c r="BE172" s="23">
        <v>-7.4999999999999997E-2</v>
      </c>
      <c r="BF172" s="23">
        <v>0</v>
      </c>
      <c r="BG172" s="23">
        <v>0</v>
      </c>
      <c r="BH172" s="23">
        <v>0.02</v>
      </c>
      <c r="BI172" s="23">
        <v>0</v>
      </c>
      <c r="BJ172" s="23">
        <v>0.46</v>
      </c>
      <c r="BK172" s="23">
        <v>2.5000000000000001E-3</v>
      </c>
      <c r="BL172" s="23">
        <v>-0.02</v>
      </c>
      <c r="BM172" s="23">
        <v>5.0000000000000001E-3</v>
      </c>
      <c r="BN172" s="23">
        <v>0</v>
      </c>
      <c r="BO172" s="23">
        <v>0</v>
      </c>
      <c r="BP172" s="23">
        <v>5.0000000000000001E-3</v>
      </c>
      <c r="BQ172" s="23">
        <v>0</v>
      </c>
      <c r="BR172" s="23">
        <v>5.5E-2</v>
      </c>
      <c r="BS172">
        <v>0.02</v>
      </c>
      <c r="BT172">
        <v>0</v>
      </c>
      <c r="BU172">
        <v>0</v>
      </c>
      <c r="BV172">
        <v>0</v>
      </c>
    </row>
    <row r="173" spans="1:74" x14ac:dyDescent="0.25">
      <c r="A173" s="24" t="e">
        <f>#REF!-B173</f>
        <v>#REF!</v>
      </c>
      <c r="B173" s="24">
        <v>3.7190000000000003</v>
      </c>
      <c r="C173" s="138">
        <f t="shared" si="5"/>
        <v>42339</v>
      </c>
      <c r="D173">
        <v>4.4924999999999997</v>
      </c>
      <c r="E173" s="24">
        <v>0.17</v>
      </c>
      <c r="F173" s="23">
        <v>6.1272224032342198E-2</v>
      </c>
      <c r="G173" s="23">
        <v>-0.13250000000000001</v>
      </c>
      <c r="H173" s="23">
        <v>-0.1525</v>
      </c>
      <c r="I173" s="27">
        <v>-5.0000000000000001E-3</v>
      </c>
      <c r="J173" s="27">
        <v>-0.13</v>
      </c>
      <c r="K173" s="23">
        <v>5.0000000000000001E-3</v>
      </c>
      <c r="L173" s="23">
        <v>0</v>
      </c>
      <c r="M173" s="23">
        <v>-6.7500000000000004E-2</v>
      </c>
      <c r="N173" s="23">
        <v>-0.1225</v>
      </c>
      <c r="O173" s="23">
        <v>-0.1225</v>
      </c>
      <c r="P173" s="23">
        <v>-0.13250000000000001</v>
      </c>
      <c r="Q173" s="23">
        <v>0</v>
      </c>
      <c r="R173" s="23">
        <v>0</v>
      </c>
      <c r="S173" s="23">
        <v>0</v>
      </c>
      <c r="T173" s="23">
        <v>0.02</v>
      </c>
      <c r="U173" s="23">
        <v>0</v>
      </c>
      <c r="V173" s="23">
        <v>0.5</v>
      </c>
      <c r="W173" s="23">
        <v>0.215</v>
      </c>
      <c r="X173" s="23">
        <v>0.28999999999999998</v>
      </c>
      <c r="Y173" s="23">
        <v>-4.9999989999999998E-3</v>
      </c>
      <c r="Z173" s="23">
        <v>-2.4500000000000001E-2</v>
      </c>
      <c r="AA173" s="23">
        <v>1.35E-2</v>
      </c>
      <c r="AB173" s="23">
        <v>-1.4999989999999999E-3</v>
      </c>
      <c r="AC173" s="23">
        <v>2.5000000000000001E-3</v>
      </c>
      <c r="AD173" s="23">
        <v>-1.8499999999999999E-2</v>
      </c>
      <c r="AE173" s="23">
        <v>-7.4999999999999997E-2</v>
      </c>
      <c r="AF173" s="23">
        <v>-4.7500000000000001E-2</v>
      </c>
      <c r="AG173" s="23">
        <v>-7.0000000000000007E-2</v>
      </c>
      <c r="AH173" s="23">
        <v>-4.4999990000000002E-3</v>
      </c>
      <c r="AI173" s="23">
        <v>-6.4000000000000001E-2</v>
      </c>
      <c r="AJ173" s="23">
        <v>0</v>
      </c>
      <c r="AK173" s="23">
        <v>-8.9999989999999998E-3</v>
      </c>
      <c r="AL173" s="23">
        <v>3.1E-2</v>
      </c>
      <c r="AM173" s="23">
        <v>0.98</v>
      </c>
      <c r="AN173" s="23">
        <v>-4.4999999999999998E-2</v>
      </c>
      <c r="AO173" s="23">
        <v>0</v>
      </c>
      <c r="AP173" s="23">
        <v>-7.0000000000000007E-2</v>
      </c>
      <c r="AQ173" s="23">
        <v>-0.13</v>
      </c>
      <c r="AR173" s="23">
        <v>0</v>
      </c>
      <c r="AS173" s="23">
        <v>-0.26</v>
      </c>
      <c r="AT173" s="23">
        <v>0</v>
      </c>
      <c r="AU173" s="23">
        <v>0.35</v>
      </c>
      <c r="AV173" s="23">
        <v>0</v>
      </c>
      <c r="AW173" s="23">
        <v>-0.1605</v>
      </c>
      <c r="AX173" s="23">
        <v>-0.06</v>
      </c>
      <c r="AY173" s="23">
        <v>-0.10050000000000001</v>
      </c>
      <c r="AZ173" s="23">
        <v>0</v>
      </c>
      <c r="BA173" s="23">
        <v>-9.0499999999999997E-2</v>
      </c>
      <c r="BB173" s="23">
        <v>-9.4999990000000003E-3</v>
      </c>
      <c r="BC173" s="23">
        <v>-5.2499999999999998E-2</v>
      </c>
      <c r="BD173" s="23">
        <v>-7.4999999999999997E-2</v>
      </c>
      <c r="BE173" s="23">
        <v>-7.4999999999999997E-2</v>
      </c>
      <c r="BF173" s="23">
        <v>0</v>
      </c>
      <c r="BG173" s="23">
        <v>0</v>
      </c>
      <c r="BH173" s="23">
        <v>0.02</v>
      </c>
      <c r="BI173" s="23">
        <v>0</v>
      </c>
      <c r="BJ173" s="23">
        <v>0.77</v>
      </c>
      <c r="BK173" s="23">
        <v>2.5000000000000001E-3</v>
      </c>
      <c r="BL173" s="23">
        <v>-2.5000000000000001E-2</v>
      </c>
      <c r="BM173" s="23">
        <v>5.0000000000000001E-3</v>
      </c>
      <c r="BN173" s="23">
        <v>0</v>
      </c>
      <c r="BO173" s="23">
        <v>0</v>
      </c>
      <c r="BP173" s="23">
        <v>5.0000000000000001E-3</v>
      </c>
      <c r="BQ173" s="23">
        <v>0</v>
      </c>
      <c r="BR173" s="23">
        <v>0.25</v>
      </c>
      <c r="BS173">
        <v>0.02</v>
      </c>
      <c r="BT173">
        <v>0</v>
      </c>
      <c r="BU173">
        <v>0</v>
      </c>
      <c r="BV173">
        <v>0</v>
      </c>
    </row>
    <row r="174" spans="1:74" x14ac:dyDescent="0.25">
      <c r="A174" s="24" t="e">
        <f>#REF!-B174</f>
        <v>#REF!</v>
      </c>
      <c r="B174" s="24">
        <v>3.7840000000000003</v>
      </c>
      <c r="C174" s="138">
        <f t="shared" si="5"/>
        <v>42370</v>
      </c>
      <c r="D174">
        <v>4.5525000000000002</v>
      </c>
      <c r="E174" s="24">
        <v>0.17</v>
      </c>
      <c r="F174" s="23">
        <v>6.13160522665019E-2</v>
      </c>
      <c r="G174" s="23">
        <v>-0.13500000000000001</v>
      </c>
      <c r="H174" s="23">
        <v>-0.155</v>
      </c>
      <c r="I174" s="27">
        <v>1.4999999999999999E-2</v>
      </c>
      <c r="J174" s="27">
        <v>-0.13</v>
      </c>
      <c r="K174" s="23">
        <v>2.5000000000000001E-2</v>
      </c>
      <c r="L174" s="23">
        <v>0</v>
      </c>
      <c r="M174" s="23">
        <v>-6.7500000000000004E-2</v>
      </c>
      <c r="N174" s="23">
        <v>-0.125</v>
      </c>
      <c r="O174" s="23">
        <v>-0.125</v>
      </c>
      <c r="P174" s="23">
        <v>-0.13500000000000001</v>
      </c>
      <c r="Q174" s="23">
        <v>0</v>
      </c>
      <c r="R174" s="23">
        <v>0</v>
      </c>
      <c r="S174" s="23">
        <v>0</v>
      </c>
      <c r="T174" s="23">
        <v>0.02</v>
      </c>
      <c r="U174" s="23">
        <v>0</v>
      </c>
      <c r="V174" s="23">
        <v>0.5</v>
      </c>
      <c r="W174" s="23">
        <v>0.23499999999999999</v>
      </c>
      <c r="X174" s="23">
        <v>0.34</v>
      </c>
      <c r="Y174" s="23">
        <v>-2.9999990000000002E-3</v>
      </c>
      <c r="Z174" s="23">
        <v>-2.4500000000000001E-2</v>
      </c>
      <c r="AA174" s="23">
        <v>1.35E-2</v>
      </c>
      <c r="AB174" s="23">
        <v>-1.4999989999999999E-3</v>
      </c>
      <c r="AC174" s="23">
        <v>2.5000000000000001E-3</v>
      </c>
      <c r="AD174" s="23">
        <v>-1.6500000000000001E-2</v>
      </c>
      <c r="AE174" s="23">
        <v>-7.4999999999999997E-2</v>
      </c>
      <c r="AF174" s="23">
        <v>-4.7500000000000001E-2</v>
      </c>
      <c r="AG174" s="23">
        <v>-7.0000000000000007E-2</v>
      </c>
      <c r="AH174" s="23">
        <v>-4.4999990000000002E-3</v>
      </c>
      <c r="AI174" s="23">
        <v>-6.4000000000000001E-2</v>
      </c>
      <c r="AJ174" s="23">
        <v>0</v>
      </c>
      <c r="AK174" s="23">
        <v>-8.9999989999999998E-3</v>
      </c>
      <c r="AL174" s="23">
        <v>3.1E-2</v>
      </c>
      <c r="AM174" s="23">
        <v>1.6</v>
      </c>
      <c r="AN174" s="23">
        <v>-4.7500000000000001E-2</v>
      </c>
      <c r="AO174" s="23">
        <v>0</v>
      </c>
      <c r="AP174" s="23">
        <v>-7.0000000000000007E-2</v>
      </c>
      <c r="AQ174" s="23">
        <v>-0.13</v>
      </c>
      <c r="AR174" s="23">
        <v>0</v>
      </c>
      <c r="AS174" s="23">
        <v>-0.26</v>
      </c>
      <c r="AT174" s="23">
        <v>0</v>
      </c>
      <c r="AU174" s="23">
        <v>0.35</v>
      </c>
      <c r="AV174" s="23">
        <v>0</v>
      </c>
      <c r="AW174" s="23">
        <v>-0.17549999999999999</v>
      </c>
      <c r="AX174" s="23">
        <v>-0.06</v>
      </c>
      <c r="AY174" s="23">
        <v>-0.11550000000000001</v>
      </c>
      <c r="AZ174" s="23">
        <v>0</v>
      </c>
      <c r="BA174" s="23">
        <v>-9.0999999999999998E-2</v>
      </c>
      <c r="BB174" s="23">
        <v>-9.4999990000000003E-3</v>
      </c>
      <c r="BC174" s="23">
        <v>-5.2499999999999998E-2</v>
      </c>
      <c r="BD174" s="23">
        <v>-7.7499999999999999E-2</v>
      </c>
      <c r="BE174" s="23">
        <v>-7.4999999999999997E-2</v>
      </c>
      <c r="BF174" s="23">
        <v>0</v>
      </c>
      <c r="BG174" s="23">
        <v>0</v>
      </c>
      <c r="BH174" s="23">
        <v>0.02</v>
      </c>
      <c r="BI174" s="23">
        <v>0</v>
      </c>
      <c r="BJ174" s="23">
        <v>1.04</v>
      </c>
      <c r="BK174" s="23">
        <v>2.5000000000000001E-3</v>
      </c>
      <c r="BL174" s="23">
        <v>-2.5000000000000001E-2</v>
      </c>
      <c r="BM174" s="23">
        <v>5.0000000000000001E-3</v>
      </c>
      <c r="BN174" s="23">
        <v>0</v>
      </c>
      <c r="BO174" s="23">
        <v>0</v>
      </c>
      <c r="BP174" s="23">
        <v>5.0000000000000001E-3</v>
      </c>
      <c r="BQ174" s="23">
        <v>0</v>
      </c>
      <c r="BR174" s="23">
        <v>0.45</v>
      </c>
      <c r="BS174">
        <v>0.02</v>
      </c>
      <c r="BT174">
        <v>0</v>
      </c>
      <c r="BU174">
        <v>0</v>
      </c>
      <c r="BV174">
        <v>0</v>
      </c>
    </row>
    <row r="175" spans="1:74" x14ac:dyDescent="0.25">
      <c r="A175" s="24" t="e">
        <f>#REF!-B175</f>
        <v>#REF!</v>
      </c>
      <c r="B175" s="24">
        <v>3.7790000000000004</v>
      </c>
      <c r="C175" s="138">
        <f t="shared" si="5"/>
        <v>42401</v>
      </c>
      <c r="D175">
        <v>4.4675000000000002</v>
      </c>
      <c r="E175" s="24">
        <v>0.17</v>
      </c>
      <c r="F175" s="23">
        <v>6.1359880501299403E-2</v>
      </c>
      <c r="G175" s="23">
        <v>-0.1275</v>
      </c>
      <c r="H175" s="23">
        <v>-0.14749999999999999</v>
      </c>
      <c r="I175" s="27">
        <v>0.01</v>
      </c>
      <c r="J175" s="27">
        <v>-0.13</v>
      </c>
      <c r="K175" s="23">
        <v>0.02</v>
      </c>
      <c r="L175" s="23">
        <v>0</v>
      </c>
      <c r="M175" s="23">
        <v>-6.7500000000000004E-2</v>
      </c>
      <c r="N175" s="23">
        <v>-0.11749999999999999</v>
      </c>
      <c r="O175" s="23">
        <v>-0.11749999999999999</v>
      </c>
      <c r="P175" s="23">
        <v>-0.1275</v>
      </c>
      <c r="Q175" s="23">
        <v>0</v>
      </c>
      <c r="R175" s="23">
        <v>0</v>
      </c>
      <c r="S175" s="23">
        <v>0</v>
      </c>
      <c r="T175" s="23">
        <v>0.02</v>
      </c>
      <c r="U175" s="23">
        <v>0</v>
      </c>
      <c r="V175" s="23">
        <v>0.5</v>
      </c>
      <c r="W175" s="23">
        <v>0.23499999999999999</v>
      </c>
      <c r="X175" s="23">
        <v>0.34</v>
      </c>
      <c r="Y175" s="23">
        <v>-2.9999990000000002E-3</v>
      </c>
      <c r="Z175" s="23">
        <v>-2.4500000000000001E-2</v>
      </c>
      <c r="AA175" s="23">
        <v>1.35E-2</v>
      </c>
      <c r="AB175" s="23">
        <v>-1.4999989999999999E-3</v>
      </c>
      <c r="AC175" s="23">
        <v>2.5000000000000001E-3</v>
      </c>
      <c r="AD175" s="23">
        <v>-1.6500000000000001E-2</v>
      </c>
      <c r="AE175" s="23">
        <v>-7.4999999999999997E-2</v>
      </c>
      <c r="AF175" s="23">
        <v>-4.7500000000000001E-2</v>
      </c>
      <c r="AG175" s="23">
        <v>-7.0000000000000007E-2</v>
      </c>
      <c r="AH175" s="23">
        <v>-4.4999990000000002E-3</v>
      </c>
      <c r="AI175" s="23">
        <v>-6.4000000000000001E-2</v>
      </c>
      <c r="AJ175" s="23">
        <v>0</v>
      </c>
      <c r="AK175" s="23">
        <v>-8.9999989999999998E-3</v>
      </c>
      <c r="AL175" s="23">
        <v>3.1E-2</v>
      </c>
      <c r="AM175" s="23">
        <v>1.6</v>
      </c>
      <c r="AN175" s="23">
        <v>-0.03</v>
      </c>
      <c r="AO175" s="23">
        <v>0</v>
      </c>
      <c r="AP175" s="23">
        <v>-7.0000000000000007E-2</v>
      </c>
      <c r="AQ175" s="23">
        <v>-0.13</v>
      </c>
      <c r="AR175" s="23">
        <v>0</v>
      </c>
      <c r="AS175" s="23">
        <v>-0.26</v>
      </c>
      <c r="AT175" s="23">
        <v>0</v>
      </c>
      <c r="AU175" s="23">
        <v>0.35</v>
      </c>
      <c r="AV175" s="23">
        <v>0</v>
      </c>
      <c r="AW175" s="23">
        <v>-0.16550000000000001</v>
      </c>
      <c r="AX175" s="23">
        <v>-0.06</v>
      </c>
      <c r="AY175" s="23">
        <v>-0.1055</v>
      </c>
      <c r="AZ175" s="23">
        <v>0</v>
      </c>
      <c r="BA175" s="23">
        <v>-9.0999999999999998E-2</v>
      </c>
      <c r="BB175" s="23">
        <v>-9.4999990000000003E-3</v>
      </c>
      <c r="BC175" s="23">
        <v>-5.2499999999999998E-2</v>
      </c>
      <c r="BD175" s="23">
        <v>-0.06</v>
      </c>
      <c r="BE175" s="23">
        <v>-7.4999999999999997E-2</v>
      </c>
      <c r="BF175" s="23">
        <v>0</v>
      </c>
      <c r="BG175" s="23">
        <v>0</v>
      </c>
      <c r="BH175" s="23">
        <v>0.02</v>
      </c>
      <c r="BI175" s="23">
        <v>0</v>
      </c>
      <c r="BJ175" s="23">
        <v>1.04</v>
      </c>
      <c r="BK175" s="23">
        <v>2.5000000000000001E-3</v>
      </c>
      <c r="BL175" s="23">
        <v>-2.5000000000000001E-2</v>
      </c>
      <c r="BM175" s="23">
        <v>5.0000000000000001E-3</v>
      </c>
      <c r="BN175" s="23">
        <v>0</v>
      </c>
      <c r="BO175" s="23">
        <v>0</v>
      </c>
      <c r="BP175" s="23">
        <v>5.0000000000000001E-3</v>
      </c>
      <c r="BQ175" s="23">
        <v>0</v>
      </c>
      <c r="BR175" s="23">
        <v>0.45</v>
      </c>
      <c r="BS175">
        <v>0.02</v>
      </c>
      <c r="BT175">
        <v>0</v>
      </c>
      <c r="BU175">
        <v>0</v>
      </c>
      <c r="BV175">
        <v>0</v>
      </c>
    </row>
    <row r="176" spans="1:74" x14ac:dyDescent="0.25">
      <c r="A176" s="24"/>
      <c r="B176" s="24">
        <v>3.758</v>
      </c>
      <c r="C176" s="138">
        <f t="shared" si="5"/>
        <v>42430</v>
      </c>
      <c r="D176">
        <v>4.3375000000000004</v>
      </c>
      <c r="E176" s="24">
        <v>0.17</v>
      </c>
      <c r="F176" s="23">
        <v>6.14008811086224E-2</v>
      </c>
      <c r="G176" s="23">
        <v>-0.125</v>
      </c>
      <c r="H176" s="23">
        <v>-0.14499999999999999</v>
      </c>
      <c r="I176" s="27">
        <v>-0.01</v>
      </c>
      <c r="J176" s="27">
        <v>-0.13</v>
      </c>
      <c r="K176" s="23">
        <v>0</v>
      </c>
      <c r="L176" s="23">
        <v>0</v>
      </c>
      <c r="M176" s="23">
        <v>-6.7500000000000004E-2</v>
      </c>
      <c r="N176" s="23">
        <v>-0.115</v>
      </c>
      <c r="O176" s="23">
        <v>-0.115</v>
      </c>
      <c r="P176" s="23">
        <v>-0.125</v>
      </c>
      <c r="Q176" s="23">
        <v>0</v>
      </c>
      <c r="R176" s="23">
        <v>0</v>
      </c>
      <c r="S176" s="23">
        <v>0</v>
      </c>
      <c r="T176" s="23">
        <v>0.02</v>
      </c>
      <c r="U176" s="23">
        <v>0</v>
      </c>
      <c r="V176" s="23">
        <v>0.5</v>
      </c>
      <c r="W176" s="23">
        <v>0.19500000000000001</v>
      </c>
      <c r="X176" s="23">
        <v>0.28999999999999998</v>
      </c>
      <c r="Y176" s="23">
        <v>-2.9999990000000002E-3</v>
      </c>
      <c r="Z176" s="23">
        <v>-2.4500000000000001E-2</v>
      </c>
      <c r="AA176" s="23">
        <v>2.1000000000000001E-2</v>
      </c>
      <c r="AB176" s="23">
        <v>6.0000000000000001E-3</v>
      </c>
      <c r="AC176" s="23">
        <v>2.5000000000000001E-3</v>
      </c>
      <c r="AD176" s="23">
        <v>0</v>
      </c>
      <c r="AE176" s="23">
        <v>-7.4999999999999997E-2</v>
      </c>
      <c r="AF176" s="23">
        <v>-4.7500000000000001E-2</v>
      </c>
      <c r="AG176" s="23">
        <v>-7.0000000000000007E-2</v>
      </c>
      <c r="AH176" s="23">
        <v>-4.4999990000000002E-3</v>
      </c>
      <c r="AI176" s="23">
        <v>-6.4000000000000001E-2</v>
      </c>
      <c r="AJ176" s="23">
        <v>0</v>
      </c>
      <c r="AK176" s="23">
        <v>-8.9999989999999998E-3</v>
      </c>
      <c r="AL176" s="23">
        <v>3.1E-2</v>
      </c>
      <c r="AM176" s="23">
        <v>0.64</v>
      </c>
      <c r="AN176" s="23">
        <v>-1.7500000000000002E-2</v>
      </c>
      <c r="AO176" s="23">
        <v>0</v>
      </c>
      <c r="AP176" s="23">
        <v>-7.0000000000000007E-2</v>
      </c>
      <c r="AQ176" s="23">
        <v>-0.13</v>
      </c>
      <c r="AR176" s="23">
        <v>0</v>
      </c>
      <c r="AS176" s="23">
        <v>-0.26</v>
      </c>
      <c r="AT176" s="23">
        <v>0</v>
      </c>
      <c r="AU176" s="23">
        <v>0.35</v>
      </c>
      <c r="AV176" s="23">
        <v>0</v>
      </c>
      <c r="AW176" s="23">
        <v>-0.1555</v>
      </c>
      <c r="AX176" s="23">
        <v>-0.06</v>
      </c>
      <c r="AY176" s="23">
        <v>-9.5500000000000002E-2</v>
      </c>
      <c r="AZ176" s="23">
        <v>0</v>
      </c>
      <c r="BA176" s="23">
        <v>-9.0999999999999998E-2</v>
      </c>
      <c r="BB176" s="23">
        <v>-9.4999990000000003E-3</v>
      </c>
      <c r="BC176" s="23">
        <v>-5.2499999999999998E-2</v>
      </c>
      <c r="BD176" s="23">
        <v>-4.7500000000000001E-2</v>
      </c>
      <c r="BE176" s="23">
        <v>-7.4999999999999997E-2</v>
      </c>
      <c r="BF176" s="23">
        <v>0</v>
      </c>
      <c r="BG176" s="23">
        <v>0</v>
      </c>
      <c r="BH176" s="23">
        <v>0.02</v>
      </c>
      <c r="BI176" s="23">
        <v>0</v>
      </c>
      <c r="BJ176" s="23">
        <v>0.54</v>
      </c>
      <c r="BK176" s="23">
        <v>0</v>
      </c>
      <c r="BL176" s="23">
        <v>-0.02</v>
      </c>
      <c r="BM176" s="23">
        <v>5.0000000000000001E-3</v>
      </c>
      <c r="BN176" s="23">
        <v>0</v>
      </c>
      <c r="BO176" s="23">
        <v>0</v>
      </c>
      <c r="BP176" s="23">
        <v>5.0000000000000001E-3</v>
      </c>
      <c r="BQ176" s="23">
        <v>0</v>
      </c>
      <c r="BR176" s="23">
        <v>0.1</v>
      </c>
      <c r="BS176">
        <v>0.02</v>
      </c>
      <c r="BT176">
        <v>0</v>
      </c>
      <c r="BU176">
        <v>0</v>
      </c>
      <c r="BV176">
        <v>0</v>
      </c>
    </row>
    <row r="177" spans="1:74" x14ac:dyDescent="0.25">
      <c r="A177" s="24"/>
      <c r="B177" s="24">
        <v>3.7650000000000001</v>
      </c>
      <c r="C177" s="138">
        <f t="shared" si="5"/>
        <v>42461</v>
      </c>
      <c r="D177">
        <v>4.1524999999999999</v>
      </c>
      <c r="E177" s="24">
        <v>0.17</v>
      </c>
      <c r="F177" s="23">
        <v>6.1444709344654E-2</v>
      </c>
      <c r="G177" s="23">
        <v>-0.13</v>
      </c>
      <c r="H177" s="23">
        <v>-0.15</v>
      </c>
      <c r="I177" s="27">
        <v>-0.09</v>
      </c>
      <c r="J177" s="27">
        <v>-0.13</v>
      </c>
      <c r="K177" s="23">
        <v>-0.09</v>
      </c>
      <c r="L177" s="23">
        <v>0</v>
      </c>
      <c r="M177" s="23">
        <v>-5.0500000000000003E-2</v>
      </c>
      <c r="N177" s="23">
        <v>-0.12</v>
      </c>
      <c r="O177" s="23">
        <v>-0.12</v>
      </c>
      <c r="P177" s="23">
        <v>-0.13</v>
      </c>
      <c r="Q177" s="23">
        <v>0</v>
      </c>
      <c r="R177" s="23">
        <v>0</v>
      </c>
      <c r="S177" s="23">
        <v>0</v>
      </c>
      <c r="T177" s="23">
        <v>0.02</v>
      </c>
      <c r="U177" s="23">
        <v>0</v>
      </c>
      <c r="V177" s="23">
        <v>0.5</v>
      </c>
      <c r="W177" s="23">
        <v>0.14499999999999999</v>
      </c>
      <c r="X177" s="23">
        <v>0.19500000000000001</v>
      </c>
      <c r="Y177" s="23">
        <v>-5.4999990000000002E-3</v>
      </c>
      <c r="Z177" s="23">
        <v>-3.95E-2</v>
      </c>
      <c r="AA177" s="23">
        <v>2.1000000000000001E-2</v>
      </c>
      <c r="AB177" s="23">
        <v>6.0000000000000001E-3</v>
      </c>
      <c r="AC177" s="23">
        <v>2.5000000000000001E-3</v>
      </c>
      <c r="AD177" s="23">
        <v>0</v>
      </c>
      <c r="AE177" s="23">
        <v>-7.2499999999999995E-2</v>
      </c>
      <c r="AF177" s="23">
        <v>-4.4999999999999998E-2</v>
      </c>
      <c r="AG177" s="23">
        <v>-6.7500000000000004E-2</v>
      </c>
      <c r="AH177" s="23">
        <v>-9.4999990000000003E-3</v>
      </c>
      <c r="AI177" s="23">
        <v>-7.1999999999999995E-2</v>
      </c>
      <c r="AJ177" s="23">
        <v>0</v>
      </c>
      <c r="AK177" s="23">
        <v>-1.7000000000000001E-2</v>
      </c>
      <c r="AL177" s="23">
        <v>2.3E-2</v>
      </c>
      <c r="AM177" s="23">
        <v>0.38</v>
      </c>
      <c r="AN177" s="23">
        <v>0.02</v>
      </c>
      <c r="AO177" s="23">
        <v>0</v>
      </c>
      <c r="AP177" s="23">
        <v>-7.0000000000000007E-2</v>
      </c>
      <c r="AQ177" s="23">
        <v>-0.19500000000000001</v>
      </c>
      <c r="AR177" s="23">
        <v>0</v>
      </c>
      <c r="AS177" s="23">
        <v>-0.37</v>
      </c>
      <c r="AT177" s="23">
        <v>0</v>
      </c>
      <c r="AU177" s="23">
        <v>0.43</v>
      </c>
      <c r="AV177" s="23">
        <v>0</v>
      </c>
      <c r="AW177" s="23">
        <v>-0.19600000000000001</v>
      </c>
      <c r="AX177" s="23">
        <v>-0.06</v>
      </c>
      <c r="AY177" s="23">
        <v>-0.13600000000000001</v>
      </c>
      <c r="AZ177" s="23">
        <v>0</v>
      </c>
      <c r="BA177" s="23">
        <v>-0.1135</v>
      </c>
      <c r="BB177" s="23">
        <v>-9.4999990000000003E-3</v>
      </c>
      <c r="BC177" s="23">
        <v>-3.5499999999999997E-2</v>
      </c>
      <c r="BD177" s="23">
        <v>-0.01</v>
      </c>
      <c r="BE177" s="23">
        <v>-7.2499999999999995E-2</v>
      </c>
      <c r="BF177" s="23">
        <v>0</v>
      </c>
      <c r="BG177" s="23">
        <v>0</v>
      </c>
      <c r="BH177" s="23">
        <v>0.02</v>
      </c>
      <c r="BI177" s="23">
        <v>0</v>
      </c>
      <c r="BJ177" s="23">
        <v>0.36</v>
      </c>
      <c r="BK177" s="23">
        <v>0</v>
      </c>
      <c r="BL177" s="23">
        <v>-1.4999999999999999E-2</v>
      </c>
      <c r="BM177" s="23">
        <v>5.0000000000000001E-3</v>
      </c>
      <c r="BN177" s="23">
        <v>-0.01</v>
      </c>
      <c r="BO177" s="23">
        <v>0</v>
      </c>
      <c r="BP177" s="23">
        <v>5.0000000000000001E-3</v>
      </c>
      <c r="BQ177" s="23">
        <v>0</v>
      </c>
      <c r="BR177" s="23">
        <v>0.02</v>
      </c>
      <c r="BS177">
        <v>5.0000000000000001E-3</v>
      </c>
      <c r="BT177">
        <v>0</v>
      </c>
      <c r="BU177">
        <v>0</v>
      </c>
      <c r="BV177">
        <v>0</v>
      </c>
    </row>
    <row r="178" spans="1:74" x14ac:dyDescent="0.25">
      <c r="A178" s="24"/>
      <c r="B178" s="24">
        <v>3.8220000000000001</v>
      </c>
      <c r="C178" s="138">
        <f t="shared" si="5"/>
        <v>42491</v>
      </c>
      <c r="D178">
        <v>4.1475</v>
      </c>
      <c r="E178" s="24">
        <v>0.17</v>
      </c>
      <c r="F178" s="23">
        <v>6.1487123767227203E-2</v>
      </c>
      <c r="G178" s="23">
        <v>0</v>
      </c>
      <c r="H178" s="23">
        <v>0</v>
      </c>
      <c r="I178" s="27">
        <v>0</v>
      </c>
      <c r="J178" s="27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0.02</v>
      </c>
      <c r="U178" s="23">
        <v>0</v>
      </c>
      <c r="V178" s="23">
        <v>0.5</v>
      </c>
      <c r="W178" s="23">
        <v>0.125</v>
      </c>
      <c r="X178" s="23">
        <v>0.13500000000000001</v>
      </c>
      <c r="Y178" s="23">
        <v>-5.4999990000000002E-3</v>
      </c>
      <c r="Z178" s="23">
        <v>-3.95E-2</v>
      </c>
      <c r="AA178" s="23">
        <v>2.35E-2</v>
      </c>
      <c r="AB178" s="23">
        <v>8.5000000000000006E-3</v>
      </c>
      <c r="AC178" s="23">
        <v>2.5000000000000001E-3</v>
      </c>
      <c r="AD178" s="23">
        <v>0</v>
      </c>
      <c r="AE178" s="23">
        <v>-7.2499999999999995E-2</v>
      </c>
      <c r="AF178" s="23">
        <v>-4.4999999999999998E-2</v>
      </c>
      <c r="AG178" s="23">
        <v>-6.7500000000000004E-2</v>
      </c>
      <c r="AH178" s="23">
        <v>-9.4999990000000003E-3</v>
      </c>
      <c r="AI178" s="23">
        <v>-7.1999999999999995E-2</v>
      </c>
      <c r="AJ178" s="23">
        <v>0</v>
      </c>
      <c r="AK178" s="23">
        <v>-1.7000000000000001E-2</v>
      </c>
      <c r="AL178" s="23">
        <v>2.3E-2</v>
      </c>
      <c r="AM178" s="23">
        <v>0.33</v>
      </c>
      <c r="AN178" s="23">
        <v>0.02</v>
      </c>
      <c r="AO178" s="23">
        <v>0</v>
      </c>
      <c r="AP178" s="23">
        <v>-7.0000000000000007E-2</v>
      </c>
      <c r="AQ178" s="23">
        <v>-0.19500000000000001</v>
      </c>
      <c r="AR178" s="23">
        <v>0</v>
      </c>
      <c r="AS178" s="23">
        <v>-0.37</v>
      </c>
      <c r="AT178" s="23">
        <v>0</v>
      </c>
      <c r="AU178" s="23">
        <v>0.43</v>
      </c>
      <c r="AV178" s="23">
        <v>0</v>
      </c>
      <c r="AW178" s="23">
        <v>-0.17349999999999999</v>
      </c>
      <c r="AX178" s="23">
        <v>-0.06</v>
      </c>
      <c r="AY178" s="23">
        <v>-0.1135</v>
      </c>
      <c r="AZ178" s="23">
        <v>0</v>
      </c>
      <c r="BA178" s="23">
        <v>-0.106</v>
      </c>
      <c r="BB178" s="23">
        <v>-9.4999990000000003E-3</v>
      </c>
      <c r="BC178" s="23">
        <v>0</v>
      </c>
      <c r="BD178" s="23">
        <v>-0.01</v>
      </c>
      <c r="BE178" s="23">
        <v>-7.2499999999999995E-2</v>
      </c>
      <c r="BF178" s="23">
        <v>0</v>
      </c>
      <c r="BG178" s="23">
        <v>0</v>
      </c>
      <c r="BH178" s="23">
        <v>0.02</v>
      </c>
      <c r="BI178" s="23">
        <v>0</v>
      </c>
      <c r="BJ178" s="23">
        <v>0.32500000000000001</v>
      </c>
      <c r="BK178" s="23">
        <v>0</v>
      </c>
      <c r="BL178" s="23">
        <v>-1.4999999999999999E-2</v>
      </c>
      <c r="BM178" s="23">
        <v>5.0000000000000001E-3</v>
      </c>
      <c r="BN178" s="23">
        <v>0</v>
      </c>
      <c r="BO178" s="23">
        <v>0</v>
      </c>
      <c r="BP178" s="23">
        <v>5.0000000000000001E-3</v>
      </c>
      <c r="BQ178" s="23">
        <v>0</v>
      </c>
      <c r="BR178" s="23">
        <v>0.02</v>
      </c>
      <c r="BS178">
        <v>5.0000000000000001E-3</v>
      </c>
      <c r="BT178">
        <v>0</v>
      </c>
      <c r="BU178">
        <v>0</v>
      </c>
      <c r="BV178">
        <v>0</v>
      </c>
    </row>
    <row r="179" spans="1:74" x14ac:dyDescent="0.25">
      <c r="A179" s="24"/>
      <c r="B179" s="24">
        <v>3.8980000000000001</v>
      </c>
      <c r="C179" s="138">
        <f t="shared" si="5"/>
        <v>42522</v>
      </c>
      <c r="D179">
        <v>4.1825000000000001</v>
      </c>
      <c r="E179" s="24">
        <v>0.17</v>
      </c>
      <c r="F179" s="23">
        <v>6.1530952004514201E-2</v>
      </c>
      <c r="G179" s="23">
        <v>0</v>
      </c>
      <c r="H179" s="23">
        <v>0</v>
      </c>
      <c r="I179" s="27">
        <v>0</v>
      </c>
      <c r="J179" s="27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0.5</v>
      </c>
      <c r="W179" s="23">
        <v>0.14499999999999999</v>
      </c>
      <c r="X179" s="23">
        <v>0.16500000000000001</v>
      </c>
      <c r="Y179" s="23">
        <v>-5.4999990000000002E-3</v>
      </c>
      <c r="Z179" s="23">
        <v>-3.6999999999999998E-2</v>
      </c>
      <c r="AA179" s="23">
        <v>2.35E-2</v>
      </c>
      <c r="AB179" s="23">
        <v>8.5000000000000006E-3</v>
      </c>
      <c r="AC179" s="23">
        <v>2.5000000000000001E-3</v>
      </c>
      <c r="AD179" s="23">
        <v>0</v>
      </c>
      <c r="AE179" s="23">
        <v>-7.2499999999999995E-2</v>
      </c>
      <c r="AF179" s="23">
        <v>-4.4999999999999998E-2</v>
      </c>
      <c r="AG179" s="23">
        <v>-6.7500000000000004E-2</v>
      </c>
      <c r="AH179" s="23">
        <v>-9.4999990000000003E-3</v>
      </c>
      <c r="AI179" s="23">
        <v>-7.1999999999999995E-2</v>
      </c>
      <c r="AJ179" s="23">
        <v>0</v>
      </c>
      <c r="AK179" s="23">
        <v>-1.7000000000000001E-2</v>
      </c>
      <c r="AL179" s="23">
        <v>2.3E-2</v>
      </c>
      <c r="AM179" s="23">
        <v>0.37</v>
      </c>
      <c r="AN179" s="23">
        <v>2.5000000000000001E-2</v>
      </c>
      <c r="AO179" s="23">
        <v>0</v>
      </c>
      <c r="AP179" s="23">
        <v>-7.0000000000000007E-2</v>
      </c>
      <c r="AQ179" s="23">
        <v>-0.19500000000000001</v>
      </c>
      <c r="AR179" s="23">
        <v>0</v>
      </c>
      <c r="AS179" s="23">
        <v>-0.37</v>
      </c>
      <c r="AT179" s="23">
        <v>0</v>
      </c>
      <c r="AU179" s="23">
        <v>0.43</v>
      </c>
      <c r="AV179" s="23">
        <v>0</v>
      </c>
      <c r="AW179" s="23">
        <v>-0.121</v>
      </c>
      <c r="AX179" s="23">
        <v>-0.06</v>
      </c>
      <c r="AY179" s="23">
        <v>-6.0999999999999999E-2</v>
      </c>
      <c r="AZ179" s="23">
        <v>0</v>
      </c>
      <c r="BA179" s="23">
        <v>-6.3500000000000001E-2</v>
      </c>
      <c r="BB179" s="23">
        <v>-9.4999990000000003E-3</v>
      </c>
      <c r="BC179" s="23">
        <v>0</v>
      </c>
      <c r="BD179" s="23">
        <v>-5.0000000000000001E-3</v>
      </c>
      <c r="BE179" s="23">
        <v>-7.2499999999999995E-2</v>
      </c>
      <c r="BF179" s="23">
        <v>0</v>
      </c>
      <c r="BG179" s="23">
        <v>0</v>
      </c>
      <c r="BH179" s="23">
        <v>0</v>
      </c>
      <c r="BI179" s="23">
        <v>0</v>
      </c>
      <c r="BJ179" s="23">
        <v>0.33500000000000002</v>
      </c>
      <c r="BK179" s="23">
        <v>0</v>
      </c>
      <c r="BL179" s="23">
        <v>-1.4999999999999999E-2</v>
      </c>
      <c r="BM179" s="23">
        <v>5.0000000000000001E-3</v>
      </c>
      <c r="BN179" s="23">
        <v>0</v>
      </c>
      <c r="BO179" s="23">
        <v>0</v>
      </c>
      <c r="BP179" s="23">
        <v>5.0000000000000001E-3</v>
      </c>
      <c r="BQ179" s="23">
        <v>0</v>
      </c>
      <c r="BR179" s="23">
        <v>3.5000000000000003E-2</v>
      </c>
      <c r="BS179">
        <v>5.0000000000000001E-3</v>
      </c>
      <c r="BT179">
        <v>0</v>
      </c>
      <c r="BU179">
        <v>0</v>
      </c>
      <c r="BV179">
        <v>0</v>
      </c>
    </row>
    <row r="180" spans="1:74" x14ac:dyDescent="0.25">
      <c r="A180" s="24"/>
      <c r="B180" s="24">
        <v>4.1719999999999997</v>
      </c>
      <c r="C180" s="138">
        <f t="shared" si="5"/>
        <v>42552</v>
      </c>
      <c r="D180">
        <v>4.2225000000000001</v>
      </c>
      <c r="E180" s="24">
        <v>0.17</v>
      </c>
      <c r="F180" s="23">
        <v>6.1573366428302002E-2</v>
      </c>
      <c r="G180" s="23">
        <v>0</v>
      </c>
      <c r="H180" s="23">
        <v>0</v>
      </c>
      <c r="I180" s="27">
        <v>0</v>
      </c>
      <c r="J180" s="27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0.5</v>
      </c>
      <c r="W180" s="23">
        <v>0.15</v>
      </c>
      <c r="X180" s="23">
        <v>0.20499999999999999</v>
      </c>
      <c r="Y180" s="23">
        <v>-5.4999990000000002E-3</v>
      </c>
      <c r="Z180" s="23">
        <v>-3.6999999999999998E-2</v>
      </c>
      <c r="AA180" s="23">
        <v>2.35E-2</v>
      </c>
      <c r="AB180" s="23">
        <v>8.5000000000000006E-3</v>
      </c>
      <c r="AC180" s="23">
        <v>2.5000000000000001E-3</v>
      </c>
      <c r="AD180" s="23">
        <v>0</v>
      </c>
      <c r="AE180" s="23">
        <v>-7.2499999999999995E-2</v>
      </c>
      <c r="AF180" s="23">
        <v>-4.4999999999999998E-2</v>
      </c>
      <c r="AG180" s="23">
        <v>-6.7500000000000004E-2</v>
      </c>
      <c r="AH180" s="23">
        <v>-9.4999990000000003E-3</v>
      </c>
      <c r="AI180" s="23">
        <v>-7.1999999999999995E-2</v>
      </c>
      <c r="AJ180" s="23">
        <v>0</v>
      </c>
      <c r="AK180" s="23">
        <v>-1.7000000000000001E-2</v>
      </c>
      <c r="AL180" s="23">
        <v>2.3E-2</v>
      </c>
      <c r="AM180" s="23">
        <v>0.41</v>
      </c>
      <c r="AN180" s="23">
        <v>2.75E-2</v>
      </c>
      <c r="AO180" s="23">
        <v>0</v>
      </c>
      <c r="AP180" s="23">
        <v>-7.0000000000000007E-2</v>
      </c>
      <c r="AQ180" s="23">
        <v>-0.19500000000000001</v>
      </c>
      <c r="AR180" s="23">
        <v>0</v>
      </c>
      <c r="AS180" s="23">
        <v>-0.37</v>
      </c>
      <c r="AT180" s="23">
        <v>0</v>
      </c>
      <c r="AU180" s="23">
        <v>0.43</v>
      </c>
      <c r="AV180" s="23">
        <v>0</v>
      </c>
      <c r="AW180" s="23">
        <v>-0.13100000000000001</v>
      </c>
      <c r="AX180" s="23">
        <v>-0.06</v>
      </c>
      <c r="AY180" s="23">
        <v>-7.0999999999999994E-2</v>
      </c>
      <c r="AZ180" s="23">
        <v>0</v>
      </c>
      <c r="BA180" s="23">
        <v>-6.0999999999999999E-2</v>
      </c>
      <c r="BB180" s="23">
        <v>-9.4999990000000003E-3</v>
      </c>
      <c r="BC180" s="23">
        <v>0</v>
      </c>
      <c r="BD180" s="23">
        <v>-2.5000000000000001E-3</v>
      </c>
      <c r="BE180" s="23">
        <v>-7.2499999999999995E-2</v>
      </c>
      <c r="BF180" s="23">
        <v>0</v>
      </c>
      <c r="BG180" s="23">
        <v>0</v>
      </c>
      <c r="BH180" s="23">
        <v>0</v>
      </c>
      <c r="BI180" s="23">
        <v>0</v>
      </c>
      <c r="BJ180" s="23">
        <v>0.35</v>
      </c>
      <c r="BK180" s="23">
        <v>0</v>
      </c>
      <c r="BL180" s="23">
        <v>-0.01</v>
      </c>
      <c r="BM180" s="23">
        <v>5.0000000000000001E-3</v>
      </c>
      <c r="BN180" s="23">
        <v>0</v>
      </c>
      <c r="BO180" s="23">
        <v>0</v>
      </c>
      <c r="BP180" s="23">
        <v>5.0000000000000001E-3</v>
      </c>
      <c r="BQ180" s="23">
        <v>0</v>
      </c>
      <c r="BR180" s="23">
        <v>3.5000000000000003E-2</v>
      </c>
      <c r="BS180">
        <v>0</v>
      </c>
      <c r="BT180">
        <v>0</v>
      </c>
      <c r="BU180">
        <v>0</v>
      </c>
      <c r="BV180">
        <v>0</v>
      </c>
    </row>
    <row r="181" spans="1:74" x14ac:dyDescent="0.25">
      <c r="A181" s="24"/>
      <c r="B181" s="24">
        <v>4.093</v>
      </c>
      <c r="C181" s="138">
        <f t="shared" si="5"/>
        <v>42583</v>
      </c>
      <c r="D181">
        <v>4.2625000000000002</v>
      </c>
      <c r="E181" s="24">
        <v>0.17</v>
      </c>
      <c r="F181" s="23">
        <v>6.1617194666843997E-2</v>
      </c>
      <c r="G181" s="23">
        <v>0</v>
      </c>
      <c r="H181" s="23">
        <v>0</v>
      </c>
      <c r="I181" s="27">
        <v>0</v>
      </c>
      <c r="J181" s="27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0.5</v>
      </c>
      <c r="W181" s="23">
        <v>0.15</v>
      </c>
      <c r="X181" s="23">
        <v>0.20499999999999999</v>
      </c>
      <c r="Y181" s="23">
        <v>-5.4999990000000002E-3</v>
      </c>
      <c r="Z181" s="23">
        <v>-3.6999999999999998E-2</v>
      </c>
      <c r="AA181" s="23">
        <v>1.8499999999999999E-2</v>
      </c>
      <c r="AB181" s="23">
        <v>3.5000000000000001E-3</v>
      </c>
      <c r="AC181" s="23">
        <v>2.5000000000000001E-3</v>
      </c>
      <c r="AD181" s="23">
        <v>0</v>
      </c>
      <c r="AE181" s="23">
        <v>-7.2499999999999995E-2</v>
      </c>
      <c r="AF181" s="23">
        <v>-4.4999999999999998E-2</v>
      </c>
      <c r="AG181" s="23">
        <v>-6.7500000000000004E-2</v>
      </c>
      <c r="AH181" s="23">
        <v>-9.4999990000000003E-3</v>
      </c>
      <c r="AI181" s="23">
        <v>-7.1999999999999995E-2</v>
      </c>
      <c r="AJ181" s="23">
        <v>0</v>
      </c>
      <c r="AK181" s="23">
        <v>-1.7000000000000001E-2</v>
      </c>
      <c r="AL181" s="23">
        <v>2.3E-2</v>
      </c>
      <c r="AM181" s="23">
        <v>0.41</v>
      </c>
      <c r="AN181" s="23">
        <v>0.03</v>
      </c>
      <c r="AO181" s="23">
        <v>0</v>
      </c>
      <c r="AP181" s="23">
        <v>-7.0000000000000007E-2</v>
      </c>
      <c r="AQ181" s="23">
        <v>-0.19500000000000001</v>
      </c>
      <c r="AR181" s="23">
        <v>0</v>
      </c>
      <c r="AS181" s="23">
        <v>-0.37</v>
      </c>
      <c r="AT181" s="23">
        <v>0</v>
      </c>
      <c r="AU181" s="23">
        <v>0.43</v>
      </c>
      <c r="AV181" s="23">
        <v>0</v>
      </c>
      <c r="AW181" s="23">
        <v>-0.126</v>
      </c>
      <c r="AX181" s="23">
        <v>-0.06</v>
      </c>
      <c r="AY181" s="23">
        <v>-6.6000000000000003E-2</v>
      </c>
      <c r="AZ181" s="23">
        <v>0</v>
      </c>
      <c r="BA181" s="23">
        <v>-5.8500000000000003E-2</v>
      </c>
      <c r="BB181" s="23">
        <v>-9.4999990000000003E-3</v>
      </c>
      <c r="BC181" s="23">
        <v>0</v>
      </c>
      <c r="BD181" s="23">
        <v>0</v>
      </c>
      <c r="BE181" s="23">
        <v>-7.2499999999999995E-2</v>
      </c>
      <c r="BF181" s="23">
        <v>0</v>
      </c>
      <c r="BG181" s="23">
        <v>0</v>
      </c>
      <c r="BH181" s="23">
        <v>0</v>
      </c>
      <c r="BI181" s="23">
        <v>0</v>
      </c>
      <c r="BJ181" s="23">
        <v>0.35</v>
      </c>
      <c r="BK181" s="23">
        <v>0</v>
      </c>
      <c r="BL181" s="23">
        <v>-0.01</v>
      </c>
      <c r="BM181" s="23">
        <v>5.0000000000000001E-3</v>
      </c>
      <c r="BN181" s="23">
        <v>0</v>
      </c>
      <c r="BO181" s="23">
        <v>0</v>
      </c>
      <c r="BP181" s="23">
        <v>5.0000000000000001E-3</v>
      </c>
      <c r="BQ181" s="23">
        <v>0</v>
      </c>
      <c r="BR181" s="23">
        <v>0.01</v>
      </c>
      <c r="BS181">
        <v>0</v>
      </c>
      <c r="BT181">
        <v>0</v>
      </c>
      <c r="BU181">
        <v>0</v>
      </c>
      <c r="BV181">
        <v>0</v>
      </c>
    </row>
    <row r="182" spans="1:74" x14ac:dyDescent="0.25">
      <c r="A182" s="24"/>
      <c r="B182" s="24">
        <v>3.9710000000000005</v>
      </c>
      <c r="C182" s="138">
        <f t="shared" si="5"/>
        <v>42614</v>
      </c>
      <c r="D182">
        <v>4.2575000000000003</v>
      </c>
      <c r="E182" s="24">
        <v>0.17</v>
      </c>
      <c r="F182" s="23">
        <v>6.1661022906023703E-2</v>
      </c>
      <c r="G182" s="23">
        <v>0</v>
      </c>
      <c r="H182" s="23">
        <v>0</v>
      </c>
      <c r="I182" s="27">
        <v>0</v>
      </c>
      <c r="J182" s="27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0.5</v>
      </c>
      <c r="W182" s="23">
        <v>0.125</v>
      </c>
      <c r="X182" s="23">
        <v>0.14499999999999999</v>
      </c>
      <c r="Y182" s="23">
        <v>-5.4999990000000002E-3</v>
      </c>
      <c r="Z182" s="23">
        <v>-4.2000000000000003E-2</v>
      </c>
      <c r="AA182" s="23">
        <v>1.8499999999999999E-2</v>
      </c>
      <c r="AB182" s="23">
        <v>3.5000000000000001E-3</v>
      </c>
      <c r="AC182" s="23">
        <v>2.5000000000000001E-3</v>
      </c>
      <c r="AD182" s="23">
        <v>0</v>
      </c>
      <c r="AE182" s="23">
        <v>-7.2499999999999995E-2</v>
      </c>
      <c r="AF182" s="23">
        <v>-4.4999999999999998E-2</v>
      </c>
      <c r="AG182" s="23">
        <v>-6.7500000000000004E-2</v>
      </c>
      <c r="AH182" s="23">
        <v>-9.4999990000000003E-3</v>
      </c>
      <c r="AI182" s="23">
        <v>-7.1999999999999995E-2</v>
      </c>
      <c r="AJ182" s="23">
        <v>0</v>
      </c>
      <c r="AK182" s="23">
        <v>-1.7000000000000001E-2</v>
      </c>
      <c r="AL182" s="23">
        <v>2.3E-2</v>
      </c>
      <c r="AM182" s="23">
        <v>0.36</v>
      </c>
      <c r="AN182" s="23">
        <v>2.2499999999999999E-2</v>
      </c>
      <c r="AO182" s="23">
        <v>0</v>
      </c>
      <c r="AP182" s="23">
        <v>-7.0000000000000007E-2</v>
      </c>
      <c r="AQ182" s="23">
        <v>-0.19500000000000001</v>
      </c>
      <c r="AR182" s="23">
        <v>0</v>
      </c>
      <c r="AS182" s="23">
        <v>-0.37</v>
      </c>
      <c r="AT182" s="23">
        <v>0</v>
      </c>
      <c r="AU182" s="23">
        <v>0.43</v>
      </c>
      <c r="AV182" s="23">
        <v>0</v>
      </c>
      <c r="AW182" s="23">
        <v>-0.13600000000000001</v>
      </c>
      <c r="AX182" s="23">
        <v>-0.06</v>
      </c>
      <c r="AY182" s="23">
        <v>-7.5999999999999998E-2</v>
      </c>
      <c r="AZ182" s="23">
        <v>0</v>
      </c>
      <c r="BA182" s="23">
        <v>-6.3500000000000001E-2</v>
      </c>
      <c r="BB182" s="23">
        <v>-9.4999990000000003E-3</v>
      </c>
      <c r="BC182" s="23">
        <v>0</v>
      </c>
      <c r="BD182" s="23">
        <v>-7.4999999999999997E-3</v>
      </c>
      <c r="BE182" s="23">
        <v>-7.2499999999999995E-2</v>
      </c>
      <c r="BF182" s="23">
        <v>0</v>
      </c>
      <c r="BG182" s="23">
        <v>0</v>
      </c>
      <c r="BH182" s="23">
        <v>0</v>
      </c>
      <c r="BI182" s="23">
        <v>0</v>
      </c>
      <c r="BJ182" s="23">
        <v>0.315</v>
      </c>
      <c r="BK182" s="23">
        <v>0</v>
      </c>
      <c r="BL182" s="23">
        <v>-0.01</v>
      </c>
      <c r="BM182" s="23">
        <v>5.0000000000000001E-3</v>
      </c>
      <c r="BN182" s="23">
        <v>0</v>
      </c>
      <c r="BO182" s="23">
        <v>0</v>
      </c>
      <c r="BP182" s="23">
        <v>5.0000000000000001E-3</v>
      </c>
      <c r="BQ182" s="23">
        <v>0</v>
      </c>
      <c r="BR182" s="23">
        <v>0.01</v>
      </c>
      <c r="BS182">
        <v>0</v>
      </c>
      <c r="BT182">
        <v>0</v>
      </c>
      <c r="BU182">
        <v>0</v>
      </c>
      <c r="BV182">
        <v>0</v>
      </c>
    </row>
    <row r="183" spans="1:74" x14ac:dyDescent="0.25">
      <c r="A183" s="24"/>
      <c r="B183" s="24">
        <v>3.8519999999999999</v>
      </c>
      <c r="C183" s="138">
        <f t="shared" si="5"/>
        <v>42644</v>
      </c>
      <c r="D183">
        <v>4.2824999999999998</v>
      </c>
      <c r="E183" s="24">
        <v>0.17</v>
      </c>
      <c r="F183" s="23">
        <v>6.1703437331642998E-2</v>
      </c>
      <c r="G183" s="23">
        <v>0</v>
      </c>
      <c r="H183" s="23">
        <v>0</v>
      </c>
      <c r="I183" s="27">
        <v>0</v>
      </c>
      <c r="J183" s="27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0.5</v>
      </c>
      <c r="W183" s="23">
        <v>0.14499999999999999</v>
      </c>
      <c r="X183" s="23">
        <v>0.17499999999999999</v>
      </c>
      <c r="Y183" s="23">
        <v>-5.4999990000000002E-3</v>
      </c>
      <c r="Z183" s="23">
        <v>-4.2000000000000003E-2</v>
      </c>
      <c r="AA183" s="23">
        <v>1.35E-2</v>
      </c>
      <c r="AB183" s="23">
        <v>-1.4999989999999999E-3</v>
      </c>
      <c r="AC183" s="23">
        <v>2.5000000000000001E-3</v>
      </c>
      <c r="AD183" s="23">
        <v>0</v>
      </c>
      <c r="AE183" s="23">
        <v>-7.2499999999999995E-2</v>
      </c>
      <c r="AF183" s="23">
        <v>-4.4999999999999998E-2</v>
      </c>
      <c r="AG183" s="23">
        <v>-6.7500000000000004E-2</v>
      </c>
      <c r="AH183" s="23">
        <v>-9.4999990000000003E-3</v>
      </c>
      <c r="AI183" s="23">
        <v>-7.1999999999999995E-2</v>
      </c>
      <c r="AJ183" s="23">
        <v>0</v>
      </c>
      <c r="AK183" s="23">
        <v>-1.7000000000000001E-2</v>
      </c>
      <c r="AL183" s="23">
        <v>2.3E-2</v>
      </c>
      <c r="AM183" s="23">
        <v>0.4</v>
      </c>
      <c r="AN183" s="23">
        <v>1.2500000000000001E-2</v>
      </c>
      <c r="AO183" s="23">
        <v>0</v>
      </c>
      <c r="AP183" s="23">
        <v>-7.0000000000000007E-2</v>
      </c>
      <c r="AQ183" s="23">
        <v>-0.19500000000000001</v>
      </c>
      <c r="AR183" s="23">
        <v>0</v>
      </c>
      <c r="AS183" s="23">
        <v>-0.37</v>
      </c>
      <c r="AT183" s="23">
        <v>0</v>
      </c>
      <c r="AU183" s="23">
        <v>0.43</v>
      </c>
      <c r="AV183" s="23">
        <v>0</v>
      </c>
      <c r="AW183" s="23">
        <v>-0.1235</v>
      </c>
      <c r="AX183" s="23">
        <v>-0.06</v>
      </c>
      <c r="AY183" s="23">
        <v>-6.3500000000000001E-2</v>
      </c>
      <c r="AZ183" s="23">
        <v>0</v>
      </c>
      <c r="BA183" s="23">
        <v>-6.6000000000000003E-2</v>
      </c>
      <c r="BB183" s="23">
        <v>-9.4999990000000003E-3</v>
      </c>
      <c r="BC183" s="23">
        <v>0</v>
      </c>
      <c r="BD183" s="23">
        <v>-1.7500000000000002E-2</v>
      </c>
      <c r="BE183" s="23">
        <v>-7.2499999999999995E-2</v>
      </c>
      <c r="BF183" s="23">
        <v>0</v>
      </c>
      <c r="BG183" s="23">
        <v>0</v>
      </c>
      <c r="BH183" s="23">
        <v>0</v>
      </c>
      <c r="BI183" s="23">
        <v>0</v>
      </c>
      <c r="BJ183" s="23">
        <v>0.36</v>
      </c>
      <c r="BK183" s="23">
        <v>0</v>
      </c>
      <c r="BL183" s="23">
        <v>-1.4999999999999999E-2</v>
      </c>
      <c r="BM183" s="23">
        <v>5.0000000000000001E-3</v>
      </c>
      <c r="BN183" s="23">
        <v>0</v>
      </c>
      <c r="BO183" s="23">
        <v>0</v>
      </c>
      <c r="BP183" s="23">
        <v>5.0000000000000001E-3</v>
      </c>
      <c r="BQ183" s="23">
        <v>0</v>
      </c>
      <c r="BR183" s="23">
        <v>0.01</v>
      </c>
      <c r="BS183">
        <v>0</v>
      </c>
      <c r="BT183">
        <v>0</v>
      </c>
      <c r="BU183">
        <v>0</v>
      </c>
      <c r="BV183">
        <v>0</v>
      </c>
    </row>
    <row r="184" spans="1:74" x14ac:dyDescent="0.25">
      <c r="A184" s="24"/>
      <c r="B184" s="24">
        <v>3.8360000000000003</v>
      </c>
      <c r="C184" s="138">
        <f t="shared" si="5"/>
        <v>42675</v>
      </c>
      <c r="D184">
        <v>4.4344999999999999</v>
      </c>
      <c r="E184" s="24">
        <v>0.17</v>
      </c>
      <c r="F184" s="23">
        <v>6.17472655720777E-2</v>
      </c>
      <c r="G184" s="23">
        <v>0</v>
      </c>
      <c r="H184" s="23">
        <v>0</v>
      </c>
      <c r="I184" s="27">
        <v>0</v>
      </c>
      <c r="J184" s="27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0.5</v>
      </c>
      <c r="W184" s="23">
        <v>0.19500000000000001</v>
      </c>
      <c r="X184" s="23">
        <v>0.21</v>
      </c>
      <c r="Y184" s="23">
        <v>-2.9999990000000002E-3</v>
      </c>
      <c r="Z184" s="23">
        <v>-2.3E-2</v>
      </c>
      <c r="AA184" s="23">
        <v>1.4500000000000001E-2</v>
      </c>
      <c r="AB184" s="23">
        <v>4.9999999999999405E-4</v>
      </c>
      <c r="AC184" s="23">
        <v>2.5000000000000001E-3</v>
      </c>
      <c r="AD184" s="23">
        <v>0</v>
      </c>
      <c r="AE184" s="23">
        <v>-7.4999999999999997E-2</v>
      </c>
      <c r="AF184" s="23">
        <v>-4.7500000000000001E-2</v>
      </c>
      <c r="AG184" s="23">
        <v>-7.0000000000000007E-2</v>
      </c>
      <c r="AH184" s="23">
        <v>-5.9999989999999998E-3</v>
      </c>
      <c r="AI184" s="23">
        <v>-6.4000000000000001E-2</v>
      </c>
      <c r="AJ184" s="23">
        <v>0</v>
      </c>
      <c r="AK184" s="23">
        <v>-8.9999989999999998E-3</v>
      </c>
      <c r="AL184" s="23">
        <v>3.1E-2</v>
      </c>
      <c r="AM184" s="23">
        <v>0.65</v>
      </c>
      <c r="AN184" s="23">
        <v>-2.2499999999999999E-2</v>
      </c>
      <c r="AO184" s="23">
        <v>0</v>
      </c>
      <c r="AP184" s="23">
        <v>-7.0000000000000007E-2</v>
      </c>
      <c r="AQ184" s="23">
        <v>-0.13</v>
      </c>
      <c r="AR184" s="23">
        <v>0</v>
      </c>
      <c r="AS184" s="23">
        <v>-0.26</v>
      </c>
      <c r="AT184" s="23">
        <v>0</v>
      </c>
      <c r="AU184" s="23">
        <v>0.35</v>
      </c>
      <c r="AV184" s="23">
        <v>0</v>
      </c>
      <c r="AW184" s="23">
        <v>-0.13100000000000001</v>
      </c>
      <c r="AX184" s="23">
        <v>-0.06</v>
      </c>
      <c r="AY184" s="23">
        <v>-7.0999999999999994E-2</v>
      </c>
      <c r="AZ184" s="23">
        <v>0</v>
      </c>
      <c r="BA184" s="23">
        <v>-6.0999999999999999E-2</v>
      </c>
      <c r="BB184" s="23">
        <v>-1.0999999999999999E-2</v>
      </c>
      <c r="BC184" s="23">
        <v>0</v>
      </c>
      <c r="BD184" s="23">
        <v>-5.2499999999999998E-2</v>
      </c>
      <c r="BE184" s="23">
        <v>-7.4999999999999997E-2</v>
      </c>
      <c r="BF184" s="23">
        <v>0</v>
      </c>
      <c r="BG184" s="23">
        <v>0</v>
      </c>
      <c r="BH184" s="23">
        <v>0</v>
      </c>
      <c r="BI184" s="23">
        <v>0</v>
      </c>
      <c r="BJ184" s="23">
        <v>0.46</v>
      </c>
      <c r="BK184" s="23">
        <v>0</v>
      </c>
      <c r="BL184" s="23">
        <v>-0.02</v>
      </c>
      <c r="BM184" s="23">
        <v>5.0000000000000001E-3</v>
      </c>
      <c r="BN184" s="23">
        <v>0</v>
      </c>
      <c r="BO184" s="23">
        <v>0</v>
      </c>
      <c r="BP184" s="23">
        <v>5.0000000000000001E-3</v>
      </c>
      <c r="BQ184" s="23">
        <v>0</v>
      </c>
      <c r="BR184" s="23">
        <v>5.5E-2</v>
      </c>
      <c r="BS184">
        <v>0</v>
      </c>
      <c r="BT184">
        <v>0</v>
      </c>
      <c r="BU184">
        <v>0</v>
      </c>
      <c r="BV184">
        <v>0</v>
      </c>
    </row>
    <row r="185" spans="1:74" x14ac:dyDescent="0.25">
      <c r="A185" s="24"/>
      <c r="B185" s="24">
        <v>3.8280000000000003</v>
      </c>
      <c r="C185" s="138">
        <f t="shared" si="5"/>
        <v>42705</v>
      </c>
      <c r="D185">
        <v>4.5774999999999997</v>
      </c>
      <c r="E185" s="24">
        <v>0.17</v>
      </c>
      <c r="F185" s="23">
        <v>6.1789679998911502E-2</v>
      </c>
      <c r="G185" s="23">
        <v>0</v>
      </c>
      <c r="H185" s="23">
        <v>0</v>
      </c>
      <c r="I185" s="27">
        <v>0</v>
      </c>
      <c r="J185" s="27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0.5</v>
      </c>
      <c r="W185" s="23">
        <v>0.215</v>
      </c>
      <c r="X185" s="23">
        <v>0.28999999999999998</v>
      </c>
      <c r="Y185" s="23">
        <v>-2.9999990000000002E-3</v>
      </c>
      <c r="Z185" s="23">
        <v>-2.3E-2</v>
      </c>
      <c r="AA185" s="23">
        <v>1.4500000000000001E-2</v>
      </c>
      <c r="AB185" s="23">
        <v>4.9999999999999405E-4</v>
      </c>
      <c r="AC185" s="23">
        <v>2.5000000000000001E-3</v>
      </c>
      <c r="AD185" s="23">
        <v>0</v>
      </c>
      <c r="AE185" s="23">
        <v>-7.4999999999999997E-2</v>
      </c>
      <c r="AF185" s="23">
        <v>-4.5499999999999999E-2</v>
      </c>
      <c r="AG185" s="23">
        <v>-6.8000000000000005E-2</v>
      </c>
      <c r="AH185" s="23">
        <v>-3.4999990000000002E-3</v>
      </c>
      <c r="AI185" s="23">
        <v>-6.4000000000000001E-2</v>
      </c>
      <c r="AJ185" s="23">
        <v>0</v>
      </c>
      <c r="AK185" s="23">
        <v>-8.9999989999999998E-3</v>
      </c>
      <c r="AL185" s="23">
        <v>3.1E-2</v>
      </c>
      <c r="AM185" s="23">
        <v>0.98</v>
      </c>
      <c r="AN185" s="23">
        <v>-4.4999999999999998E-2</v>
      </c>
      <c r="AO185" s="23">
        <v>0</v>
      </c>
      <c r="AP185" s="23">
        <v>-7.0000000000000007E-2</v>
      </c>
      <c r="AQ185" s="23">
        <v>-0.13</v>
      </c>
      <c r="AR185" s="23">
        <v>0</v>
      </c>
      <c r="AS185" s="23">
        <v>-0.26</v>
      </c>
      <c r="AT185" s="23">
        <v>0</v>
      </c>
      <c r="AU185" s="23">
        <v>0.35</v>
      </c>
      <c r="AV185" s="23">
        <v>0</v>
      </c>
      <c r="AW185" s="23">
        <v>-0.1585</v>
      </c>
      <c r="AX185" s="23">
        <v>-0.06</v>
      </c>
      <c r="AY185" s="23">
        <v>-9.8500000000000004E-2</v>
      </c>
      <c r="AZ185" s="23">
        <v>0</v>
      </c>
      <c r="BA185" s="23">
        <v>-8.8499999999999995E-2</v>
      </c>
      <c r="BB185" s="23">
        <v>-8.4999989999999994E-3</v>
      </c>
      <c r="BC185" s="23">
        <v>0</v>
      </c>
      <c r="BD185" s="23">
        <v>-7.4999999999999997E-2</v>
      </c>
      <c r="BE185" s="23">
        <v>-7.4999999999999997E-2</v>
      </c>
      <c r="BF185" s="23">
        <v>0</v>
      </c>
      <c r="BG185" s="23">
        <v>0</v>
      </c>
      <c r="BH185" s="23">
        <v>0</v>
      </c>
      <c r="BI185" s="23">
        <v>0</v>
      </c>
      <c r="BJ185" s="23">
        <v>0.77</v>
      </c>
      <c r="BK185" s="23">
        <v>0</v>
      </c>
      <c r="BL185" s="23">
        <v>-2.5000000000000001E-2</v>
      </c>
      <c r="BM185" s="23">
        <v>5.0000000000000001E-3</v>
      </c>
      <c r="BN185" s="23">
        <v>0</v>
      </c>
      <c r="BO185" s="23">
        <v>0</v>
      </c>
      <c r="BP185" s="23">
        <v>5.0000000000000001E-3</v>
      </c>
      <c r="BQ185" s="23">
        <v>0</v>
      </c>
      <c r="BR185" s="23">
        <v>0.25</v>
      </c>
      <c r="BS185">
        <v>0</v>
      </c>
      <c r="BT185">
        <v>0</v>
      </c>
      <c r="BU185">
        <v>0</v>
      </c>
      <c r="BV185">
        <v>0</v>
      </c>
    </row>
    <row r="186" spans="1:74" x14ac:dyDescent="0.25">
      <c r="A186" s="24"/>
      <c r="B186" s="24">
        <v>3.8930000000000002</v>
      </c>
      <c r="C186" s="138">
        <f t="shared" si="5"/>
        <v>42736</v>
      </c>
      <c r="D186">
        <v>4.6375000000000002</v>
      </c>
      <c r="E186" s="24">
        <v>0.17</v>
      </c>
      <c r="F186" s="23">
        <v>6.1833508240600701E-2</v>
      </c>
      <c r="G186" s="23">
        <v>0</v>
      </c>
      <c r="H186" s="23">
        <v>0</v>
      </c>
      <c r="I186" s="27">
        <v>0</v>
      </c>
      <c r="J186" s="27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0.5</v>
      </c>
      <c r="W186" s="23">
        <v>0.23499999999999999</v>
      </c>
      <c r="X186" s="23">
        <v>0.34</v>
      </c>
      <c r="Y186" s="23">
        <v>9.9999999999999395E-4</v>
      </c>
      <c r="Z186" s="23">
        <v>-2.3E-2</v>
      </c>
      <c r="AA186" s="23">
        <v>1.4500000000000001E-2</v>
      </c>
      <c r="AB186" s="23">
        <v>4.9999999999999405E-4</v>
      </c>
      <c r="AC186" s="23">
        <v>2.5000000000000001E-3</v>
      </c>
      <c r="AD186" s="23">
        <v>0</v>
      </c>
      <c r="AE186" s="23">
        <v>-7.4999999999999997E-2</v>
      </c>
      <c r="AF186" s="23">
        <v>-4.5499999999999999E-2</v>
      </c>
      <c r="AG186" s="23">
        <v>-6.8000000000000005E-2</v>
      </c>
      <c r="AH186" s="23">
        <v>-3.4999990000000002E-3</v>
      </c>
      <c r="AI186" s="23">
        <v>-6.4000000000000001E-2</v>
      </c>
      <c r="AJ186" s="23">
        <v>0</v>
      </c>
      <c r="AK186" s="23">
        <v>-8.9999989999999998E-3</v>
      </c>
      <c r="AL186" s="23">
        <v>3.1E-2</v>
      </c>
      <c r="AM186" s="23">
        <v>1.6</v>
      </c>
      <c r="AN186" s="23">
        <v>-4.7500000000000001E-2</v>
      </c>
      <c r="AO186" s="23">
        <v>0</v>
      </c>
      <c r="AP186" s="23">
        <v>-7.0000000000000007E-2</v>
      </c>
      <c r="AQ186" s="23">
        <v>-0.13</v>
      </c>
      <c r="AR186" s="23">
        <v>0</v>
      </c>
      <c r="AS186" s="23">
        <v>-0.26</v>
      </c>
      <c r="AT186" s="23">
        <v>0</v>
      </c>
      <c r="AU186" s="23">
        <v>0.35</v>
      </c>
      <c r="AV186" s="23">
        <v>0</v>
      </c>
      <c r="AW186" s="23">
        <v>-0.17349999999999999</v>
      </c>
      <c r="AX186" s="23">
        <v>-0.06</v>
      </c>
      <c r="AY186" s="23">
        <v>-0.1135</v>
      </c>
      <c r="AZ186" s="23">
        <v>0</v>
      </c>
      <c r="BA186" s="23">
        <v>-8.8999999999999996E-2</v>
      </c>
      <c r="BB186" s="23">
        <v>-8.4999989999999994E-3</v>
      </c>
      <c r="BC186" s="23">
        <v>0</v>
      </c>
      <c r="BD186" s="23">
        <v>-7.7499999999999999E-2</v>
      </c>
      <c r="BE186" s="23">
        <v>-7.4999999999999997E-2</v>
      </c>
      <c r="BF186" s="23">
        <v>0</v>
      </c>
      <c r="BG186" s="23">
        <v>0</v>
      </c>
      <c r="BH186" s="23">
        <v>0</v>
      </c>
      <c r="BI186" s="23">
        <v>0</v>
      </c>
      <c r="BJ186" s="23">
        <v>1.04</v>
      </c>
      <c r="BK186" s="23">
        <v>0</v>
      </c>
      <c r="BL186" s="23">
        <v>-2.5000000000000001E-2</v>
      </c>
      <c r="BM186" s="23">
        <v>5.0000000000000001E-3</v>
      </c>
      <c r="BN186" s="23">
        <v>0</v>
      </c>
      <c r="BO186" s="23">
        <v>0</v>
      </c>
      <c r="BP186" s="23">
        <v>5.0000000000000001E-3</v>
      </c>
      <c r="BQ186" s="23">
        <v>0</v>
      </c>
      <c r="BR186" s="23">
        <v>0.45</v>
      </c>
      <c r="BS186">
        <v>0</v>
      </c>
      <c r="BT186">
        <v>0</v>
      </c>
      <c r="BU186">
        <v>0</v>
      </c>
      <c r="BV186">
        <v>0</v>
      </c>
    </row>
    <row r="187" spans="1:74" x14ac:dyDescent="0.25">
      <c r="A187" s="24"/>
      <c r="B187" s="24">
        <v>3.8880000000000003</v>
      </c>
      <c r="C187" s="138">
        <f t="shared" si="5"/>
        <v>42767</v>
      </c>
      <c r="D187">
        <v>4.5525000000000002</v>
      </c>
      <c r="E187" s="24">
        <v>0.17</v>
      </c>
      <c r="F187" s="23">
        <v>6.18773364829273E-2</v>
      </c>
      <c r="G187" s="23">
        <v>0</v>
      </c>
      <c r="H187" s="23">
        <v>0</v>
      </c>
      <c r="I187" s="27">
        <v>0</v>
      </c>
      <c r="J187" s="27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0.5</v>
      </c>
      <c r="W187" s="23">
        <v>0.23499999999999999</v>
      </c>
      <c r="X187" s="23">
        <v>0.34</v>
      </c>
      <c r="Y187" s="23">
        <v>9.9999999999999395E-4</v>
      </c>
      <c r="Z187" s="23">
        <v>-2.3E-2</v>
      </c>
      <c r="AA187" s="23">
        <v>1.4500000000000001E-2</v>
      </c>
      <c r="AB187" s="23">
        <v>4.9999999999999405E-4</v>
      </c>
      <c r="AC187" s="23">
        <v>2.5000000000000001E-3</v>
      </c>
      <c r="AD187" s="23">
        <v>0</v>
      </c>
      <c r="AE187" s="23">
        <v>-7.4999999999999997E-2</v>
      </c>
      <c r="AF187" s="23">
        <v>-4.5499999999999999E-2</v>
      </c>
      <c r="AG187" s="23">
        <v>-6.8000000000000005E-2</v>
      </c>
      <c r="AH187" s="23">
        <v>-3.4999990000000002E-3</v>
      </c>
      <c r="AI187" s="23">
        <v>-6.4000000000000001E-2</v>
      </c>
      <c r="AJ187" s="23">
        <v>0</v>
      </c>
      <c r="AK187" s="23">
        <v>-8.9999989999999998E-3</v>
      </c>
      <c r="AL187" s="23">
        <v>3.1E-2</v>
      </c>
      <c r="AM187" s="23">
        <v>1.6</v>
      </c>
      <c r="AN187" s="23">
        <v>-0.03</v>
      </c>
      <c r="AO187" s="23">
        <v>0</v>
      </c>
      <c r="AP187" s="23">
        <v>-7.0000000000000007E-2</v>
      </c>
      <c r="AQ187" s="23">
        <v>-0.13</v>
      </c>
      <c r="AR187" s="23">
        <v>0</v>
      </c>
      <c r="AS187" s="23">
        <v>-0.26</v>
      </c>
      <c r="AT187" s="23">
        <v>0</v>
      </c>
      <c r="AU187" s="23">
        <v>0.35</v>
      </c>
      <c r="AV187" s="23">
        <v>0</v>
      </c>
      <c r="AW187" s="23">
        <v>-0.16350000000000001</v>
      </c>
      <c r="AX187" s="23">
        <v>-0.06</v>
      </c>
      <c r="AY187" s="23">
        <v>-0.10349999999999999</v>
      </c>
      <c r="AZ187" s="23">
        <v>0</v>
      </c>
      <c r="BA187" s="23">
        <v>-8.8999999999999996E-2</v>
      </c>
      <c r="BB187" s="23">
        <v>-8.4999989999999994E-3</v>
      </c>
      <c r="BC187" s="23">
        <v>0</v>
      </c>
      <c r="BD187" s="23">
        <v>-0.06</v>
      </c>
      <c r="BE187" s="23">
        <v>-7.4999999999999997E-2</v>
      </c>
      <c r="BF187" s="23">
        <v>0</v>
      </c>
      <c r="BG187" s="23">
        <v>0</v>
      </c>
      <c r="BH187" s="23">
        <v>0</v>
      </c>
      <c r="BI187" s="23">
        <v>0</v>
      </c>
      <c r="BJ187" s="23">
        <v>1.04</v>
      </c>
      <c r="BK187" s="23">
        <v>0</v>
      </c>
      <c r="BL187" s="23">
        <v>-2.5000000000000001E-2</v>
      </c>
      <c r="BM187" s="23">
        <v>5.0000000000000001E-3</v>
      </c>
      <c r="BN187" s="23">
        <v>0</v>
      </c>
      <c r="BO187" s="23">
        <v>0</v>
      </c>
      <c r="BP187" s="23">
        <v>5.0000000000000001E-3</v>
      </c>
      <c r="BQ187" s="23">
        <v>0</v>
      </c>
      <c r="BR187" s="23">
        <v>0.45</v>
      </c>
      <c r="BS187">
        <v>0</v>
      </c>
      <c r="BT187">
        <v>0</v>
      </c>
      <c r="BU187">
        <v>0</v>
      </c>
      <c r="BV187">
        <v>0</v>
      </c>
    </row>
    <row r="188" spans="1:74" x14ac:dyDescent="0.25">
      <c r="A188" s="24"/>
      <c r="B188" s="24">
        <v>3.8660000000000001</v>
      </c>
      <c r="C188" s="138">
        <f t="shared" si="5"/>
        <v>42795</v>
      </c>
      <c r="D188">
        <v>4.4225000000000003</v>
      </c>
      <c r="E188" s="24">
        <v>0.17</v>
      </c>
      <c r="F188" s="23">
        <v>6.1916923282996798E-2</v>
      </c>
      <c r="G188" s="23">
        <v>0</v>
      </c>
      <c r="H188" s="23">
        <v>0</v>
      </c>
      <c r="I188" s="27">
        <v>0</v>
      </c>
      <c r="J188" s="27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0.5</v>
      </c>
      <c r="W188" s="23">
        <v>0.19500000000000001</v>
      </c>
      <c r="X188" s="23">
        <v>0.28999999999999998</v>
      </c>
      <c r="Y188" s="23">
        <v>0</v>
      </c>
      <c r="Z188" s="23">
        <v>-2.3E-2</v>
      </c>
      <c r="AA188" s="23">
        <v>2.1999999999999999E-2</v>
      </c>
      <c r="AB188" s="23">
        <v>7.0000000000000001E-3</v>
      </c>
      <c r="AC188" s="23">
        <v>0</v>
      </c>
      <c r="AD188" s="23">
        <v>0</v>
      </c>
      <c r="AE188" s="23">
        <v>-4.5499999999999999E-2</v>
      </c>
      <c r="AF188" s="23">
        <v>-4.5499999999999999E-2</v>
      </c>
      <c r="AG188" s="23">
        <v>-6.8000000000000005E-2</v>
      </c>
      <c r="AH188" s="23">
        <v>0</v>
      </c>
      <c r="AI188" s="23">
        <v>-6.4000000000000001E-2</v>
      </c>
      <c r="AJ188" s="23">
        <v>0</v>
      </c>
      <c r="AK188" s="23">
        <v>-8.9999989999999998E-3</v>
      </c>
      <c r="AL188" s="23">
        <v>3.1E-2</v>
      </c>
      <c r="AM188" s="23">
        <v>0.64</v>
      </c>
      <c r="AN188" s="23">
        <v>-1.7500000000000002E-2</v>
      </c>
      <c r="AO188" s="23">
        <v>0</v>
      </c>
      <c r="AP188" s="23">
        <v>-7.0000000000000007E-2</v>
      </c>
      <c r="AQ188" s="23">
        <v>-0.13</v>
      </c>
      <c r="AR188" s="23">
        <v>0</v>
      </c>
      <c r="AS188" s="23">
        <v>-0.26</v>
      </c>
      <c r="AT188" s="23">
        <v>0</v>
      </c>
      <c r="AU188" s="23">
        <v>0.35</v>
      </c>
      <c r="AV188" s="23">
        <v>0</v>
      </c>
      <c r="AW188" s="23">
        <v>-0.1535</v>
      </c>
      <c r="AX188" s="23">
        <v>-0.06</v>
      </c>
      <c r="AY188" s="23">
        <v>-9.35E-2</v>
      </c>
      <c r="AZ188" s="23">
        <v>0</v>
      </c>
      <c r="BA188" s="23">
        <v>0</v>
      </c>
      <c r="BB188" s="23">
        <v>0</v>
      </c>
      <c r="BC188" s="23">
        <v>0</v>
      </c>
      <c r="BD188" s="23">
        <v>-4.7500000000000001E-2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0.54</v>
      </c>
      <c r="BK188" s="23">
        <v>0</v>
      </c>
      <c r="BL188" s="23">
        <v>-0.02</v>
      </c>
      <c r="BM188" s="23">
        <v>5.0000000000000001E-3</v>
      </c>
      <c r="BN188" s="23">
        <v>0</v>
      </c>
      <c r="BO188" s="23">
        <v>0</v>
      </c>
      <c r="BP188" s="23">
        <v>5.0000000000000001E-3</v>
      </c>
      <c r="BQ188" s="23">
        <v>0</v>
      </c>
      <c r="BR188" s="23">
        <v>0.1</v>
      </c>
      <c r="BS188">
        <v>0</v>
      </c>
      <c r="BT188">
        <v>0</v>
      </c>
      <c r="BU188">
        <v>0</v>
      </c>
      <c r="BV188">
        <v>0</v>
      </c>
    </row>
    <row r="189" spans="1:74" x14ac:dyDescent="0.25">
      <c r="A189" s="24"/>
      <c r="B189" s="24">
        <v>3.8719999999999999</v>
      </c>
      <c r="C189" s="138">
        <f t="shared" si="5"/>
        <v>42826</v>
      </c>
      <c r="D189">
        <v>4.2374999999999998</v>
      </c>
      <c r="E189" s="24">
        <v>0.17</v>
      </c>
      <c r="F189" s="23">
        <v>6.1960751526537003E-2</v>
      </c>
      <c r="G189" s="23">
        <v>0</v>
      </c>
      <c r="H189" s="23">
        <v>0</v>
      </c>
      <c r="I189" s="27">
        <v>0</v>
      </c>
      <c r="J189" s="27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0.5</v>
      </c>
      <c r="W189" s="23">
        <v>0.14499999999999999</v>
      </c>
      <c r="X189" s="23">
        <v>0.19500000000000001</v>
      </c>
      <c r="Y189" s="23">
        <v>0</v>
      </c>
      <c r="Z189" s="23">
        <v>-3.7999999999999999E-2</v>
      </c>
      <c r="AA189" s="23">
        <v>2.1999999999999999E-2</v>
      </c>
      <c r="AB189" s="23">
        <v>7.0000000000000001E-3</v>
      </c>
      <c r="AC189" s="23">
        <v>0</v>
      </c>
      <c r="AD189" s="23">
        <v>0</v>
      </c>
      <c r="AE189" s="23">
        <v>-4.2999999999999997E-2</v>
      </c>
      <c r="AF189" s="23">
        <v>-4.2999999999999997E-2</v>
      </c>
      <c r="AG189" s="23">
        <v>-6.5500000000000003E-2</v>
      </c>
      <c r="AH189" s="23">
        <v>0</v>
      </c>
      <c r="AI189" s="23">
        <v>-7.1999999999999995E-2</v>
      </c>
      <c r="AJ189" s="23">
        <v>0</v>
      </c>
      <c r="AK189" s="23">
        <v>-1.7000000000000001E-2</v>
      </c>
      <c r="AL189" s="23">
        <v>2.3E-2</v>
      </c>
      <c r="AM189" s="23">
        <v>0.38</v>
      </c>
      <c r="AN189" s="23">
        <v>0.02</v>
      </c>
      <c r="AO189" s="23">
        <v>0</v>
      </c>
      <c r="AP189" s="23">
        <v>-7.0000000000000007E-2</v>
      </c>
      <c r="AQ189" s="23">
        <v>-0.19500000000000001</v>
      </c>
      <c r="AR189" s="23">
        <v>0</v>
      </c>
      <c r="AS189" s="23">
        <v>-0.37</v>
      </c>
      <c r="AT189" s="23">
        <v>0</v>
      </c>
      <c r="AU189" s="23">
        <v>0.43</v>
      </c>
      <c r="AV189" s="23">
        <v>0</v>
      </c>
      <c r="AW189" s="23">
        <v>-0.19400000000000001</v>
      </c>
      <c r="AX189" s="23">
        <v>-0.06</v>
      </c>
      <c r="AY189" s="23">
        <v>-0.13400000000000001</v>
      </c>
      <c r="AZ189" s="23">
        <v>0</v>
      </c>
      <c r="BA189" s="23">
        <v>0</v>
      </c>
      <c r="BB189" s="23">
        <v>0</v>
      </c>
      <c r="BC189" s="23">
        <v>0</v>
      </c>
      <c r="BD189" s="23">
        <v>-0.01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0.36</v>
      </c>
      <c r="BK189" s="23">
        <v>0</v>
      </c>
      <c r="BL189" s="23">
        <v>-1.4999999999999999E-2</v>
      </c>
      <c r="BM189" s="23">
        <v>5.0000000000000001E-3</v>
      </c>
      <c r="BN189" s="23">
        <v>0</v>
      </c>
      <c r="BO189" s="23">
        <v>0</v>
      </c>
      <c r="BP189" s="23">
        <v>5.0000000000000001E-3</v>
      </c>
      <c r="BQ189" s="23">
        <v>0</v>
      </c>
      <c r="BR189" s="23">
        <v>0.02</v>
      </c>
      <c r="BS189">
        <v>0</v>
      </c>
      <c r="BT189">
        <v>0</v>
      </c>
      <c r="BU189">
        <v>0</v>
      </c>
      <c r="BV189">
        <v>0</v>
      </c>
    </row>
    <row r="190" spans="1:74" x14ac:dyDescent="0.25">
      <c r="A190" s="24"/>
      <c r="B190" s="24">
        <v>3.9240000000000004</v>
      </c>
      <c r="C190" s="138">
        <f t="shared" si="5"/>
        <v>42856</v>
      </c>
      <c r="D190">
        <v>4.2324999999999999</v>
      </c>
      <c r="E190" s="24">
        <v>0.17</v>
      </c>
      <c r="F190" s="23">
        <v>6.20031659563769E-2</v>
      </c>
      <c r="G190" s="23">
        <v>0</v>
      </c>
      <c r="H190" s="23">
        <v>0</v>
      </c>
      <c r="I190" s="27">
        <v>0</v>
      </c>
      <c r="J190" s="27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0.5</v>
      </c>
      <c r="W190" s="23">
        <v>0.125</v>
      </c>
      <c r="X190" s="23">
        <v>0.13500000000000001</v>
      </c>
      <c r="Y190" s="23">
        <v>0</v>
      </c>
      <c r="Z190" s="23">
        <v>-3.7999999999999999E-2</v>
      </c>
      <c r="AA190" s="23">
        <v>2.4500000000000001E-2</v>
      </c>
      <c r="AB190" s="23">
        <v>9.4999999999999998E-3</v>
      </c>
      <c r="AC190" s="23">
        <v>0</v>
      </c>
      <c r="AD190" s="23">
        <v>0</v>
      </c>
      <c r="AE190" s="23">
        <v>-4.2999999999999997E-2</v>
      </c>
      <c r="AF190" s="23">
        <v>-4.2999999999999997E-2</v>
      </c>
      <c r="AG190" s="23">
        <v>-6.5500000000000003E-2</v>
      </c>
      <c r="AH190" s="23">
        <v>0</v>
      </c>
      <c r="AI190" s="23">
        <v>-7.1999999999999995E-2</v>
      </c>
      <c r="AJ190" s="23">
        <v>0</v>
      </c>
      <c r="AK190" s="23">
        <v>-1.7000000000000001E-2</v>
      </c>
      <c r="AL190" s="23">
        <v>2.3E-2</v>
      </c>
      <c r="AM190" s="23">
        <v>0.33</v>
      </c>
      <c r="AN190" s="23">
        <v>0.02</v>
      </c>
      <c r="AO190" s="23">
        <v>0</v>
      </c>
      <c r="AP190" s="23">
        <v>-7.0000000000000007E-2</v>
      </c>
      <c r="AQ190" s="23">
        <v>-0.19500000000000001</v>
      </c>
      <c r="AR190" s="23">
        <v>0</v>
      </c>
      <c r="AS190" s="23">
        <v>-0.37</v>
      </c>
      <c r="AT190" s="23">
        <v>0</v>
      </c>
      <c r="AU190" s="23">
        <v>0.43</v>
      </c>
      <c r="AV190" s="23">
        <v>0</v>
      </c>
      <c r="AW190" s="23">
        <v>-0.17150000000000001</v>
      </c>
      <c r="AX190" s="23">
        <v>-0.06</v>
      </c>
      <c r="AY190" s="23">
        <v>-0.1115</v>
      </c>
      <c r="AZ190" s="23">
        <v>0</v>
      </c>
      <c r="BA190" s="23">
        <v>0</v>
      </c>
      <c r="BB190" s="23">
        <v>0</v>
      </c>
      <c r="BC190" s="23">
        <v>0</v>
      </c>
      <c r="BD190" s="23">
        <v>-0.01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0.32500000000000001</v>
      </c>
      <c r="BK190" s="23">
        <v>0</v>
      </c>
      <c r="BL190" s="23">
        <v>-1.4999999999999999E-2</v>
      </c>
      <c r="BM190" s="23">
        <v>5.0000000000000001E-3</v>
      </c>
      <c r="BN190" s="23">
        <v>0</v>
      </c>
      <c r="BO190" s="23">
        <v>0</v>
      </c>
      <c r="BP190" s="23">
        <v>5.0000000000000001E-3</v>
      </c>
      <c r="BQ190" s="23">
        <v>0</v>
      </c>
      <c r="BR190" s="23">
        <v>0.02</v>
      </c>
      <c r="BS190">
        <v>0</v>
      </c>
      <c r="BT190">
        <v>0</v>
      </c>
      <c r="BU190">
        <v>0</v>
      </c>
      <c r="BV190">
        <v>0</v>
      </c>
    </row>
    <row r="191" spans="1:74" x14ac:dyDescent="0.25">
      <c r="A191" s="24"/>
      <c r="B191" s="24">
        <v>3.9969999999999999</v>
      </c>
      <c r="C191" s="138">
        <f t="shared" si="5"/>
        <v>42887</v>
      </c>
      <c r="D191">
        <v>4.2675000000000001</v>
      </c>
      <c r="E191" s="24">
        <v>0.17</v>
      </c>
      <c r="F191" s="23">
        <v>6.2046994201172101E-2</v>
      </c>
      <c r="G191" s="23">
        <v>0</v>
      </c>
      <c r="H191" s="23">
        <v>0</v>
      </c>
      <c r="I191" s="27">
        <v>0</v>
      </c>
      <c r="J191" s="27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98">
        <v>0</v>
      </c>
      <c r="V191" s="23">
        <v>0.5</v>
      </c>
      <c r="W191" s="23">
        <v>0.14499999999999999</v>
      </c>
      <c r="X191" s="23">
        <v>0.16500000000000001</v>
      </c>
      <c r="Y191" s="23">
        <v>0</v>
      </c>
      <c r="Z191" s="23">
        <v>-3.5499999999999997E-2</v>
      </c>
      <c r="AA191" s="23">
        <v>2.4500000000000001E-2</v>
      </c>
      <c r="AB191" s="23">
        <v>9.4999999999999998E-3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98">
        <v>0</v>
      </c>
      <c r="AK191" s="23">
        <v>0</v>
      </c>
      <c r="AL191" s="23">
        <v>0</v>
      </c>
      <c r="AM191" s="23">
        <v>0.37</v>
      </c>
      <c r="AN191" s="23">
        <v>2.5000000000000001E-2</v>
      </c>
      <c r="AO191" s="23">
        <v>0</v>
      </c>
      <c r="AP191" s="23">
        <v>-7.0000000000000007E-2</v>
      </c>
      <c r="AQ191" s="23">
        <v>-0.19500000000000001</v>
      </c>
      <c r="AR191" s="23">
        <v>0</v>
      </c>
      <c r="AS191" s="23">
        <v>-0.37</v>
      </c>
      <c r="AT191" s="23">
        <v>0</v>
      </c>
      <c r="AU191" s="23">
        <v>0.43</v>
      </c>
      <c r="AV191" s="23">
        <v>0</v>
      </c>
      <c r="AW191" s="23">
        <v>-0.06</v>
      </c>
      <c r="AX191" s="23">
        <v>-0.06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-5.0000000000000001E-3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0.33500000000000002</v>
      </c>
      <c r="BK191" s="23">
        <v>0</v>
      </c>
      <c r="BL191" s="23">
        <v>-1.4999999999999999E-2</v>
      </c>
      <c r="BM191" s="23">
        <v>5.0000000000000001E-3</v>
      </c>
      <c r="BN191" s="23">
        <v>0</v>
      </c>
      <c r="BO191" s="23">
        <v>0</v>
      </c>
      <c r="BP191" s="23">
        <v>5.0000000000000001E-3</v>
      </c>
      <c r="BQ191" s="23">
        <v>0</v>
      </c>
      <c r="BR191" s="23">
        <v>3.5000000000000003E-2</v>
      </c>
      <c r="BS191">
        <v>0</v>
      </c>
      <c r="BT191">
        <v>0</v>
      </c>
      <c r="BU191">
        <v>0</v>
      </c>
      <c r="BV191">
        <v>0</v>
      </c>
    </row>
    <row r="192" spans="1:74" x14ac:dyDescent="0.25">
      <c r="A192" s="24"/>
      <c r="B192" s="24">
        <v>4.2690000000000001</v>
      </c>
      <c r="C192" s="138">
        <f t="shared" si="5"/>
        <v>42917</v>
      </c>
      <c r="D192">
        <v>4.3075000000000001</v>
      </c>
      <c r="E192" s="24">
        <v>0.17</v>
      </c>
      <c r="F192" s="23">
        <v>6.2089408632226603E-2</v>
      </c>
      <c r="G192" s="23">
        <v>0</v>
      </c>
      <c r="H192" s="23">
        <v>0</v>
      </c>
      <c r="I192" s="27">
        <v>0</v>
      </c>
      <c r="J192" s="27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0.5</v>
      </c>
      <c r="W192" s="23">
        <v>0.15</v>
      </c>
      <c r="X192" s="23">
        <v>0.20499999999999999</v>
      </c>
      <c r="Y192" s="23">
        <v>0</v>
      </c>
      <c r="Z192" s="23">
        <v>-3.5499999999999997E-2</v>
      </c>
      <c r="AA192" s="23">
        <v>2.4500000000000001E-2</v>
      </c>
      <c r="AB192" s="23">
        <v>9.4999999999999998E-3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0.41</v>
      </c>
      <c r="AN192" s="23">
        <v>2.75E-2</v>
      </c>
      <c r="AO192" s="23">
        <v>0</v>
      </c>
      <c r="AP192" s="23">
        <v>-7.0000000000000007E-2</v>
      </c>
      <c r="AQ192" s="23">
        <v>-0.19500000000000001</v>
      </c>
      <c r="AR192" s="23">
        <v>0</v>
      </c>
      <c r="AS192" s="23">
        <v>-0.37</v>
      </c>
      <c r="AT192" s="23">
        <v>0</v>
      </c>
      <c r="AU192" s="23">
        <v>0.43</v>
      </c>
      <c r="AV192" s="23">
        <v>0</v>
      </c>
      <c r="AW192" s="23">
        <v>-0.06</v>
      </c>
      <c r="AX192" s="23">
        <v>-0.06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-2.5000000000000001E-3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0.35</v>
      </c>
      <c r="BK192" s="23">
        <v>0</v>
      </c>
      <c r="BL192" s="23">
        <v>-0.01</v>
      </c>
      <c r="BM192" s="23">
        <v>5.0000000000000001E-3</v>
      </c>
      <c r="BN192" s="23">
        <v>0</v>
      </c>
      <c r="BO192" s="23">
        <v>0</v>
      </c>
      <c r="BP192" s="23">
        <v>5.0000000000000001E-3</v>
      </c>
      <c r="BQ192" s="23">
        <v>0</v>
      </c>
      <c r="BR192" s="23">
        <v>3.5000000000000003E-2</v>
      </c>
      <c r="BS192">
        <v>0</v>
      </c>
      <c r="BT192">
        <v>0</v>
      </c>
      <c r="BU192">
        <v>0</v>
      </c>
      <c r="BV192">
        <v>0</v>
      </c>
    </row>
    <row r="193" spans="1:74" x14ac:dyDescent="0.25">
      <c r="A193" s="24"/>
      <c r="B193" s="24">
        <v>4.1940000000000008</v>
      </c>
      <c r="C193" s="138">
        <f t="shared" si="5"/>
        <v>42948</v>
      </c>
      <c r="D193">
        <v>4.3475000000000001</v>
      </c>
      <c r="E193" s="24">
        <v>0.17</v>
      </c>
      <c r="F193" s="23">
        <v>6.2133236878275898E-2</v>
      </c>
      <c r="G193" s="23">
        <v>0</v>
      </c>
      <c r="H193" s="23">
        <v>0</v>
      </c>
      <c r="I193" s="27">
        <v>0</v>
      </c>
      <c r="J193" s="27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0.5</v>
      </c>
      <c r="W193" s="23">
        <v>0.15</v>
      </c>
      <c r="X193" s="23">
        <v>0.20499999999999999</v>
      </c>
      <c r="Y193" s="23">
        <v>0</v>
      </c>
      <c r="Z193" s="23">
        <v>-3.5499999999999997E-2</v>
      </c>
      <c r="AA193" s="23">
        <v>1.95E-2</v>
      </c>
      <c r="AB193" s="23">
        <v>4.4999999999999997E-3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0.41</v>
      </c>
      <c r="AN193" s="23">
        <v>0.03</v>
      </c>
      <c r="AO193" s="23">
        <v>0</v>
      </c>
      <c r="AP193" s="23">
        <v>-7.0000000000000007E-2</v>
      </c>
      <c r="AQ193" s="23">
        <v>-0.19500000000000001</v>
      </c>
      <c r="AR193" s="23">
        <v>0</v>
      </c>
      <c r="AS193" s="23">
        <v>-0.37</v>
      </c>
      <c r="AT193" s="23">
        <v>0</v>
      </c>
      <c r="AU193" s="23">
        <v>0.43</v>
      </c>
      <c r="AV193" s="23">
        <v>0</v>
      </c>
      <c r="AW193" s="23">
        <v>-0.06</v>
      </c>
      <c r="AX193" s="23">
        <v>-0.06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0.35</v>
      </c>
      <c r="BK193" s="23">
        <v>0</v>
      </c>
      <c r="BL193" s="23">
        <v>-0.01</v>
      </c>
      <c r="BM193" s="23">
        <v>5.0000000000000001E-3</v>
      </c>
      <c r="BN193" s="23">
        <v>0</v>
      </c>
      <c r="BO193" s="23">
        <v>0</v>
      </c>
      <c r="BP193" s="23">
        <v>5.0000000000000001E-3</v>
      </c>
      <c r="BQ193" s="23">
        <v>0</v>
      </c>
      <c r="BR193" s="23">
        <v>0.01</v>
      </c>
      <c r="BS193">
        <v>0</v>
      </c>
      <c r="BT193">
        <v>0</v>
      </c>
      <c r="BU193">
        <v>0</v>
      </c>
      <c r="BV193">
        <v>0</v>
      </c>
    </row>
    <row r="194" spans="1:74" x14ac:dyDescent="0.25">
      <c r="A194" s="24"/>
      <c r="B194" s="24">
        <v>4.0750000000000002</v>
      </c>
      <c r="C194" s="138">
        <f t="shared" si="5"/>
        <v>42979</v>
      </c>
      <c r="D194">
        <v>4.3425000000000002</v>
      </c>
      <c r="E194" s="24">
        <v>0.17</v>
      </c>
      <c r="F194" s="23">
        <v>6.2177065124963397E-2</v>
      </c>
      <c r="G194" s="23">
        <v>0</v>
      </c>
      <c r="H194" s="23">
        <v>0</v>
      </c>
      <c r="I194" s="27">
        <v>0</v>
      </c>
      <c r="J194" s="27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0.5</v>
      </c>
      <c r="W194" s="23">
        <v>0.125</v>
      </c>
      <c r="X194" s="23">
        <v>0.14499999999999999</v>
      </c>
      <c r="Y194" s="23">
        <v>0</v>
      </c>
      <c r="Z194" s="23">
        <v>-4.0500000000000001E-2</v>
      </c>
      <c r="AA194" s="23">
        <v>1.95E-2</v>
      </c>
      <c r="AB194" s="23">
        <v>4.4999999999999997E-3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0.36</v>
      </c>
      <c r="AN194" s="23">
        <v>2.2499999999999999E-2</v>
      </c>
      <c r="AO194" s="23">
        <v>0</v>
      </c>
      <c r="AP194" s="23">
        <v>-7.0000000000000007E-2</v>
      </c>
      <c r="AQ194" s="23">
        <v>-0.19500000000000001</v>
      </c>
      <c r="AR194" s="23">
        <v>0</v>
      </c>
      <c r="AS194" s="23">
        <v>-0.37</v>
      </c>
      <c r="AT194" s="23">
        <v>0</v>
      </c>
      <c r="AU194" s="23">
        <v>0.43</v>
      </c>
      <c r="AV194" s="23">
        <v>0</v>
      </c>
      <c r="AW194" s="23">
        <v>-0.06</v>
      </c>
      <c r="AX194" s="23">
        <v>-0.06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-7.4999999999999997E-3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0.315</v>
      </c>
      <c r="BK194" s="23">
        <v>0</v>
      </c>
      <c r="BL194" s="23">
        <v>-0.01</v>
      </c>
      <c r="BM194" s="23">
        <v>5.0000000000000001E-3</v>
      </c>
      <c r="BN194" s="23">
        <v>0</v>
      </c>
      <c r="BO194" s="23">
        <v>0</v>
      </c>
      <c r="BP194" s="23">
        <v>5.0000000000000001E-3</v>
      </c>
      <c r="BQ194" s="23">
        <v>0</v>
      </c>
      <c r="BR194" s="23">
        <v>0.01</v>
      </c>
      <c r="BS194">
        <v>0</v>
      </c>
      <c r="BT194">
        <v>0</v>
      </c>
      <c r="BU194">
        <v>0</v>
      </c>
      <c r="BV194">
        <v>0</v>
      </c>
    </row>
    <row r="195" spans="1:74" x14ac:dyDescent="0.25">
      <c r="A195" s="24"/>
      <c r="B195" s="24">
        <v>3.9590000000000005</v>
      </c>
      <c r="C195" s="138">
        <f t="shared" si="5"/>
        <v>43009</v>
      </c>
      <c r="D195">
        <v>4.3674999999999997</v>
      </c>
      <c r="E195" s="24">
        <v>0.17</v>
      </c>
      <c r="F195" s="23">
        <v>6.2219479557848303E-2</v>
      </c>
      <c r="G195" s="23">
        <v>0</v>
      </c>
      <c r="H195" s="23">
        <v>0</v>
      </c>
      <c r="I195" s="27">
        <v>0</v>
      </c>
      <c r="J195" s="27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0.5</v>
      </c>
      <c r="W195" s="23">
        <v>0.14499999999999999</v>
      </c>
      <c r="X195" s="23">
        <v>0.17499999999999999</v>
      </c>
      <c r="Y195" s="23">
        <v>0</v>
      </c>
      <c r="Z195" s="23">
        <v>-4.0500000000000001E-2</v>
      </c>
      <c r="AA195" s="23">
        <v>1.4500000000000001E-2</v>
      </c>
      <c r="AB195" s="23">
        <v>4.9999999999999405E-4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0.4</v>
      </c>
      <c r="AN195" s="23">
        <v>1.2500000000000001E-2</v>
      </c>
      <c r="AO195" s="23">
        <v>0</v>
      </c>
      <c r="AP195" s="23">
        <v>-7.0000000000000007E-2</v>
      </c>
      <c r="AQ195" s="23">
        <v>-0.19500000000000001</v>
      </c>
      <c r="AR195" s="23">
        <v>0</v>
      </c>
      <c r="AS195" s="23">
        <v>-0.37</v>
      </c>
      <c r="AT195" s="23">
        <v>0</v>
      </c>
      <c r="AU195" s="23">
        <v>0.43</v>
      </c>
      <c r="AV195" s="23">
        <v>0</v>
      </c>
      <c r="AW195" s="23">
        <v>-0.06</v>
      </c>
      <c r="AX195" s="23">
        <v>-0.06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-1.7500000000000002E-2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0.36</v>
      </c>
      <c r="BK195" s="23">
        <v>0</v>
      </c>
      <c r="BL195" s="23">
        <v>-1.4999999999999999E-2</v>
      </c>
      <c r="BM195" s="23">
        <v>5.0000000000000001E-3</v>
      </c>
      <c r="BN195" s="23">
        <v>0</v>
      </c>
      <c r="BO195" s="23">
        <v>0</v>
      </c>
      <c r="BP195" s="23">
        <v>5.0000000000000001E-3</v>
      </c>
      <c r="BQ195" s="23">
        <v>0</v>
      </c>
      <c r="BR195" s="23">
        <v>0.01</v>
      </c>
      <c r="BS195">
        <v>0</v>
      </c>
      <c r="BT195">
        <v>0</v>
      </c>
      <c r="BU195">
        <v>0</v>
      </c>
      <c r="BV195">
        <v>0</v>
      </c>
    </row>
    <row r="196" spans="1:74" x14ac:dyDescent="0.25">
      <c r="A196" s="24"/>
      <c r="B196" s="24">
        <v>3.9440000000000004</v>
      </c>
      <c r="C196" s="138">
        <f t="shared" si="5"/>
        <v>43040</v>
      </c>
      <c r="D196">
        <v>4.5194999999999999</v>
      </c>
      <c r="E196" s="24">
        <v>0.17</v>
      </c>
      <c r="F196" s="23">
        <v>6.2263307805790799E-2</v>
      </c>
      <c r="G196" s="23"/>
      <c r="H196" s="23"/>
      <c r="I196" s="27"/>
      <c r="J196" s="27"/>
      <c r="K196" s="23"/>
      <c r="L196" s="23"/>
      <c r="M196" s="23"/>
      <c r="N196" s="23"/>
      <c r="O196" s="23"/>
      <c r="V196" s="23">
        <v>0.5</v>
      </c>
      <c r="W196" s="23">
        <v>0.19500000000000001</v>
      </c>
      <c r="X196" s="23">
        <v>0.21</v>
      </c>
      <c r="Y196" s="23">
        <v>0</v>
      </c>
      <c r="Z196" s="23">
        <v>-2.1499999999999998E-2</v>
      </c>
      <c r="AA196" s="23">
        <v>1.55E-2</v>
      </c>
      <c r="AB196" s="23">
        <v>5.0000000000000695E-4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K196" s="23">
        <v>0</v>
      </c>
      <c r="AL196" s="23">
        <v>0</v>
      </c>
      <c r="AM196" s="23">
        <v>0.65</v>
      </c>
      <c r="AN196" s="23">
        <v>-2.2499999999999999E-2</v>
      </c>
      <c r="AO196" s="23">
        <v>0</v>
      </c>
      <c r="AP196" s="23">
        <v>-7.0000000000000007E-2</v>
      </c>
      <c r="AQ196" s="23">
        <v>-0.13</v>
      </c>
      <c r="AR196" s="23">
        <v>0</v>
      </c>
      <c r="AS196" s="23">
        <v>-0.26</v>
      </c>
      <c r="AT196" s="23">
        <v>0</v>
      </c>
      <c r="AU196" s="23">
        <v>0.35</v>
      </c>
      <c r="AV196" s="23">
        <v>0</v>
      </c>
      <c r="AW196" s="23">
        <v>-0.06</v>
      </c>
      <c r="AX196" s="23">
        <v>-0.06</v>
      </c>
      <c r="AY196" s="23">
        <v>0</v>
      </c>
      <c r="BA196" s="23">
        <v>0</v>
      </c>
      <c r="BB196" s="23">
        <v>0</v>
      </c>
      <c r="BD196" s="23">
        <v>-5.2499999999999998E-2</v>
      </c>
      <c r="BE196" s="23">
        <v>0</v>
      </c>
      <c r="BF196" s="23">
        <v>0</v>
      </c>
      <c r="BJ196" s="23">
        <v>0.46</v>
      </c>
      <c r="BK196" s="23">
        <v>0</v>
      </c>
      <c r="BL196" s="23">
        <v>-0.02</v>
      </c>
      <c r="BM196" s="23">
        <v>5.0000000000000001E-3</v>
      </c>
      <c r="BO196" s="23">
        <v>0</v>
      </c>
      <c r="BP196" s="23">
        <v>5.0000000000000001E-3</v>
      </c>
      <c r="BQ196" s="23">
        <v>0</v>
      </c>
      <c r="BR196" s="23">
        <v>5.5E-2</v>
      </c>
      <c r="BS196"/>
      <c r="BT196">
        <v>0</v>
      </c>
      <c r="BU196">
        <v>0</v>
      </c>
      <c r="BV196">
        <v>0</v>
      </c>
    </row>
    <row r="197" spans="1:74" x14ac:dyDescent="0.25">
      <c r="A197" s="24"/>
      <c r="B197" s="24">
        <v>3.9369999999999998</v>
      </c>
      <c r="C197" s="138">
        <f t="shared" si="5"/>
        <v>43070</v>
      </c>
      <c r="D197">
        <v>4.6624999999999996</v>
      </c>
      <c r="E197" s="24">
        <v>0.17</v>
      </c>
      <c r="F197" s="23">
        <v>6.2305722239889998E-2</v>
      </c>
      <c r="G197" s="23"/>
      <c r="H197" s="23"/>
      <c r="I197" s="27"/>
      <c r="J197" s="27"/>
      <c r="K197" s="23"/>
      <c r="L197" s="23"/>
      <c r="M197" s="23"/>
      <c r="N197" s="23"/>
      <c r="O197" s="23"/>
      <c r="V197" s="23">
        <v>0.5</v>
      </c>
      <c r="W197" s="23">
        <v>0.215</v>
      </c>
      <c r="X197" s="23">
        <v>0.28999999999999998</v>
      </c>
      <c r="Y197" s="23">
        <v>0</v>
      </c>
      <c r="Z197" s="23">
        <v>-2.1499999999999998E-2</v>
      </c>
      <c r="AA197" s="23">
        <v>1.55E-2</v>
      </c>
      <c r="AB197" s="23">
        <v>5.0000000000000695E-4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K197" s="23">
        <v>0</v>
      </c>
      <c r="AL197" s="23">
        <v>0</v>
      </c>
      <c r="AM197" s="23">
        <v>0.98</v>
      </c>
      <c r="AN197" s="23">
        <v>-4.4999999999999998E-2</v>
      </c>
      <c r="AO197" s="23">
        <v>0</v>
      </c>
      <c r="AP197" s="23">
        <v>-7.0000000000000007E-2</v>
      </c>
      <c r="AQ197" s="23">
        <v>-0.13</v>
      </c>
      <c r="AR197" s="23">
        <v>0</v>
      </c>
      <c r="AS197" s="23">
        <v>-0.26</v>
      </c>
      <c r="AT197" s="23">
        <v>0</v>
      </c>
      <c r="AU197" s="23">
        <v>0.35</v>
      </c>
      <c r="AV197" s="23">
        <v>0</v>
      </c>
      <c r="AW197" s="23">
        <v>-0.06</v>
      </c>
      <c r="AX197" s="23">
        <v>-0.06</v>
      </c>
      <c r="AY197" s="23">
        <v>0</v>
      </c>
      <c r="BA197" s="23">
        <v>0</v>
      </c>
      <c r="BB197" s="23">
        <v>0</v>
      </c>
      <c r="BD197" s="23">
        <v>-7.4999999999999997E-2</v>
      </c>
      <c r="BE197" s="23">
        <v>0</v>
      </c>
      <c r="BF197" s="23">
        <v>0</v>
      </c>
      <c r="BJ197" s="23">
        <v>0.77</v>
      </c>
      <c r="BK197" s="23">
        <v>0</v>
      </c>
      <c r="BL197" s="23">
        <v>-2.5000000000000001E-2</v>
      </c>
      <c r="BM197" s="23">
        <v>5.0000000000000001E-3</v>
      </c>
      <c r="BO197" s="23">
        <v>0</v>
      </c>
      <c r="BP197" s="23">
        <v>5.0000000000000001E-3</v>
      </c>
      <c r="BQ197" s="23">
        <v>0</v>
      </c>
      <c r="BR197" s="23">
        <v>0.25</v>
      </c>
      <c r="BS197"/>
      <c r="BT197">
        <v>0</v>
      </c>
      <c r="BU197">
        <v>0</v>
      </c>
      <c r="BV197">
        <v>0</v>
      </c>
    </row>
    <row r="198" spans="1:74" x14ac:dyDescent="0.25">
      <c r="A198" s="24"/>
      <c r="B198" s="24">
        <v>4.0019999999999998</v>
      </c>
      <c r="C198" s="138">
        <f t="shared" si="5"/>
        <v>43101</v>
      </c>
      <c r="D198">
        <v>4.7225000000000001</v>
      </c>
      <c r="E198" s="24">
        <v>0.17</v>
      </c>
      <c r="F198" s="23">
        <v>6.2349550489086497E-2</v>
      </c>
      <c r="G198" s="23"/>
      <c r="H198" s="23"/>
      <c r="I198" s="27"/>
      <c r="J198" s="27"/>
      <c r="K198" s="23"/>
      <c r="L198" s="23"/>
      <c r="M198" s="23"/>
      <c r="N198" s="23"/>
      <c r="O198" s="23"/>
      <c r="V198" s="23">
        <v>0.5</v>
      </c>
      <c r="W198" s="23">
        <v>0.23499999999999999</v>
      </c>
      <c r="X198" s="23">
        <v>0.34</v>
      </c>
      <c r="Y198" s="23">
        <v>0</v>
      </c>
      <c r="Z198" s="23">
        <v>-2.1499999999999998E-2</v>
      </c>
      <c r="AA198" s="23">
        <v>1.55E-2</v>
      </c>
      <c r="AB198" s="23">
        <v>5.0000000000000695E-4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K198" s="23">
        <v>0</v>
      </c>
      <c r="AL198" s="23">
        <v>0</v>
      </c>
      <c r="AM198" s="23">
        <v>1.6</v>
      </c>
      <c r="AN198" s="23">
        <v>-4.7500000000000001E-2</v>
      </c>
      <c r="AO198" s="23">
        <v>0</v>
      </c>
      <c r="AP198" s="23">
        <v>-7.0000000000000007E-2</v>
      </c>
      <c r="AQ198" s="23">
        <v>-0.13</v>
      </c>
      <c r="AR198" s="23">
        <v>0</v>
      </c>
      <c r="AS198" s="23">
        <v>-0.26</v>
      </c>
      <c r="AT198" s="23">
        <v>0</v>
      </c>
      <c r="AU198" s="23">
        <v>0.35</v>
      </c>
      <c r="AV198" s="23">
        <v>0</v>
      </c>
      <c r="AW198" s="23">
        <v>-0.06</v>
      </c>
      <c r="AX198" s="23">
        <v>-0.06</v>
      </c>
      <c r="AY198" s="23">
        <v>0</v>
      </c>
      <c r="BA198" s="23">
        <v>0</v>
      </c>
      <c r="BB198" s="23">
        <v>0</v>
      </c>
      <c r="BD198" s="23">
        <v>-7.7499999999999999E-2</v>
      </c>
      <c r="BE198" s="23">
        <v>0</v>
      </c>
      <c r="BF198" s="23">
        <v>0</v>
      </c>
      <c r="BJ198" s="23">
        <v>1.04</v>
      </c>
      <c r="BK198" s="23">
        <v>0</v>
      </c>
      <c r="BL198" s="23">
        <v>-2.5000000000000001E-2</v>
      </c>
      <c r="BM198" s="23">
        <v>5.0000000000000001E-3</v>
      </c>
      <c r="BO198" s="23">
        <v>0</v>
      </c>
      <c r="BP198" s="23">
        <v>5.0000000000000001E-3</v>
      </c>
      <c r="BQ198" s="23">
        <v>0</v>
      </c>
      <c r="BR198" s="23">
        <v>0.45</v>
      </c>
      <c r="BS198"/>
      <c r="BT198">
        <v>0</v>
      </c>
      <c r="BU198">
        <v>0</v>
      </c>
      <c r="BV198">
        <v>0</v>
      </c>
    </row>
    <row r="199" spans="1:74" x14ac:dyDescent="0.25">
      <c r="A199" s="24"/>
      <c r="B199" s="24">
        <v>3.9969999999999999</v>
      </c>
      <c r="C199" s="138">
        <f t="shared" ref="C199:C262" si="6">EOMONTH(C198,0)+1</f>
        <v>43132</v>
      </c>
      <c r="D199">
        <v>4.6375000000000002</v>
      </c>
      <c r="E199" s="24">
        <v>0.17</v>
      </c>
      <c r="F199" s="23">
        <v>6.2393378738920799E-2</v>
      </c>
      <c r="G199" s="23"/>
      <c r="H199" s="23"/>
      <c r="I199" s="27"/>
      <c r="J199" s="27"/>
      <c r="K199" s="23"/>
      <c r="L199" s="23"/>
      <c r="M199" s="23"/>
      <c r="N199" s="23"/>
      <c r="O199" s="23"/>
      <c r="V199" s="23">
        <v>0.5</v>
      </c>
      <c r="W199" s="23">
        <v>0.23499999999999999</v>
      </c>
      <c r="X199" s="23">
        <v>0.34</v>
      </c>
      <c r="Y199" s="23">
        <v>0</v>
      </c>
      <c r="Z199" s="23">
        <v>-2.1499999999999998E-2</v>
      </c>
      <c r="AA199" s="23">
        <v>1.55E-2</v>
      </c>
      <c r="AB199" s="23">
        <v>5.0000000000000695E-4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K199" s="23">
        <v>0</v>
      </c>
      <c r="AL199" s="23">
        <v>0</v>
      </c>
      <c r="AM199" s="23">
        <v>1.6</v>
      </c>
      <c r="AN199" s="23">
        <v>-0.03</v>
      </c>
      <c r="AO199" s="23">
        <v>0</v>
      </c>
      <c r="AP199" s="23">
        <v>-7.0000000000000007E-2</v>
      </c>
      <c r="AQ199" s="23">
        <v>-0.13</v>
      </c>
      <c r="AR199" s="23">
        <v>0</v>
      </c>
      <c r="AS199" s="23">
        <v>-0.26</v>
      </c>
      <c r="AT199" s="23">
        <v>0</v>
      </c>
      <c r="AU199" s="23">
        <v>0.35</v>
      </c>
      <c r="AV199" s="23">
        <v>0</v>
      </c>
      <c r="AW199" s="23">
        <v>-0.06</v>
      </c>
      <c r="AX199" s="23">
        <v>-0.06</v>
      </c>
      <c r="AY199" s="23">
        <v>0</v>
      </c>
      <c r="BA199" s="23">
        <v>0</v>
      </c>
      <c r="BB199" s="23">
        <v>0</v>
      </c>
      <c r="BD199" s="23">
        <v>-0.06</v>
      </c>
      <c r="BE199" s="23">
        <v>0</v>
      </c>
      <c r="BF199" s="23">
        <v>0</v>
      </c>
      <c r="BJ199" s="23">
        <v>1.04</v>
      </c>
      <c r="BK199" s="23">
        <v>0</v>
      </c>
      <c r="BL199" s="23">
        <v>-2.5000000000000001E-2</v>
      </c>
      <c r="BM199" s="23">
        <v>5.0000000000000001E-3</v>
      </c>
      <c r="BO199" s="23">
        <v>0</v>
      </c>
      <c r="BP199" s="23">
        <v>5.0000000000000001E-3</v>
      </c>
      <c r="BQ199" s="23">
        <v>0</v>
      </c>
      <c r="BR199" s="23">
        <v>0.45</v>
      </c>
      <c r="BS199"/>
      <c r="BT199">
        <v>0</v>
      </c>
      <c r="BU199">
        <v>0</v>
      </c>
      <c r="BV199">
        <v>0</v>
      </c>
    </row>
    <row r="200" spans="1:74" x14ac:dyDescent="0.25">
      <c r="A200" s="24"/>
      <c r="B200" s="24">
        <v>3.9740000000000006</v>
      </c>
      <c r="C200" s="138">
        <f t="shared" si="6"/>
        <v>43160</v>
      </c>
      <c r="D200">
        <v>4.5075000000000003</v>
      </c>
      <c r="E200" s="24">
        <v>0.17</v>
      </c>
      <c r="F200" s="23">
        <v>6.2432965545770297E-2</v>
      </c>
      <c r="G200" s="23"/>
      <c r="H200" s="23"/>
      <c r="I200" s="27"/>
      <c r="J200" s="27"/>
      <c r="K200" s="23"/>
      <c r="L200" s="23"/>
      <c r="M200" s="23"/>
      <c r="N200" s="23"/>
      <c r="O200" s="23"/>
      <c r="V200" s="23">
        <v>0.5</v>
      </c>
      <c r="W200" s="23">
        <v>0.19500000000000001</v>
      </c>
      <c r="X200" s="23">
        <v>0.28999999999999998</v>
      </c>
      <c r="Y200" s="23">
        <v>0</v>
      </c>
      <c r="Z200" s="23">
        <v>-2.1499999999999998E-2</v>
      </c>
      <c r="AA200" s="23">
        <v>2.3E-2</v>
      </c>
      <c r="AB200" s="23">
        <v>8.0000000000000002E-3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K200" s="23">
        <v>0</v>
      </c>
      <c r="AL200" s="23">
        <v>0</v>
      </c>
      <c r="AM200" s="23">
        <v>0.64</v>
      </c>
      <c r="AN200" s="23">
        <v>-1.7500000000000002E-2</v>
      </c>
      <c r="AO200" s="23">
        <v>0</v>
      </c>
      <c r="AP200" s="23">
        <v>-7.0000000000000007E-2</v>
      </c>
      <c r="AQ200" s="23">
        <v>-0.13</v>
      </c>
      <c r="AR200" s="23">
        <v>0</v>
      </c>
      <c r="AS200" s="23">
        <v>-0.26</v>
      </c>
      <c r="AT200" s="23">
        <v>0</v>
      </c>
      <c r="AU200" s="23">
        <v>0.35</v>
      </c>
      <c r="AV200" s="23">
        <v>0</v>
      </c>
      <c r="AW200" s="23">
        <v>-0.06</v>
      </c>
      <c r="AX200" s="23">
        <v>-0.06</v>
      </c>
      <c r="AY200" s="23">
        <v>0</v>
      </c>
      <c r="BA200" s="23">
        <v>0</v>
      </c>
      <c r="BB200" s="23">
        <v>0</v>
      </c>
      <c r="BD200" s="23">
        <v>-4.7500000000000001E-2</v>
      </c>
      <c r="BE200" s="23">
        <v>0</v>
      </c>
      <c r="BF200" s="23">
        <v>0</v>
      </c>
      <c r="BJ200" s="23">
        <v>0.54</v>
      </c>
      <c r="BK200" s="23">
        <v>0</v>
      </c>
      <c r="BL200" s="23">
        <v>-0.02</v>
      </c>
      <c r="BM200" s="23">
        <v>5.0000000000000001E-3</v>
      </c>
      <c r="BO200" s="23">
        <v>0</v>
      </c>
      <c r="BP200" s="23">
        <v>5.0000000000000001E-3</v>
      </c>
      <c r="BQ200" s="23">
        <v>0</v>
      </c>
      <c r="BR200" s="23">
        <v>0.1</v>
      </c>
      <c r="BS200"/>
      <c r="BT200">
        <v>0</v>
      </c>
      <c r="BU200">
        <v>0</v>
      </c>
      <c r="BV200">
        <v>0</v>
      </c>
    </row>
    <row r="201" spans="1:74" x14ac:dyDescent="0.25">
      <c r="A201" s="24"/>
      <c r="B201" s="24">
        <v>3.9790000000000005</v>
      </c>
      <c r="C201" s="138">
        <f t="shared" si="6"/>
        <v>43191</v>
      </c>
      <c r="D201">
        <v>4.3224999999999998</v>
      </c>
      <c r="E201" s="24">
        <v>0.17</v>
      </c>
      <c r="F201" s="23">
        <v>6.2476793796817802E-2</v>
      </c>
      <c r="G201" s="23"/>
      <c r="H201" s="23"/>
      <c r="I201" s="27"/>
      <c r="J201" s="27"/>
      <c r="K201" s="23"/>
      <c r="L201" s="23"/>
      <c r="M201" s="23"/>
      <c r="N201" s="23"/>
      <c r="O201" s="23"/>
      <c r="V201" s="23">
        <v>0.5</v>
      </c>
      <c r="W201" s="23">
        <v>0.14499999999999999</v>
      </c>
      <c r="X201" s="23">
        <v>0.19500000000000001</v>
      </c>
      <c r="Y201" s="23">
        <v>0</v>
      </c>
      <c r="Z201" s="23">
        <v>-3.6499999999999998E-2</v>
      </c>
      <c r="AA201" s="23">
        <v>2.3E-2</v>
      </c>
      <c r="AB201" s="23">
        <v>8.0000000000000002E-3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K201" s="23">
        <v>0</v>
      </c>
      <c r="AL201" s="23">
        <v>0</v>
      </c>
      <c r="AM201" s="23">
        <v>0.38</v>
      </c>
      <c r="AN201" s="23">
        <v>0.02</v>
      </c>
      <c r="AO201" s="23">
        <v>0</v>
      </c>
      <c r="AP201" s="23">
        <v>-7.0000000000000007E-2</v>
      </c>
      <c r="AQ201" s="23">
        <v>-0.19500000000000001</v>
      </c>
      <c r="AR201" s="23">
        <v>0</v>
      </c>
      <c r="AS201" s="23">
        <v>-0.37</v>
      </c>
      <c r="AT201" s="23">
        <v>0</v>
      </c>
      <c r="AU201" s="23">
        <v>0.43</v>
      </c>
      <c r="AV201" s="23">
        <v>0</v>
      </c>
      <c r="AW201" s="23">
        <v>-0.06</v>
      </c>
      <c r="AX201" s="23">
        <v>-0.06</v>
      </c>
      <c r="AY201" s="23">
        <v>0</v>
      </c>
      <c r="BA201" s="23">
        <v>0</v>
      </c>
      <c r="BB201" s="23">
        <v>0</v>
      </c>
      <c r="BD201" s="23">
        <v>-0.01</v>
      </c>
      <c r="BE201" s="23">
        <v>0</v>
      </c>
      <c r="BF201" s="23">
        <v>0</v>
      </c>
      <c r="BJ201" s="23">
        <v>0.36</v>
      </c>
      <c r="BK201" s="23">
        <v>0</v>
      </c>
      <c r="BL201" s="23">
        <v>-1.4999999999999999E-2</v>
      </c>
      <c r="BM201" s="23">
        <v>5.0000000000000001E-3</v>
      </c>
      <c r="BO201" s="23">
        <v>0</v>
      </c>
      <c r="BP201" s="23">
        <v>5.0000000000000001E-3</v>
      </c>
      <c r="BQ201" s="23">
        <v>0</v>
      </c>
      <c r="BR201" s="23">
        <v>0.02</v>
      </c>
      <c r="BS201"/>
      <c r="BT201">
        <v>0</v>
      </c>
      <c r="BU201">
        <v>0</v>
      </c>
      <c r="BV201">
        <v>0</v>
      </c>
    </row>
    <row r="202" spans="1:74" x14ac:dyDescent="0.25">
      <c r="A202" s="24"/>
      <c r="B202" s="24">
        <v>4.0260000000000007</v>
      </c>
      <c r="C202" s="138">
        <f t="shared" si="6"/>
        <v>43221</v>
      </c>
      <c r="D202">
        <v>4.3174999999999999</v>
      </c>
      <c r="E202" s="24">
        <v>0.17</v>
      </c>
      <c r="F202" s="23">
        <v>6.2519208233922097E-2</v>
      </c>
      <c r="G202" s="23"/>
      <c r="H202" s="23"/>
      <c r="I202" s="27"/>
      <c r="J202" s="27"/>
      <c r="K202" s="23"/>
      <c r="L202" s="23"/>
      <c r="M202" s="23"/>
      <c r="N202" s="23"/>
      <c r="O202" s="23"/>
      <c r="V202" s="23">
        <v>0.5</v>
      </c>
      <c r="W202" s="23">
        <v>0.125</v>
      </c>
      <c r="X202" s="23">
        <v>0.13500000000000001</v>
      </c>
      <c r="Y202" s="23">
        <v>0</v>
      </c>
      <c r="Z202" s="23">
        <v>-3.6499999999999998E-2</v>
      </c>
      <c r="AA202" s="23">
        <v>2.5499999999999998E-2</v>
      </c>
      <c r="AB202" s="23">
        <v>1.0500000000000001E-2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K202" s="23">
        <v>0</v>
      </c>
      <c r="AL202" s="23">
        <v>0</v>
      </c>
      <c r="AM202" s="23">
        <v>0.33</v>
      </c>
      <c r="AN202" s="23">
        <v>0.02</v>
      </c>
      <c r="AO202" s="23">
        <v>0</v>
      </c>
      <c r="AP202" s="23">
        <v>-7.0000000000000007E-2</v>
      </c>
      <c r="AQ202" s="23">
        <v>-0.19500000000000001</v>
      </c>
      <c r="AR202" s="23">
        <v>0</v>
      </c>
      <c r="AS202" s="23">
        <v>-0.37</v>
      </c>
      <c r="AT202" s="23">
        <v>0</v>
      </c>
      <c r="AU202" s="23">
        <v>0.43</v>
      </c>
      <c r="AV202" s="23">
        <v>0</v>
      </c>
      <c r="AW202" s="23">
        <v>-0.06</v>
      </c>
      <c r="AX202" s="23">
        <v>-0.06</v>
      </c>
      <c r="AY202" s="23">
        <v>0</v>
      </c>
      <c r="BA202" s="23">
        <v>0</v>
      </c>
      <c r="BB202" s="23">
        <v>0</v>
      </c>
      <c r="BD202" s="23">
        <v>-0.01</v>
      </c>
      <c r="BE202" s="23">
        <v>0</v>
      </c>
      <c r="BF202" s="23">
        <v>0</v>
      </c>
      <c r="BJ202" s="23">
        <v>0.32500000000000001</v>
      </c>
      <c r="BK202" s="23">
        <v>0</v>
      </c>
      <c r="BL202" s="23">
        <v>-1.4999999999999999E-2</v>
      </c>
      <c r="BM202" s="23">
        <v>5.0000000000000001E-3</v>
      </c>
      <c r="BO202" s="23">
        <v>0</v>
      </c>
      <c r="BP202" s="23">
        <v>5.0000000000000001E-3</v>
      </c>
      <c r="BQ202" s="23">
        <v>0</v>
      </c>
      <c r="BR202" s="23">
        <v>0.02</v>
      </c>
      <c r="BS202"/>
      <c r="BT202">
        <v>0</v>
      </c>
      <c r="BU202">
        <v>0</v>
      </c>
      <c r="BV202">
        <v>0</v>
      </c>
    </row>
    <row r="203" spans="1:74" x14ac:dyDescent="0.25">
      <c r="A203" s="24"/>
      <c r="B203" s="24">
        <v>4.0960000000000001</v>
      </c>
      <c r="C203" s="138">
        <f t="shared" si="6"/>
        <v>43252</v>
      </c>
      <c r="D203">
        <v>4.3525</v>
      </c>
      <c r="E203" s="24">
        <v>0.17</v>
      </c>
      <c r="F203" s="23">
        <v>6.2563036486223703E-2</v>
      </c>
      <c r="G203" s="23"/>
      <c r="H203" s="23"/>
      <c r="I203" s="27"/>
      <c r="J203" s="27"/>
      <c r="K203" s="23"/>
      <c r="L203" s="23"/>
      <c r="M203" s="23"/>
      <c r="N203" s="23"/>
      <c r="O203" s="23"/>
      <c r="V203" s="23">
        <v>0.5</v>
      </c>
      <c r="W203" s="23">
        <v>0.14499999999999999</v>
      </c>
      <c r="X203" s="23">
        <v>0.16500000000000001</v>
      </c>
      <c r="Y203" s="23">
        <v>0</v>
      </c>
      <c r="Z203" s="23">
        <v>-3.4000000000000002E-2</v>
      </c>
      <c r="AA203" s="23">
        <v>2.5499999999999998E-2</v>
      </c>
      <c r="AB203" s="23">
        <v>1.0500000000000001E-2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K203" s="23">
        <v>0</v>
      </c>
      <c r="AL203" s="23">
        <v>0</v>
      </c>
      <c r="AM203" s="23">
        <v>0.37</v>
      </c>
      <c r="AN203" s="23">
        <v>2.5000000000000001E-2</v>
      </c>
      <c r="AO203" s="23">
        <v>0</v>
      </c>
      <c r="AP203" s="23">
        <v>-7.0000000000000007E-2</v>
      </c>
      <c r="AQ203" s="23">
        <v>-0.19500000000000001</v>
      </c>
      <c r="AR203" s="23">
        <v>0</v>
      </c>
      <c r="AS203" s="23">
        <v>-0.37</v>
      </c>
      <c r="AT203" s="23">
        <v>0</v>
      </c>
      <c r="AU203" s="23">
        <v>0.43</v>
      </c>
      <c r="AV203" s="23">
        <v>0</v>
      </c>
      <c r="AW203" s="23">
        <v>-0.06</v>
      </c>
      <c r="AX203" s="23">
        <v>-0.06</v>
      </c>
      <c r="AY203" s="23">
        <v>0</v>
      </c>
      <c r="BA203" s="23">
        <v>0</v>
      </c>
      <c r="BB203" s="23">
        <v>0</v>
      </c>
      <c r="BD203" s="23">
        <v>-5.0000000000000001E-3</v>
      </c>
      <c r="BE203" s="23">
        <v>0</v>
      </c>
      <c r="BF203" s="23">
        <v>0</v>
      </c>
      <c r="BJ203" s="23">
        <v>0.33500000000000002</v>
      </c>
      <c r="BK203" s="23">
        <v>0</v>
      </c>
      <c r="BL203" s="23">
        <v>-1.4999999999999999E-2</v>
      </c>
      <c r="BM203" s="23">
        <v>5.0000000000000001E-3</v>
      </c>
      <c r="BO203" s="23">
        <v>0</v>
      </c>
      <c r="BP203" s="23">
        <v>5.0000000000000001E-3</v>
      </c>
      <c r="BQ203" s="23">
        <v>0</v>
      </c>
      <c r="BR203" s="23">
        <v>3.5000000000000003E-2</v>
      </c>
      <c r="BS203"/>
      <c r="BT203">
        <v>0</v>
      </c>
      <c r="BU203">
        <v>0</v>
      </c>
      <c r="BV203">
        <v>0</v>
      </c>
    </row>
    <row r="204" spans="1:74" x14ac:dyDescent="0.25">
      <c r="A204" s="24"/>
      <c r="B204" s="24">
        <v>4.3660000000000005</v>
      </c>
      <c r="C204" s="138">
        <f t="shared" si="6"/>
        <v>43282</v>
      </c>
      <c r="D204">
        <v>4.3925000000000001</v>
      </c>
      <c r="E204" s="24">
        <v>0.17</v>
      </c>
      <c r="F204" s="23">
        <v>6.26054509245422E-2</v>
      </c>
      <c r="G204" s="23"/>
      <c r="H204" s="23"/>
      <c r="I204" s="27"/>
      <c r="J204" s="27"/>
      <c r="K204" s="23"/>
      <c r="L204" s="23"/>
      <c r="M204" s="23"/>
      <c r="N204" s="23"/>
      <c r="O204" s="23"/>
      <c r="V204" s="23">
        <v>0.5</v>
      </c>
      <c r="W204" s="23">
        <v>0.15</v>
      </c>
      <c r="X204" s="23">
        <v>0.20499999999999999</v>
      </c>
      <c r="Y204" s="23">
        <v>0</v>
      </c>
      <c r="Z204" s="23">
        <v>-3.4000000000000002E-2</v>
      </c>
      <c r="AA204" s="23">
        <v>2.5499999999999998E-2</v>
      </c>
      <c r="AB204" s="23">
        <v>1.0500000000000001E-2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K204" s="23">
        <v>0</v>
      </c>
      <c r="AL204" s="23">
        <v>0</v>
      </c>
      <c r="AM204" s="23">
        <v>0.41</v>
      </c>
      <c r="AN204" s="23">
        <v>2.75E-2</v>
      </c>
      <c r="AO204" s="23">
        <v>0</v>
      </c>
      <c r="AP204" s="23">
        <v>-7.0000000000000007E-2</v>
      </c>
      <c r="AQ204" s="23">
        <v>-0.19500000000000001</v>
      </c>
      <c r="AR204" s="23">
        <v>0</v>
      </c>
      <c r="AS204" s="23">
        <v>-0.37</v>
      </c>
      <c r="AT204" s="23">
        <v>0</v>
      </c>
      <c r="AU204" s="23">
        <v>0.43</v>
      </c>
      <c r="AV204" s="23">
        <v>0</v>
      </c>
      <c r="AW204" s="23">
        <v>-0.06</v>
      </c>
      <c r="AX204" s="23">
        <v>-0.06</v>
      </c>
      <c r="AY204" s="23">
        <v>0</v>
      </c>
      <c r="BA204" s="23">
        <v>0</v>
      </c>
      <c r="BB204" s="23">
        <v>0</v>
      </c>
      <c r="BD204" s="23">
        <v>-2.5000000000000001E-3</v>
      </c>
      <c r="BE204" s="23">
        <v>0</v>
      </c>
      <c r="BF204" s="23">
        <v>0</v>
      </c>
      <c r="BJ204" s="23">
        <v>0.35</v>
      </c>
      <c r="BK204" s="23">
        <v>0</v>
      </c>
      <c r="BL204" s="23">
        <v>-0.01</v>
      </c>
      <c r="BM204" s="23">
        <v>5.0000000000000001E-3</v>
      </c>
      <c r="BO204" s="23">
        <v>0</v>
      </c>
      <c r="BP204" s="23">
        <v>5.0000000000000001E-3</v>
      </c>
      <c r="BQ204" s="23">
        <v>0</v>
      </c>
      <c r="BR204" s="23">
        <v>3.5000000000000003E-2</v>
      </c>
      <c r="BS204"/>
      <c r="BT204">
        <v>0</v>
      </c>
      <c r="BU204">
        <v>0</v>
      </c>
      <c r="BV204">
        <v>0</v>
      </c>
    </row>
    <row r="205" spans="1:74" x14ac:dyDescent="0.25">
      <c r="A205" s="24"/>
      <c r="B205" s="24">
        <v>4.2949999999999999</v>
      </c>
      <c r="C205" s="138">
        <f t="shared" si="6"/>
        <v>43313</v>
      </c>
      <c r="D205">
        <v>4.4325000000000001</v>
      </c>
      <c r="E205" s="24">
        <v>0.17</v>
      </c>
      <c r="F205" s="23">
        <v>6.26492791780979E-2</v>
      </c>
      <c r="G205" s="23"/>
      <c r="H205" s="23"/>
      <c r="I205" s="27"/>
      <c r="J205" s="27"/>
      <c r="K205" s="23"/>
      <c r="L205" s="23"/>
      <c r="M205" s="23"/>
      <c r="N205" s="23"/>
      <c r="O205" s="23"/>
      <c r="V205" s="23">
        <v>0.5</v>
      </c>
      <c r="W205" s="23">
        <v>0.15</v>
      </c>
      <c r="X205" s="23">
        <v>0.20499999999999999</v>
      </c>
      <c r="Y205" s="23">
        <v>0</v>
      </c>
      <c r="Z205" s="23">
        <v>-3.4000000000000002E-2</v>
      </c>
      <c r="AA205" s="23">
        <v>2.0500000000000001E-2</v>
      </c>
      <c r="AB205" s="23">
        <v>5.4999999999999997E-3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K205" s="23">
        <v>0</v>
      </c>
      <c r="AL205" s="23">
        <v>0</v>
      </c>
      <c r="AM205" s="23">
        <v>0.41</v>
      </c>
      <c r="AN205" s="23">
        <v>0.03</v>
      </c>
      <c r="AO205" s="23">
        <v>0</v>
      </c>
      <c r="AP205" s="23">
        <v>-7.0000000000000007E-2</v>
      </c>
      <c r="AQ205" s="23">
        <v>-0.19500000000000001</v>
      </c>
      <c r="AR205" s="23">
        <v>0</v>
      </c>
      <c r="AS205" s="23">
        <v>-0.37</v>
      </c>
      <c r="AT205" s="23">
        <v>0</v>
      </c>
      <c r="AU205" s="23">
        <v>0.43</v>
      </c>
      <c r="AV205" s="23">
        <v>0</v>
      </c>
      <c r="AW205" s="23">
        <v>-0.06</v>
      </c>
      <c r="AX205" s="23">
        <v>-0.06</v>
      </c>
      <c r="AY205" s="23">
        <v>0</v>
      </c>
      <c r="BA205" s="23">
        <v>0</v>
      </c>
      <c r="BB205" s="23">
        <v>0</v>
      </c>
      <c r="BD205" s="23">
        <v>0</v>
      </c>
      <c r="BE205" s="23">
        <v>0</v>
      </c>
      <c r="BF205" s="23">
        <v>0</v>
      </c>
      <c r="BJ205" s="23">
        <v>0.35</v>
      </c>
      <c r="BK205" s="23">
        <v>0</v>
      </c>
      <c r="BL205" s="23">
        <v>-0.01</v>
      </c>
      <c r="BM205" s="23">
        <v>5.0000000000000001E-3</v>
      </c>
      <c r="BO205" s="23">
        <v>0</v>
      </c>
      <c r="BP205" s="23">
        <v>5.0000000000000001E-3</v>
      </c>
      <c r="BQ205" s="23">
        <v>0</v>
      </c>
      <c r="BR205" s="23">
        <v>0.01</v>
      </c>
      <c r="BS205"/>
      <c r="BT205">
        <v>0</v>
      </c>
      <c r="BU205">
        <v>0</v>
      </c>
      <c r="BV205">
        <v>0</v>
      </c>
    </row>
    <row r="206" spans="1:74" x14ac:dyDescent="0.25">
      <c r="A206" s="24"/>
      <c r="B206" s="24">
        <v>4.1790000000000003</v>
      </c>
      <c r="C206" s="138">
        <f t="shared" si="6"/>
        <v>43344</v>
      </c>
      <c r="D206">
        <v>4.4275000000000002</v>
      </c>
      <c r="E206" s="24">
        <v>0.17</v>
      </c>
      <c r="F206" s="23">
        <v>6.2693107432291395E-2</v>
      </c>
      <c r="G206" s="23"/>
      <c r="H206" s="23"/>
      <c r="I206" s="27"/>
      <c r="J206" s="27"/>
      <c r="K206" s="23"/>
      <c r="L206" s="23"/>
      <c r="M206" s="23"/>
      <c r="N206" s="23"/>
      <c r="O206" s="23"/>
      <c r="V206" s="23">
        <v>0.5</v>
      </c>
      <c r="W206" s="23">
        <v>0.125</v>
      </c>
      <c r="X206" s="23">
        <v>0.14499999999999999</v>
      </c>
      <c r="Y206" s="23">
        <v>0</v>
      </c>
      <c r="Z206" s="23">
        <v>-3.9E-2</v>
      </c>
      <c r="AA206" s="23">
        <v>2.0500000000000001E-2</v>
      </c>
      <c r="AB206" s="23">
        <v>5.4999999999999997E-3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K206" s="23">
        <v>0</v>
      </c>
      <c r="AL206" s="23">
        <v>0</v>
      </c>
      <c r="AM206" s="23">
        <v>0.36</v>
      </c>
      <c r="AN206" s="23">
        <v>2.2499999999999999E-2</v>
      </c>
      <c r="AO206" s="23">
        <v>0</v>
      </c>
      <c r="AP206" s="23">
        <v>-7.0000000000000007E-2</v>
      </c>
      <c r="AQ206" s="23">
        <v>-0.19500000000000001</v>
      </c>
      <c r="AR206" s="23">
        <v>0</v>
      </c>
      <c r="AS206" s="23">
        <v>-0.37</v>
      </c>
      <c r="AT206" s="23">
        <v>0</v>
      </c>
      <c r="AU206" s="23">
        <v>0.43</v>
      </c>
      <c r="AV206" s="23">
        <v>0</v>
      </c>
      <c r="AW206" s="23">
        <v>-0.06</v>
      </c>
      <c r="AX206" s="23">
        <v>-0.06</v>
      </c>
      <c r="AY206" s="23">
        <v>0</v>
      </c>
      <c r="BA206" s="23">
        <v>0</v>
      </c>
      <c r="BB206" s="23">
        <v>0</v>
      </c>
      <c r="BD206" s="23">
        <v>-7.4999999999999997E-3</v>
      </c>
      <c r="BE206" s="23">
        <v>0</v>
      </c>
      <c r="BF206" s="23">
        <v>0</v>
      </c>
      <c r="BJ206" s="23">
        <v>0.315</v>
      </c>
      <c r="BK206" s="23">
        <v>0</v>
      </c>
      <c r="BL206" s="23">
        <v>-0.01</v>
      </c>
      <c r="BM206" s="23">
        <v>5.0000000000000001E-3</v>
      </c>
      <c r="BO206" s="23">
        <v>0</v>
      </c>
      <c r="BP206" s="23">
        <v>5.0000000000000001E-3</v>
      </c>
      <c r="BQ206" s="23">
        <v>0</v>
      </c>
      <c r="BR206" s="23">
        <v>0.01</v>
      </c>
      <c r="BS206"/>
      <c r="BT206">
        <v>0</v>
      </c>
      <c r="BU206">
        <v>0</v>
      </c>
      <c r="BV206">
        <v>0</v>
      </c>
    </row>
    <row r="207" spans="1:74" x14ac:dyDescent="0.25">
      <c r="A207" s="24"/>
      <c r="B207" s="24">
        <v>4.0660000000000007</v>
      </c>
      <c r="C207" s="138">
        <f t="shared" si="6"/>
        <v>43374</v>
      </c>
      <c r="D207">
        <v>4.4524999999999997</v>
      </c>
      <c r="E207" s="24">
        <v>0.17</v>
      </c>
      <c r="F207" s="23">
        <v>6.27355218724404E-2</v>
      </c>
      <c r="G207" s="23"/>
      <c r="H207" s="23"/>
      <c r="I207" s="27"/>
      <c r="J207" s="27"/>
      <c r="K207" s="23"/>
      <c r="L207" s="23"/>
      <c r="M207" s="23"/>
      <c r="N207" s="23"/>
      <c r="O207" s="23"/>
      <c r="V207" s="23">
        <v>0.5</v>
      </c>
      <c r="W207" s="23">
        <v>0.14499999999999999</v>
      </c>
      <c r="X207" s="23">
        <v>0.17499999999999999</v>
      </c>
      <c r="Y207" s="23">
        <v>0</v>
      </c>
      <c r="Z207" s="23">
        <v>-3.9E-2</v>
      </c>
      <c r="AA207" s="23">
        <v>1.55E-2</v>
      </c>
      <c r="AB207" s="23">
        <v>5.0000000000000695E-4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K207" s="23">
        <v>0</v>
      </c>
      <c r="AL207" s="23">
        <v>0</v>
      </c>
      <c r="AM207" s="23">
        <v>0.4</v>
      </c>
      <c r="AN207" s="23">
        <v>1.2500000000000001E-2</v>
      </c>
      <c r="AO207" s="23">
        <v>0</v>
      </c>
      <c r="AP207" s="23">
        <v>-7.0000000000000007E-2</v>
      </c>
      <c r="AQ207" s="23">
        <v>-0.19500000000000001</v>
      </c>
      <c r="AR207" s="23">
        <v>0</v>
      </c>
      <c r="AS207" s="23">
        <v>-0.37</v>
      </c>
      <c r="AT207" s="23">
        <v>0</v>
      </c>
      <c r="AU207" s="23">
        <v>0.43</v>
      </c>
      <c r="AV207" s="23">
        <v>0</v>
      </c>
      <c r="AW207" s="23">
        <v>-0.06</v>
      </c>
      <c r="AX207" s="23">
        <v>-0.06</v>
      </c>
      <c r="AY207" s="23">
        <v>0</v>
      </c>
      <c r="BA207" s="23">
        <v>0</v>
      </c>
      <c r="BB207" s="23">
        <v>0</v>
      </c>
      <c r="BD207" s="23">
        <v>-1.7500000000000002E-2</v>
      </c>
      <c r="BE207" s="23">
        <v>0</v>
      </c>
      <c r="BF207" s="23">
        <v>0</v>
      </c>
      <c r="BJ207" s="23">
        <v>0.36</v>
      </c>
      <c r="BK207" s="23">
        <v>0</v>
      </c>
      <c r="BL207" s="23">
        <v>-1.4999999999999999E-2</v>
      </c>
      <c r="BM207" s="23">
        <v>5.0000000000000001E-3</v>
      </c>
      <c r="BO207" s="23">
        <v>0</v>
      </c>
      <c r="BP207" s="23">
        <v>5.0000000000000001E-3</v>
      </c>
      <c r="BQ207" s="23">
        <v>0</v>
      </c>
      <c r="BR207" s="23">
        <v>0.01</v>
      </c>
      <c r="BS207"/>
      <c r="BT207">
        <v>0</v>
      </c>
      <c r="BU207">
        <v>0</v>
      </c>
      <c r="BV207">
        <v>0</v>
      </c>
    </row>
    <row r="208" spans="1:74" x14ac:dyDescent="0.25">
      <c r="A208" s="24"/>
      <c r="B208" s="24">
        <v>4.0519999999999996</v>
      </c>
      <c r="C208" s="138">
        <f t="shared" si="6"/>
        <v>43405</v>
      </c>
      <c r="D208">
        <v>4.6044999999999998</v>
      </c>
      <c r="E208" s="24">
        <v>0.17</v>
      </c>
      <c r="F208" s="23">
        <v>6.2779350127888406E-2</v>
      </c>
      <c r="G208" s="23"/>
      <c r="H208" s="23"/>
      <c r="I208" s="27"/>
      <c r="J208" s="27"/>
      <c r="K208" s="23"/>
      <c r="L208" s="23"/>
      <c r="M208" s="23"/>
      <c r="N208" s="23"/>
      <c r="O208" s="23"/>
      <c r="V208" s="23">
        <v>0.5</v>
      </c>
      <c r="W208" s="23">
        <v>0.19500000000000001</v>
      </c>
      <c r="X208" s="23">
        <v>0.21</v>
      </c>
      <c r="Y208" s="23">
        <v>0</v>
      </c>
      <c r="Z208" s="23">
        <v>-0.02</v>
      </c>
      <c r="AA208" s="23">
        <v>1.6500000000000001E-2</v>
      </c>
      <c r="AB208" s="23">
        <v>1.5E-3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K208" s="23">
        <v>0</v>
      </c>
      <c r="AL208" s="23">
        <v>0</v>
      </c>
      <c r="AM208" s="23">
        <v>0.65</v>
      </c>
      <c r="AN208" s="23">
        <v>-2.2499999999999999E-2</v>
      </c>
      <c r="AO208" s="23">
        <v>0</v>
      </c>
      <c r="AP208" s="23">
        <v>-7.0000000000000007E-2</v>
      </c>
      <c r="AQ208" s="23">
        <v>-0.13</v>
      </c>
      <c r="AR208" s="23">
        <v>0</v>
      </c>
      <c r="AS208" s="23">
        <v>-0.26</v>
      </c>
      <c r="AT208" s="23">
        <v>0</v>
      </c>
      <c r="AU208" s="23">
        <v>0.35</v>
      </c>
      <c r="AV208" s="23">
        <v>0</v>
      </c>
      <c r="AW208" s="23">
        <v>-0.06</v>
      </c>
      <c r="AX208" s="23">
        <v>-0.06</v>
      </c>
      <c r="AY208" s="23">
        <v>0</v>
      </c>
      <c r="BA208" s="23">
        <v>0</v>
      </c>
      <c r="BB208" s="23">
        <v>0</v>
      </c>
      <c r="BD208" s="23">
        <v>-5.2499999999999998E-2</v>
      </c>
      <c r="BE208" s="23">
        <v>0</v>
      </c>
      <c r="BF208" s="23">
        <v>0</v>
      </c>
      <c r="BJ208" s="23">
        <v>0.46</v>
      </c>
      <c r="BK208" s="23">
        <v>0</v>
      </c>
      <c r="BL208" s="23">
        <v>-0.02</v>
      </c>
      <c r="BM208" s="23">
        <v>5.0000000000000001E-3</v>
      </c>
      <c r="BO208" s="23">
        <v>0</v>
      </c>
      <c r="BP208" s="23">
        <v>5.0000000000000001E-3</v>
      </c>
      <c r="BQ208" s="23">
        <v>0</v>
      </c>
      <c r="BR208" s="23">
        <v>5.5E-2</v>
      </c>
      <c r="BS208"/>
      <c r="BT208">
        <v>0</v>
      </c>
      <c r="BU208">
        <v>0</v>
      </c>
      <c r="BV208">
        <v>0</v>
      </c>
    </row>
    <row r="209" spans="1:74" x14ac:dyDescent="0.25">
      <c r="A209" s="24"/>
      <c r="B209" s="24">
        <v>4.0460000000000003</v>
      </c>
      <c r="C209" s="138">
        <f t="shared" si="6"/>
        <v>43435</v>
      </c>
      <c r="D209">
        <v>4.7474999999999996</v>
      </c>
      <c r="E209" s="24">
        <v>0.17</v>
      </c>
      <c r="F209" s="23">
        <v>6.2821764569250996E-2</v>
      </c>
      <c r="G209" s="23"/>
      <c r="H209" s="23"/>
      <c r="I209" s="27"/>
      <c r="J209" s="27"/>
      <c r="K209" s="23"/>
      <c r="L209" s="23"/>
      <c r="M209" s="23"/>
      <c r="N209" s="23"/>
      <c r="O209" s="23"/>
      <c r="V209" s="23">
        <v>0.5</v>
      </c>
      <c r="W209" s="23">
        <v>0.215</v>
      </c>
      <c r="X209" s="23">
        <v>0.28999999999999998</v>
      </c>
      <c r="Y209" s="23">
        <v>0</v>
      </c>
      <c r="Z209" s="23">
        <v>-0.02</v>
      </c>
      <c r="AA209" s="23">
        <v>1.6500000000000001E-2</v>
      </c>
      <c r="AB209" s="23">
        <v>1.5E-3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K209" s="23">
        <v>0</v>
      </c>
      <c r="AL209" s="23">
        <v>0</v>
      </c>
      <c r="AM209" s="23">
        <v>0.98</v>
      </c>
      <c r="AN209" s="23">
        <v>-4.4999999999999998E-2</v>
      </c>
      <c r="AO209" s="23">
        <v>0</v>
      </c>
      <c r="AP209" s="23">
        <v>-7.0000000000000007E-2</v>
      </c>
      <c r="AQ209" s="23">
        <v>-0.13</v>
      </c>
      <c r="AR209" s="23">
        <v>0</v>
      </c>
      <c r="AS209" s="23">
        <v>-0.26</v>
      </c>
      <c r="AT209" s="23">
        <v>0</v>
      </c>
      <c r="AU209" s="23">
        <v>0.35</v>
      </c>
      <c r="AV209" s="23">
        <v>0</v>
      </c>
      <c r="AW209" s="23">
        <v>-0.06</v>
      </c>
      <c r="AX209" s="23">
        <v>-0.06</v>
      </c>
      <c r="AY209" s="23">
        <v>0</v>
      </c>
      <c r="BA209" s="23">
        <v>0</v>
      </c>
      <c r="BB209" s="23">
        <v>0</v>
      </c>
      <c r="BD209" s="23">
        <v>-7.4999999999999997E-2</v>
      </c>
      <c r="BE209" s="23">
        <v>0</v>
      </c>
      <c r="BF209" s="23">
        <v>0</v>
      </c>
      <c r="BJ209" s="23">
        <v>0.77</v>
      </c>
      <c r="BK209" s="23">
        <v>0</v>
      </c>
      <c r="BL209" s="23">
        <v>-2.5000000000000001E-2</v>
      </c>
      <c r="BM209" s="23">
        <v>5.0000000000000001E-3</v>
      </c>
      <c r="BO209" s="23">
        <v>0</v>
      </c>
      <c r="BP209" s="23">
        <v>5.0000000000000001E-3</v>
      </c>
      <c r="BQ209" s="23">
        <v>0</v>
      </c>
      <c r="BR209" s="23">
        <v>0.25</v>
      </c>
      <c r="BS209"/>
      <c r="BT209">
        <v>0</v>
      </c>
      <c r="BU209">
        <v>0</v>
      </c>
      <c r="BV209">
        <v>0</v>
      </c>
    </row>
    <row r="210" spans="1:74" x14ac:dyDescent="0.25">
      <c r="A210" s="24"/>
      <c r="B210" s="24">
        <v>4.1110000000000007</v>
      </c>
      <c r="C210" s="138">
        <f t="shared" si="6"/>
        <v>43466</v>
      </c>
      <c r="D210">
        <v>4.8075000000000001</v>
      </c>
      <c r="E210" s="24">
        <v>0.17</v>
      </c>
      <c r="F210" s="23">
        <v>6.2865592825953207E-2</v>
      </c>
      <c r="G210" s="23"/>
      <c r="H210" s="23"/>
      <c r="I210" s="27"/>
      <c r="J210" s="27"/>
      <c r="K210" s="23"/>
      <c r="L210" s="23"/>
      <c r="M210" s="23"/>
      <c r="N210" s="23"/>
      <c r="O210" s="23"/>
      <c r="V210" s="23">
        <v>0.5</v>
      </c>
      <c r="W210" s="23">
        <v>0.23499999999999999</v>
      </c>
      <c r="X210" s="23">
        <v>0.34</v>
      </c>
      <c r="Y210" s="23">
        <v>0</v>
      </c>
      <c r="Z210" s="23">
        <v>-0.02</v>
      </c>
      <c r="AA210" s="23">
        <v>1.6500000000000001E-2</v>
      </c>
      <c r="AB210" s="23">
        <v>1.5E-3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K210" s="23">
        <v>0</v>
      </c>
      <c r="AL210" s="23">
        <v>0</v>
      </c>
      <c r="AM210" s="23">
        <v>1.6</v>
      </c>
      <c r="AN210" s="23">
        <v>-4.7500000000000001E-2</v>
      </c>
      <c r="AO210" s="23">
        <v>0</v>
      </c>
      <c r="AP210" s="23">
        <v>-7.0000000000000007E-2</v>
      </c>
      <c r="AQ210" s="23">
        <v>-0.13</v>
      </c>
      <c r="AR210" s="23">
        <v>0</v>
      </c>
      <c r="AS210" s="23">
        <v>-0.26</v>
      </c>
      <c r="AT210" s="23">
        <v>0</v>
      </c>
      <c r="AU210" s="23">
        <v>0.35</v>
      </c>
      <c r="AV210" s="23">
        <v>0</v>
      </c>
      <c r="AW210" s="23">
        <v>-0.06</v>
      </c>
      <c r="AX210" s="23">
        <v>-0.06</v>
      </c>
      <c r="AY210" s="23">
        <v>0</v>
      </c>
      <c r="BA210" s="23">
        <v>0</v>
      </c>
      <c r="BB210" s="23">
        <v>0</v>
      </c>
      <c r="BD210" s="23">
        <v>-7.7499999999999999E-2</v>
      </c>
      <c r="BE210" s="23">
        <v>0</v>
      </c>
      <c r="BF210" s="23">
        <v>0</v>
      </c>
      <c r="BJ210" s="23">
        <v>1.04</v>
      </c>
      <c r="BK210" s="23">
        <v>0</v>
      </c>
      <c r="BL210" s="23">
        <v>-2.5000000000000001E-2</v>
      </c>
      <c r="BM210" s="23">
        <v>5.0000000000000001E-3</v>
      </c>
      <c r="BO210" s="23">
        <v>0</v>
      </c>
      <c r="BP210" s="23">
        <v>5.0000000000000001E-3</v>
      </c>
      <c r="BQ210" s="23">
        <v>0</v>
      </c>
      <c r="BR210" s="23">
        <v>0.45</v>
      </c>
      <c r="BS210"/>
      <c r="BT210">
        <v>0</v>
      </c>
      <c r="BU210">
        <v>0</v>
      </c>
      <c r="BV210">
        <v>0</v>
      </c>
    </row>
    <row r="211" spans="1:74" x14ac:dyDescent="0.25">
      <c r="A211" s="24"/>
      <c r="B211" s="24">
        <v>4.1059999999999999</v>
      </c>
      <c r="C211" s="138">
        <f t="shared" si="6"/>
        <v>43497</v>
      </c>
      <c r="D211">
        <v>4.7225000000000001</v>
      </c>
      <c r="E211" s="24">
        <v>0.17</v>
      </c>
      <c r="F211" s="23">
        <v>6.2909421083292602E-2</v>
      </c>
      <c r="G211" s="23"/>
      <c r="H211" s="23"/>
      <c r="I211" s="27"/>
      <c r="J211" s="27"/>
      <c r="K211" s="23"/>
      <c r="L211" s="23"/>
      <c r="M211" s="23"/>
      <c r="N211" s="23"/>
      <c r="O211" s="23"/>
      <c r="V211" s="23">
        <v>0.5</v>
      </c>
      <c r="W211" s="23">
        <v>0.23499999999999999</v>
      </c>
      <c r="X211" s="23">
        <v>0.34</v>
      </c>
      <c r="Y211" s="23">
        <v>0</v>
      </c>
      <c r="Z211" s="23">
        <v>-0.02</v>
      </c>
      <c r="AA211" s="23">
        <v>1.6500000000000001E-2</v>
      </c>
      <c r="AB211" s="23">
        <v>1.5E-3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K211" s="23">
        <v>0</v>
      </c>
      <c r="AL211" s="23">
        <v>0</v>
      </c>
      <c r="AM211" s="23">
        <v>1.6</v>
      </c>
      <c r="AN211" s="23">
        <v>-0.03</v>
      </c>
      <c r="AO211" s="23">
        <v>0</v>
      </c>
      <c r="AP211" s="23">
        <v>-7.0000000000000007E-2</v>
      </c>
      <c r="AQ211" s="23">
        <v>-0.13</v>
      </c>
      <c r="AR211" s="23">
        <v>0</v>
      </c>
      <c r="AS211" s="23">
        <v>-0.26</v>
      </c>
      <c r="AT211" s="23">
        <v>0</v>
      </c>
      <c r="AU211" s="23">
        <v>0.35</v>
      </c>
      <c r="AV211" s="23">
        <v>0</v>
      </c>
      <c r="AW211" s="23">
        <v>-0.06</v>
      </c>
      <c r="AX211" s="23">
        <v>-0.06</v>
      </c>
      <c r="AY211" s="23">
        <v>0</v>
      </c>
      <c r="BA211" s="23">
        <v>0</v>
      </c>
      <c r="BB211" s="23">
        <v>0</v>
      </c>
      <c r="BD211" s="23">
        <v>-0.06</v>
      </c>
      <c r="BE211" s="23">
        <v>0</v>
      </c>
      <c r="BF211" s="23">
        <v>0</v>
      </c>
      <c r="BJ211" s="23">
        <v>1.04</v>
      </c>
      <c r="BK211" s="23">
        <v>0</v>
      </c>
      <c r="BL211" s="23">
        <v>-2.5000000000000001E-2</v>
      </c>
      <c r="BM211" s="23">
        <v>5.0000000000000001E-3</v>
      </c>
      <c r="BO211" s="23">
        <v>0</v>
      </c>
      <c r="BP211" s="23">
        <v>0</v>
      </c>
      <c r="BQ211" s="23">
        <v>0</v>
      </c>
      <c r="BR211" s="23">
        <v>0.45</v>
      </c>
      <c r="BS211"/>
      <c r="BT211">
        <v>0</v>
      </c>
      <c r="BU211">
        <v>0</v>
      </c>
      <c r="BV211">
        <v>0</v>
      </c>
    </row>
    <row r="212" spans="1:74" x14ac:dyDescent="0.25">
      <c r="A212" s="24"/>
      <c r="B212" s="24">
        <v>4.0819999999999999</v>
      </c>
      <c r="C212" s="138">
        <f t="shared" si="6"/>
        <v>43525</v>
      </c>
      <c r="D212">
        <v>4.5925000000000002</v>
      </c>
      <c r="E212" s="24">
        <v>0.17</v>
      </c>
      <c r="F212" s="23">
        <v>6.2949007896920997E-2</v>
      </c>
      <c r="G212" s="23"/>
      <c r="H212" s="23"/>
      <c r="I212" s="27"/>
      <c r="J212" s="27"/>
      <c r="K212" s="23"/>
      <c r="L212" s="23"/>
      <c r="M212" s="23"/>
      <c r="N212" s="23"/>
      <c r="O212" s="23"/>
      <c r="V212" s="23">
        <v>0.5</v>
      </c>
      <c r="W212" s="23">
        <v>0.19500000000000001</v>
      </c>
      <c r="X212" s="23">
        <v>0.28999999999999998</v>
      </c>
      <c r="Y212" s="23">
        <v>0</v>
      </c>
      <c r="Z212" s="23">
        <v>-0.02</v>
      </c>
      <c r="AA212" s="23">
        <v>2.4E-2</v>
      </c>
      <c r="AB212" s="23">
        <v>8.9999999999999993E-3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K212" s="23">
        <v>0</v>
      </c>
      <c r="AL212" s="23">
        <v>0</v>
      </c>
      <c r="AM212" s="23">
        <v>0.64</v>
      </c>
      <c r="AN212" s="23">
        <v>-1.7500000000000002E-2</v>
      </c>
      <c r="AO212" s="23">
        <v>0</v>
      </c>
      <c r="AP212" s="23">
        <v>-7.0000000000000007E-2</v>
      </c>
      <c r="AQ212" s="23">
        <v>-0.13</v>
      </c>
      <c r="AR212" s="23">
        <v>0</v>
      </c>
      <c r="AS212" s="23">
        <v>-0.26</v>
      </c>
      <c r="AT212" s="23">
        <v>0</v>
      </c>
      <c r="AU212" s="23">
        <v>0.35</v>
      </c>
      <c r="AV212" s="23">
        <v>0</v>
      </c>
      <c r="AW212" s="23">
        <v>-0.06</v>
      </c>
      <c r="AX212" s="23">
        <v>-0.06</v>
      </c>
      <c r="AY212" s="23">
        <v>0</v>
      </c>
      <c r="BA212" s="23">
        <v>0</v>
      </c>
      <c r="BB212" s="23">
        <v>0</v>
      </c>
      <c r="BD212" s="23">
        <v>-4.7500000000000001E-2</v>
      </c>
      <c r="BE212" s="23">
        <v>0</v>
      </c>
      <c r="BF212" s="23">
        <v>0</v>
      </c>
      <c r="BJ212" s="23">
        <v>0.54</v>
      </c>
      <c r="BK212" s="23">
        <v>0</v>
      </c>
      <c r="BL212" s="23">
        <v>-0.02</v>
      </c>
      <c r="BM212" s="23">
        <v>5.0000000000000001E-3</v>
      </c>
      <c r="BO212" s="23">
        <v>0</v>
      </c>
      <c r="BP212" s="23">
        <v>0</v>
      </c>
      <c r="BQ212" s="23">
        <v>0</v>
      </c>
      <c r="BR212" s="23">
        <v>0.1</v>
      </c>
      <c r="BS212"/>
      <c r="BT212">
        <v>0</v>
      </c>
      <c r="BU212">
        <v>0</v>
      </c>
      <c r="BV212">
        <v>0</v>
      </c>
    </row>
    <row r="213" spans="1:74" x14ac:dyDescent="0.25">
      <c r="A213" s="24"/>
      <c r="B213" s="24">
        <v>4.0860000000000003</v>
      </c>
      <c r="C213" s="138">
        <f t="shared" si="6"/>
        <v>43556</v>
      </c>
      <c r="D213">
        <v>4.4074999999999998</v>
      </c>
      <c r="E213" s="24">
        <v>0.17</v>
      </c>
      <c r="F213" s="23">
        <v>6.29928361554737E-2</v>
      </c>
      <c r="G213" s="23"/>
      <c r="H213" s="23"/>
      <c r="I213" s="27"/>
      <c r="J213" s="27"/>
      <c r="K213" s="23"/>
      <c r="L213" s="23"/>
      <c r="M213" s="23"/>
      <c r="N213" s="23"/>
      <c r="O213" s="23"/>
      <c r="V213" s="23">
        <v>0.5</v>
      </c>
      <c r="W213" s="23">
        <v>0.14499999999999999</v>
      </c>
      <c r="X213" s="23">
        <v>0.19500000000000001</v>
      </c>
      <c r="Y213" s="23">
        <v>0</v>
      </c>
      <c r="Z213" s="23">
        <v>-3.5000000000000003E-2</v>
      </c>
      <c r="AA213" s="23">
        <v>2.4E-2</v>
      </c>
      <c r="AB213" s="23">
        <v>8.9999999999999993E-3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K213" s="23">
        <v>0</v>
      </c>
      <c r="AL213" s="23">
        <v>0</v>
      </c>
      <c r="AM213" s="23">
        <v>0.38</v>
      </c>
      <c r="AN213" s="23">
        <v>0.02</v>
      </c>
      <c r="AO213" s="23">
        <v>0</v>
      </c>
      <c r="AP213" s="23">
        <v>-7.0000000000000007E-2</v>
      </c>
      <c r="AQ213" s="23">
        <v>-0.19500000000000001</v>
      </c>
      <c r="AR213" s="23">
        <v>0</v>
      </c>
      <c r="AS213" s="23">
        <v>-0.37</v>
      </c>
      <c r="AT213" s="23">
        <v>0</v>
      </c>
      <c r="AU213" s="23">
        <v>0.43</v>
      </c>
      <c r="AV213" s="23">
        <v>0</v>
      </c>
      <c r="AW213" s="23">
        <v>-0.06</v>
      </c>
      <c r="AX213" s="23">
        <v>-0.06</v>
      </c>
      <c r="AY213" s="23">
        <v>0</v>
      </c>
      <c r="BA213" s="23">
        <v>0</v>
      </c>
      <c r="BB213" s="23">
        <v>0</v>
      </c>
      <c r="BD213" s="23">
        <v>-0.01</v>
      </c>
      <c r="BE213" s="23">
        <v>0</v>
      </c>
      <c r="BF213" s="23">
        <v>0</v>
      </c>
      <c r="BJ213" s="23">
        <v>0.36</v>
      </c>
      <c r="BK213" s="23">
        <v>0</v>
      </c>
      <c r="BL213" s="23">
        <v>-1.4999999999999999E-2</v>
      </c>
      <c r="BM213" s="23">
        <v>5.0000000000000001E-3</v>
      </c>
      <c r="BO213" s="23">
        <v>0</v>
      </c>
      <c r="BP213" s="23">
        <v>0</v>
      </c>
      <c r="BQ213" s="23">
        <v>0</v>
      </c>
      <c r="BR213" s="23">
        <v>0.02</v>
      </c>
      <c r="BS213"/>
      <c r="BT213">
        <v>0</v>
      </c>
      <c r="BU213">
        <v>0</v>
      </c>
      <c r="BV213">
        <v>0</v>
      </c>
    </row>
    <row r="214" spans="1:74" x14ac:dyDescent="0.25">
      <c r="A214" s="24"/>
      <c r="B214" s="24">
        <v>4.1280000000000001</v>
      </c>
      <c r="C214" s="138">
        <f t="shared" si="6"/>
        <v>43586</v>
      </c>
      <c r="D214">
        <v>4.4024999999999999</v>
      </c>
      <c r="E214" s="24">
        <v>0.17</v>
      </c>
      <c r="F214" s="23">
        <v>6.3035250599840595E-2</v>
      </c>
      <c r="G214" s="23"/>
      <c r="H214" s="23"/>
      <c r="I214" s="27"/>
      <c r="J214" s="27"/>
      <c r="K214" s="23"/>
      <c r="L214" s="23"/>
      <c r="M214" s="23"/>
      <c r="N214" s="23"/>
      <c r="O214" s="23"/>
      <c r="V214" s="23">
        <v>0.5</v>
      </c>
      <c r="W214" s="23">
        <v>0.125</v>
      </c>
      <c r="X214" s="23">
        <v>0.13500000000000001</v>
      </c>
      <c r="Y214" s="23">
        <v>0</v>
      </c>
      <c r="Z214" s="23">
        <v>-3.5000000000000003E-2</v>
      </c>
      <c r="AA214" s="23">
        <v>2.6499999999999999E-2</v>
      </c>
      <c r="AB214" s="23">
        <v>1.15E-2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K214" s="23">
        <v>0</v>
      </c>
      <c r="AL214" s="23">
        <v>0</v>
      </c>
      <c r="AM214" s="23">
        <v>0.33</v>
      </c>
      <c r="AN214" s="23">
        <v>0.02</v>
      </c>
      <c r="AO214" s="23">
        <v>0</v>
      </c>
      <c r="AP214" s="23">
        <v>-7.0000000000000007E-2</v>
      </c>
      <c r="AQ214" s="23">
        <v>-0.19500000000000001</v>
      </c>
      <c r="AR214" s="23">
        <v>0</v>
      </c>
      <c r="AS214" s="23">
        <v>-0.37</v>
      </c>
      <c r="AT214" s="23">
        <v>0</v>
      </c>
      <c r="AU214" s="23">
        <v>0.43</v>
      </c>
      <c r="AV214" s="23">
        <v>0</v>
      </c>
      <c r="AW214" s="23">
        <v>-0.06</v>
      </c>
      <c r="AX214" s="23">
        <v>-0.06</v>
      </c>
      <c r="AY214" s="23">
        <v>0</v>
      </c>
      <c r="BA214" s="23">
        <v>0</v>
      </c>
      <c r="BB214" s="23">
        <v>0</v>
      </c>
      <c r="BD214" s="23">
        <v>-0.01</v>
      </c>
      <c r="BE214" s="23">
        <v>0</v>
      </c>
      <c r="BF214" s="23">
        <v>0</v>
      </c>
      <c r="BJ214" s="23">
        <v>0.32500000000000001</v>
      </c>
      <c r="BK214" s="23">
        <v>0</v>
      </c>
      <c r="BL214" s="23">
        <v>-1.4999999999999999E-2</v>
      </c>
      <c r="BM214" s="23">
        <v>5.0000000000000001E-3</v>
      </c>
      <c r="BO214" s="23">
        <v>0</v>
      </c>
      <c r="BP214" s="23">
        <v>0</v>
      </c>
      <c r="BQ214" s="23">
        <v>0</v>
      </c>
      <c r="BR214" s="23">
        <v>0.02</v>
      </c>
      <c r="BS214"/>
      <c r="BT214">
        <v>0</v>
      </c>
      <c r="BU214">
        <v>0</v>
      </c>
      <c r="BV214">
        <v>0</v>
      </c>
    </row>
    <row r="215" spans="1:74" x14ac:dyDescent="0.25">
      <c r="A215" s="24"/>
      <c r="B215" s="24">
        <v>4.1950000000000003</v>
      </c>
      <c r="C215" s="138">
        <f t="shared" si="6"/>
        <v>43617</v>
      </c>
      <c r="D215">
        <v>4.4375</v>
      </c>
      <c r="E215" s="24">
        <v>0.17</v>
      </c>
      <c r="F215" s="23">
        <v>6.3079078859646906E-2</v>
      </c>
      <c r="G215" s="23"/>
      <c r="H215" s="23"/>
      <c r="I215" s="27"/>
      <c r="J215" s="27"/>
      <c r="K215" s="23"/>
      <c r="L215" s="23"/>
      <c r="M215" s="23"/>
      <c r="N215" s="23"/>
      <c r="O215" s="23"/>
      <c r="V215" s="23">
        <v>0.5</v>
      </c>
      <c r="W215" s="23">
        <v>0.14499999999999999</v>
      </c>
      <c r="X215" s="23">
        <v>0.16500000000000001</v>
      </c>
      <c r="Y215" s="23">
        <v>0</v>
      </c>
      <c r="Z215" s="23">
        <v>-3.2500000000000001E-2</v>
      </c>
      <c r="AA215" s="23">
        <v>2.6499999999999999E-2</v>
      </c>
      <c r="AB215" s="23">
        <v>1.15E-2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K215" s="23">
        <v>0</v>
      </c>
      <c r="AL215" s="23">
        <v>0</v>
      </c>
      <c r="AM215" s="23">
        <v>0.37</v>
      </c>
      <c r="AN215" s="23">
        <v>2.5000000000000001E-2</v>
      </c>
      <c r="AO215" s="23">
        <v>0</v>
      </c>
      <c r="AP215" s="23">
        <v>-7.0000000000000007E-2</v>
      </c>
      <c r="AQ215" s="23">
        <v>-0.19500000000000001</v>
      </c>
      <c r="AR215" s="23">
        <v>0</v>
      </c>
      <c r="AS215" s="23">
        <v>-0.37</v>
      </c>
      <c r="AT215" s="23">
        <v>0</v>
      </c>
      <c r="AU215" s="23">
        <v>0.43</v>
      </c>
      <c r="AV215" s="23">
        <v>0</v>
      </c>
      <c r="AW215" s="23">
        <v>-0.06</v>
      </c>
      <c r="AX215" s="23">
        <v>-0.06</v>
      </c>
      <c r="AY215" s="23">
        <v>0</v>
      </c>
      <c r="BA215" s="23">
        <v>0</v>
      </c>
      <c r="BB215" s="23">
        <v>0</v>
      </c>
      <c r="BD215" s="23">
        <v>-5.0000000000000001E-3</v>
      </c>
      <c r="BE215" s="23">
        <v>0</v>
      </c>
      <c r="BF215" s="23">
        <v>0</v>
      </c>
      <c r="BJ215" s="23">
        <v>0.33500000000000002</v>
      </c>
      <c r="BK215" s="23">
        <v>0</v>
      </c>
      <c r="BL215" s="23">
        <v>-1.4999999999999999E-2</v>
      </c>
      <c r="BM215" s="23">
        <v>5.0000000000000001E-3</v>
      </c>
      <c r="BO215" s="23">
        <v>0</v>
      </c>
      <c r="BP215" s="23">
        <v>0</v>
      </c>
      <c r="BQ215" s="23">
        <v>0</v>
      </c>
      <c r="BR215" s="23">
        <v>3.5000000000000003E-2</v>
      </c>
      <c r="BS215"/>
      <c r="BT215">
        <v>0</v>
      </c>
      <c r="BU215">
        <v>0</v>
      </c>
      <c r="BV215">
        <v>0</v>
      </c>
    </row>
    <row r="216" spans="1:74" x14ac:dyDescent="0.25">
      <c r="A216" s="24"/>
      <c r="B216" s="24">
        <v>4.4630000000000001</v>
      </c>
      <c r="C216" s="138">
        <f t="shared" si="6"/>
        <v>43647</v>
      </c>
      <c r="D216">
        <v>4.4775</v>
      </c>
      <c r="E216" s="24">
        <v>0.17</v>
      </c>
      <c r="F216" s="23">
        <v>6.3121493305227497E-2</v>
      </c>
      <c r="G216" s="23"/>
      <c r="H216" s="23"/>
      <c r="I216" s="27"/>
      <c r="J216" s="27"/>
      <c r="K216" s="23"/>
      <c r="L216" s="23"/>
      <c r="M216" s="23"/>
      <c r="N216" s="23"/>
      <c r="O216" s="23"/>
      <c r="V216" s="23">
        <v>0.5</v>
      </c>
      <c r="W216" s="23">
        <v>0.15</v>
      </c>
      <c r="X216" s="23">
        <v>0.20499999999999999</v>
      </c>
      <c r="Y216" s="23">
        <v>0</v>
      </c>
      <c r="Z216" s="23">
        <v>-3.2500000000000001E-2</v>
      </c>
      <c r="AA216" s="23">
        <v>2.6499999999999999E-2</v>
      </c>
      <c r="AB216" s="23">
        <v>1.15E-2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K216" s="23">
        <v>0</v>
      </c>
      <c r="AL216" s="23">
        <v>0</v>
      </c>
      <c r="AM216" s="23">
        <v>0.41</v>
      </c>
      <c r="AN216" s="23">
        <v>2.75E-2</v>
      </c>
      <c r="AO216" s="23">
        <v>0</v>
      </c>
      <c r="AP216" s="23">
        <v>-7.0000000000000007E-2</v>
      </c>
      <c r="AQ216" s="23">
        <v>-0.19500000000000001</v>
      </c>
      <c r="AR216" s="23">
        <v>0</v>
      </c>
      <c r="AS216" s="23">
        <v>-0.37</v>
      </c>
      <c r="AT216" s="23">
        <v>0</v>
      </c>
      <c r="AU216" s="23">
        <v>0.43</v>
      </c>
      <c r="AV216" s="23">
        <v>0</v>
      </c>
      <c r="AW216" s="23">
        <v>-0.06</v>
      </c>
      <c r="AX216" s="23">
        <v>-0.06</v>
      </c>
      <c r="AY216" s="23">
        <v>0</v>
      </c>
      <c r="BA216" s="23">
        <v>0</v>
      </c>
      <c r="BB216" s="23">
        <v>0</v>
      </c>
      <c r="BD216" s="23">
        <v>-2.5000000000000001E-3</v>
      </c>
      <c r="BE216" s="23">
        <v>0</v>
      </c>
      <c r="BF216" s="23">
        <v>0</v>
      </c>
      <c r="BJ216" s="23">
        <v>0.35</v>
      </c>
      <c r="BK216" s="23">
        <v>0</v>
      </c>
      <c r="BL216" s="23">
        <v>-0.01</v>
      </c>
      <c r="BM216" s="23">
        <v>5.0000000000000001E-3</v>
      </c>
      <c r="BO216" s="23">
        <v>0</v>
      </c>
      <c r="BP216" s="23">
        <v>0</v>
      </c>
      <c r="BQ216" s="23">
        <v>0</v>
      </c>
      <c r="BR216" s="23">
        <v>3.5000000000000003E-2</v>
      </c>
      <c r="BS216"/>
      <c r="BT216">
        <v>0</v>
      </c>
      <c r="BU216">
        <v>0</v>
      </c>
      <c r="BV216">
        <v>0</v>
      </c>
    </row>
    <row r="217" spans="1:74" x14ac:dyDescent="0.25">
      <c r="A217" s="24"/>
      <c r="B217" s="24">
        <v>4.3959999999999999</v>
      </c>
      <c r="C217" s="138">
        <f t="shared" si="6"/>
        <v>43678</v>
      </c>
      <c r="D217">
        <v>4.5175000000000001</v>
      </c>
      <c r="E217" s="24">
        <v>0.17</v>
      </c>
      <c r="F217" s="24">
        <v>6.3165321566288402E-2</v>
      </c>
      <c r="O217" s="23"/>
      <c r="V217" s="27">
        <v>0.5</v>
      </c>
      <c r="W217" s="27">
        <v>0.15</v>
      </c>
      <c r="X217" s="23">
        <v>0.20499999999999999</v>
      </c>
      <c r="Y217" s="23">
        <v>0</v>
      </c>
      <c r="Z217" s="23">
        <v>-3.2500000000000001E-2</v>
      </c>
      <c r="AA217" s="23">
        <v>2.1499999999999998E-2</v>
      </c>
      <c r="AB217" s="23">
        <v>6.4999999999999997E-3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K217" s="23">
        <v>0</v>
      </c>
      <c r="AL217" s="23">
        <v>0</v>
      </c>
      <c r="AM217" s="23">
        <v>0.41</v>
      </c>
      <c r="AN217" s="23">
        <v>0.03</v>
      </c>
      <c r="AO217" s="23">
        <v>0</v>
      </c>
      <c r="AP217" s="23">
        <v>-7.0000000000000007E-2</v>
      </c>
      <c r="AQ217" s="23">
        <v>-0.19500000000000001</v>
      </c>
      <c r="AR217" s="23">
        <v>0</v>
      </c>
      <c r="AS217" s="23">
        <v>-0.37</v>
      </c>
      <c r="AT217" s="23">
        <v>0</v>
      </c>
      <c r="AU217" s="23">
        <v>0.43</v>
      </c>
      <c r="AV217" s="23">
        <v>0</v>
      </c>
      <c r="AW217" s="23">
        <v>-0.06</v>
      </c>
      <c r="AX217" s="23">
        <v>-0.06</v>
      </c>
      <c r="AY217" s="23">
        <v>0</v>
      </c>
      <c r="BA217" s="23">
        <v>0</v>
      </c>
      <c r="BB217" s="23">
        <v>0</v>
      </c>
      <c r="BD217" s="23">
        <v>0</v>
      </c>
      <c r="BE217" s="23">
        <v>0</v>
      </c>
      <c r="BF217" s="23">
        <v>0</v>
      </c>
      <c r="BJ217" s="23">
        <v>0.35</v>
      </c>
      <c r="BK217" s="23">
        <v>0</v>
      </c>
      <c r="BL217" s="23">
        <v>-0.01</v>
      </c>
      <c r="BM217" s="23">
        <v>5.0000000000000001E-3</v>
      </c>
      <c r="BO217" s="23">
        <v>0</v>
      </c>
      <c r="BP217" s="23">
        <v>0</v>
      </c>
      <c r="BQ217" s="23">
        <v>0</v>
      </c>
      <c r="BR217" s="23">
        <v>0.01</v>
      </c>
      <c r="BS217"/>
      <c r="BT217">
        <v>0</v>
      </c>
      <c r="BU217">
        <v>0</v>
      </c>
      <c r="BV217">
        <v>0</v>
      </c>
    </row>
    <row r="218" spans="1:74" x14ac:dyDescent="0.25">
      <c r="A218" s="24"/>
      <c r="B218" s="24">
        <v>4.2830000000000004</v>
      </c>
      <c r="C218" s="138">
        <f t="shared" si="6"/>
        <v>43709</v>
      </c>
      <c r="D218">
        <v>4.5125000000000002</v>
      </c>
      <c r="E218" s="24">
        <v>0.17</v>
      </c>
      <c r="F218" s="24">
        <v>6.3209149827985603E-2</v>
      </c>
      <c r="O218" s="23"/>
      <c r="V218" s="27">
        <v>0.5</v>
      </c>
      <c r="W218" s="27">
        <v>0.125</v>
      </c>
      <c r="X218" s="23">
        <v>0.14499999999999999</v>
      </c>
      <c r="Y218" s="23">
        <v>0</v>
      </c>
      <c r="Z218" s="23">
        <v>-3.7499999999999999E-2</v>
      </c>
      <c r="AA218" s="23">
        <v>2.1499999999999998E-2</v>
      </c>
      <c r="AB218" s="23">
        <v>6.4999999999999997E-3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K218" s="23">
        <v>0</v>
      </c>
      <c r="AL218" s="23">
        <v>0</v>
      </c>
      <c r="AM218" s="23">
        <v>0.36</v>
      </c>
      <c r="AN218" s="23">
        <v>2.2499999999999999E-2</v>
      </c>
      <c r="AO218" s="23">
        <v>0</v>
      </c>
      <c r="AP218" s="23">
        <v>-7.0000000000000007E-2</v>
      </c>
      <c r="AQ218" s="23">
        <v>-0.19500000000000001</v>
      </c>
      <c r="AR218" s="23">
        <v>0</v>
      </c>
      <c r="AS218" s="23">
        <v>-0.37</v>
      </c>
      <c r="AT218" s="23">
        <v>0</v>
      </c>
      <c r="AU218" s="23">
        <v>0.43</v>
      </c>
      <c r="AV218" s="23">
        <v>0</v>
      </c>
      <c r="AW218" s="23">
        <v>-0.06</v>
      </c>
      <c r="AX218" s="23">
        <v>-0.06</v>
      </c>
      <c r="AY218" s="23">
        <v>0</v>
      </c>
      <c r="BA218" s="23">
        <v>0</v>
      </c>
      <c r="BB218" s="23">
        <v>0</v>
      </c>
      <c r="BD218" s="23">
        <v>-7.4999999999999997E-3</v>
      </c>
      <c r="BE218" s="23">
        <v>0</v>
      </c>
      <c r="BF218" s="23">
        <v>0</v>
      </c>
      <c r="BJ218" s="23">
        <v>0.315</v>
      </c>
      <c r="BK218" s="23">
        <v>0</v>
      </c>
      <c r="BL218" s="23">
        <v>-0.01</v>
      </c>
      <c r="BM218" s="23">
        <v>5.0000000000000001E-3</v>
      </c>
      <c r="BO218" s="23">
        <v>0</v>
      </c>
      <c r="BP218" s="23">
        <v>0</v>
      </c>
      <c r="BQ218" s="23">
        <v>0</v>
      </c>
      <c r="BR218" s="23">
        <v>0.01</v>
      </c>
      <c r="BS218"/>
      <c r="BT218">
        <v>0</v>
      </c>
      <c r="BU218">
        <v>0</v>
      </c>
      <c r="BV218">
        <v>0</v>
      </c>
    </row>
    <row r="219" spans="1:74" x14ac:dyDescent="0.25">
      <c r="A219" s="24"/>
      <c r="B219" s="24">
        <v>4.173</v>
      </c>
      <c r="C219" s="138">
        <f t="shared" si="6"/>
        <v>43739</v>
      </c>
      <c r="D219">
        <v>4.5374999999999996</v>
      </c>
      <c r="E219" s="24">
        <v>0.17</v>
      </c>
      <c r="F219" s="24">
        <v>6.3251564275397201E-2</v>
      </c>
      <c r="O219" s="23"/>
      <c r="V219" s="27">
        <v>0.5</v>
      </c>
      <c r="W219" s="27">
        <v>0.14499999999999999</v>
      </c>
      <c r="X219" s="23">
        <v>0.17499999999999999</v>
      </c>
      <c r="Y219" s="23">
        <v>0</v>
      </c>
      <c r="Z219" s="23">
        <v>-3.7499999999999999E-2</v>
      </c>
      <c r="AA219" s="23">
        <v>1.6500000000000001E-2</v>
      </c>
      <c r="AB219" s="23">
        <v>1.5E-3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K219" s="23">
        <v>0</v>
      </c>
      <c r="AL219" s="23">
        <v>0</v>
      </c>
      <c r="AM219" s="23">
        <v>0.4</v>
      </c>
      <c r="AN219" s="23">
        <v>1.2500000000000001E-2</v>
      </c>
      <c r="AO219" s="23">
        <v>0</v>
      </c>
      <c r="AP219" s="23">
        <v>-7.0000000000000007E-2</v>
      </c>
      <c r="AQ219" s="23">
        <v>-0.19500000000000001</v>
      </c>
      <c r="AR219" s="23">
        <v>0</v>
      </c>
      <c r="AS219" s="23">
        <v>-0.37</v>
      </c>
      <c r="AT219" s="23">
        <v>0</v>
      </c>
      <c r="AU219" s="23">
        <v>0.43</v>
      </c>
      <c r="AV219" s="23">
        <v>0</v>
      </c>
      <c r="AW219" s="23">
        <v>-0.06</v>
      </c>
      <c r="AX219" s="23">
        <v>-0.06</v>
      </c>
      <c r="AY219" s="23">
        <v>0</v>
      </c>
      <c r="BA219" s="23">
        <v>0</v>
      </c>
      <c r="BB219" s="23">
        <v>0</v>
      </c>
      <c r="BD219" s="23">
        <v>-1.7500000000000002E-2</v>
      </c>
      <c r="BE219" s="23">
        <v>0</v>
      </c>
      <c r="BF219" s="23">
        <v>0</v>
      </c>
      <c r="BJ219" s="23">
        <v>0.36</v>
      </c>
      <c r="BK219" s="23">
        <v>0</v>
      </c>
      <c r="BL219" s="23">
        <v>-1.4999999999999999E-2</v>
      </c>
      <c r="BM219" s="23">
        <v>5.0000000000000001E-3</v>
      </c>
      <c r="BO219" s="23">
        <v>0</v>
      </c>
      <c r="BP219" s="23">
        <v>0</v>
      </c>
      <c r="BQ219" s="23">
        <v>0</v>
      </c>
      <c r="BR219" s="23">
        <v>0.01</v>
      </c>
      <c r="BS219"/>
      <c r="BT219">
        <v>0</v>
      </c>
      <c r="BU219">
        <v>0</v>
      </c>
      <c r="BV219">
        <v>0</v>
      </c>
    </row>
    <row r="220" spans="1:74" x14ac:dyDescent="0.25">
      <c r="A220" s="24"/>
      <c r="B220" s="24">
        <v>4.16</v>
      </c>
      <c r="C220" s="138">
        <f t="shared" si="6"/>
        <v>43770</v>
      </c>
      <c r="D220">
        <v>4.6894999999999998</v>
      </c>
      <c r="E220" s="24">
        <v>0.17</v>
      </c>
      <c r="F220" s="24">
        <v>6.3295392538348594E-2</v>
      </c>
      <c r="O220" s="23"/>
      <c r="V220" s="27">
        <v>0.5</v>
      </c>
      <c r="W220" s="27">
        <v>0.19500000000000001</v>
      </c>
      <c r="X220" s="23">
        <v>0.21</v>
      </c>
      <c r="Y220" s="23">
        <v>0</v>
      </c>
      <c r="Z220" s="23">
        <v>-1.8499999999999999E-2</v>
      </c>
      <c r="AA220" s="23">
        <v>1.7500000000000002E-2</v>
      </c>
      <c r="AB220" s="23">
        <v>2.5000000000000001E-3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K220" s="23">
        <v>0</v>
      </c>
      <c r="AL220" s="23">
        <v>0</v>
      </c>
      <c r="AM220" s="23">
        <v>0.65</v>
      </c>
      <c r="AN220" s="23">
        <v>-2.2499999999999999E-2</v>
      </c>
      <c r="AO220" s="23">
        <v>0</v>
      </c>
      <c r="AP220" s="23">
        <v>-7.0000000000000007E-2</v>
      </c>
      <c r="AQ220" s="23">
        <v>-0.13</v>
      </c>
      <c r="AR220" s="23">
        <v>0</v>
      </c>
      <c r="AS220" s="23">
        <v>-0.26</v>
      </c>
      <c r="AT220" s="23">
        <v>0</v>
      </c>
      <c r="AU220" s="23">
        <v>0.35</v>
      </c>
      <c r="AV220" s="23">
        <v>0</v>
      </c>
      <c r="AW220" s="23">
        <v>-0.06</v>
      </c>
      <c r="AX220" s="23">
        <v>-0.06</v>
      </c>
      <c r="AY220" s="23">
        <v>0</v>
      </c>
      <c r="BA220" s="23">
        <v>0</v>
      </c>
      <c r="BB220" s="23">
        <v>0</v>
      </c>
      <c r="BD220" s="23">
        <v>-5.2499999999999998E-2</v>
      </c>
      <c r="BE220" s="23">
        <v>0</v>
      </c>
      <c r="BF220" s="23">
        <v>0</v>
      </c>
      <c r="BJ220" s="23">
        <v>0.46</v>
      </c>
      <c r="BK220" s="23">
        <v>0</v>
      </c>
      <c r="BL220" s="23">
        <v>-0.02</v>
      </c>
      <c r="BM220" s="23">
        <v>5.0000000000000001E-3</v>
      </c>
      <c r="BO220" s="23">
        <v>0</v>
      </c>
      <c r="BP220" s="23">
        <v>0</v>
      </c>
      <c r="BQ220" s="23">
        <v>0</v>
      </c>
      <c r="BR220" s="23">
        <v>5.5E-2</v>
      </c>
      <c r="BS220"/>
      <c r="BT220">
        <v>0</v>
      </c>
      <c r="BU220">
        <v>0</v>
      </c>
      <c r="BV220">
        <v>0</v>
      </c>
    </row>
    <row r="221" spans="1:74" x14ac:dyDescent="0.25">
      <c r="A221" s="24"/>
      <c r="B221" s="24">
        <v>4.1550000000000002</v>
      </c>
      <c r="C221" s="138">
        <f t="shared" si="6"/>
        <v>43800</v>
      </c>
      <c r="D221">
        <v>4.8324999999999996</v>
      </c>
      <c r="E221" s="24">
        <v>0.17</v>
      </c>
      <c r="F221" s="24">
        <v>6.3337806986973402E-2</v>
      </c>
      <c r="O221" s="23"/>
      <c r="V221" s="27">
        <v>0.5</v>
      </c>
      <c r="W221" s="27">
        <v>0.215</v>
      </c>
      <c r="X221" s="23">
        <v>0.28999999999999998</v>
      </c>
      <c r="Y221" s="23">
        <v>0</v>
      </c>
      <c r="Z221" s="23">
        <v>-1.8499999999999999E-2</v>
      </c>
      <c r="AA221" s="23">
        <v>1.7500000000000002E-2</v>
      </c>
      <c r="AB221" s="23">
        <v>2.5000000000000001E-3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K221" s="23">
        <v>0</v>
      </c>
      <c r="AL221" s="23">
        <v>0</v>
      </c>
      <c r="AM221" s="23">
        <v>0.98</v>
      </c>
      <c r="AN221" s="23">
        <v>-4.4999999999999998E-2</v>
      </c>
      <c r="AO221" s="23">
        <v>0</v>
      </c>
      <c r="AP221" s="23">
        <v>-7.0000000000000007E-2</v>
      </c>
      <c r="AQ221" s="23">
        <v>-0.13</v>
      </c>
      <c r="AR221" s="23">
        <v>0</v>
      </c>
      <c r="AS221" s="23">
        <v>-0.26</v>
      </c>
      <c r="AT221" s="23">
        <v>0</v>
      </c>
      <c r="AU221" s="23">
        <v>0.35</v>
      </c>
      <c r="AV221" s="23">
        <v>0</v>
      </c>
      <c r="AW221" s="23">
        <v>-0.06</v>
      </c>
      <c r="AX221" s="23">
        <v>-0.06</v>
      </c>
      <c r="AY221" s="23">
        <v>0</v>
      </c>
      <c r="BA221" s="23">
        <v>0</v>
      </c>
      <c r="BB221" s="23">
        <v>0</v>
      </c>
      <c r="BD221" s="23">
        <v>-7.4999999999999997E-2</v>
      </c>
      <c r="BE221" s="23">
        <v>0</v>
      </c>
      <c r="BF221" s="23">
        <v>0</v>
      </c>
      <c r="BJ221" s="23">
        <v>0.77</v>
      </c>
      <c r="BK221" s="23">
        <v>0</v>
      </c>
      <c r="BL221" s="23">
        <v>-2.5000000000000001E-2</v>
      </c>
      <c r="BM221" s="23">
        <v>5.0000000000000001E-3</v>
      </c>
      <c r="BO221" s="23">
        <v>0</v>
      </c>
      <c r="BP221" s="23">
        <v>0</v>
      </c>
      <c r="BQ221" s="23">
        <v>0</v>
      </c>
      <c r="BR221" s="23">
        <v>0.25</v>
      </c>
      <c r="BS221"/>
      <c r="BT221">
        <v>0</v>
      </c>
      <c r="BU221">
        <v>0</v>
      </c>
      <c r="BV221">
        <v>0</v>
      </c>
    </row>
    <row r="222" spans="1:74" x14ac:dyDescent="0.25">
      <c r="A222" s="24"/>
      <c r="B222" s="24">
        <v>4.22</v>
      </c>
      <c r="C222" s="138">
        <f t="shared" si="6"/>
        <v>43831</v>
      </c>
      <c r="D222">
        <v>4.8925000000000001</v>
      </c>
      <c r="E222" s="24">
        <v>0.17</v>
      </c>
      <c r="F222" s="24">
        <v>6.33816352511785E-2</v>
      </c>
      <c r="O222" s="23"/>
      <c r="V222" s="27">
        <v>0.5</v>
      </c>
      <c r="W222" s="27">
        <v>0.23499999999999999</v>
      </c>
      <c r="X222" s="23">
        <v>0.34</v>
      </c>
      <c r="Y222" s="23">
        <v>0</v>
      </c>
      <c r="Z222" s="23">
        <v>-1.8499999999999999E-2</v>
      </c>
      <c r="AA222" s="23">
        <v>1.7500000000000002E-2</v>
      </c>
      <c r="AB222" s="23">
        <v>2.5000000000000001E-3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K222" s="23">
        <v>0</v>
      </c>
      <c r="AL222" s="23">
        <v>0</v>
      </c>
      <c r="AM222" s="23">
        <v>1.6</v>
      </c>
      <c r="AN222" s="23">
        <v>-4.7500000000000001E-2</v>
      </c>
      <c r="AO222" s="23">
        <v>0</v>
      </c>
      <c r="AP222" s="23">
        <v>-7.0000000000000007E-2</v>
      </c>
      <c r="AQ222" s="23">
        <v>-0.13</v>
      </c>
      <c r="AR222" s="23">
        <v>0</v>
      </c>
      <c r="AS222" s="23">
        <v>-0.26</v>
      </c>
      <c r="AT222" s="23">
        <v>0</v>
      </c>
      <c r="AU222" s="23">
        <v>0.35</v>
      </c>
      <c r="AV222" s="23">
        <v>0</v>
      </c>
      <c r="AW222" s="23">
        <v>-0.06</v>
      </c>
      <c r="AX222" s="23">
        <v>-0.06</v>
      </c>
      <c r="AY222" s="23">
        <v>0</v>
      </c>
      <c r="BA222" s="23">
        <v>0</v>
      </c>
      <c r="BB222" s="23">
        <v>0</v>
      </c>
      <c r="BD222" s="23">
        <v>-7.7499999999999999E-2</v>
      </c>
      <c r="BE222" s="23">
        <v>0</v>
      </c>
      <c r="BF222" s="23">
        <v>0</v>
      </c>
      <c r="BJ222" s="23">
        <v>1.04</v>
      </c>
      <c r="BK222" s="23">
        <v>0</v>
      </c>
      <c r="BL222" s="23">
        <v>-2.5000000000000001E-2</v>
      </c>
      <c r="BM222" s="23">
        <v>5.0000000000000001E-3</v>
      </c>
      <c r="BO222" s="23">
        <v>0</v>
      </c>
      <c r="BP222" s="23">
        <v>0</v>
      </c>
      <c r="BQ222" s="23">
        <v>0</v>
      </c>
      <c r="BR222" s="23">
        <v>0.45</v>
      </c>
      <c r="BS222"/>
      <c r="BT222">
        <v>0</v>
      </c>
      <c r="BU222">
        <v>0</v>
      </c>
      <c r="BV222">
        <v>0</v>
      </c>
    </row>
    <row r="223" spans="1:74" x14ac:dyDescent="0.25">
      <c r="A223" s="24"/>
      <c r="B223" s="24">
        <v>4.2149999999999999</v>
      </c>
      <c r="C223" s="138">
        <f t="shared" si="6"/>
        <v>43862</v>
      </c>
      <c r="D223">
        <v>4.8075000000000001</v>
      </c>
      <c r="E223" s="24">
        <v>0.17</v>
      </c>
      <c r="F223" s="24">
        <v>6.3425463516021602E-2</v>
      </c>
      <c r="O223" s="23"/>
      <c r="V223" s="27">
        <v>0.5</v>
      </c>
      <c r="W223" s="27">
        <v>0.23499999999999999</v>
      </c>
      <c r="X223" s="23">
        <v>0.34</v>
      </c>
      <c r="Y223" s="23">
        <v>0</v>
      </c>
      <c r="Z223" s="23">
        <v>-1.8499999999999999E-2</v>
      </c>
      <c r="AA223" s="23">
        <v>1.7500000000000002E-2</v>
      </c>
      <c r="AB223" s="23">
        <v>2.5000000000000001E-3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K223" s="23">
        <v>0</v>
      </c>
      <c r="AL223" s="23">
        <v>0</v>
      </c>
      <c r="AM223" s="23">
        <v>1.6</v>
      </c>
      <c r="AN223" s="23">
        <v>-0.03</v>
      </c>
      <c r="AO223" s="23">
        <v>0</v>
      </c>
      <c r="AP223" s="23">
        <v>-7.0000000000000007E-2</v>
      </c>
      <c r="AQ223" s="23">
        <v>-0.13</v>
      </c>
      <c r="AR223" s="23">
        <v>0</v>
      </c>
      <c r="AS223" s="23">
        <v>-0.26</v>
      </c>
      <c r="AT223" s="23">
        <v>0</v>
      </c>
      <c r="AU223" s="23">
        <v>0.35</v>
      </c>
      <c r="AV223" s="23">
        <v>0</v>
      </c>
      <c r="AW223" s="23">
        <v>-0.06</v>
      </c>
      <c r="AX223" s="23">
        <v>-0.06</v>
      </c>
      <c r="AY223" s="23">
        <v>0</v>
      </c>
      <c r="BA223" s="23">
        <v>0</v>
      </c>
      <c r="BB223" s="23">
        <v>0</v>
      </c>
      <c r="BD223" s="23">
        <v>-0.06</v>
      </c>
      <c r="BE223" s="23">
        <v>0</v>
      </c>
      <c r="BF223" s="23">
        <v>0</v>
      </c>
      <c r="BJ223" s="23">
        <v>1.04</v>
      </c>
      <c r="BK223" s="23">
        <v>0</v>
      </c>
      <c r="BL223" s="23">
        <v>-2.5000000000000001E-2</v>
      </c>
      <c r="BM223" s="23">
        <v>5.0000000000000001E-3</v>
      </c>
      <c r="BO223" s="23">
        <v>0</v>
      </c>
      <c r="BP223" s="23">
        <v>0</v>
      </c>
      <c r="BQ223" s="23">
        <v>0</v>
      </c>
      <c r="BR223" s="23">
        <v>0.45</v>
      </c>
      <c r="BS223"/>
      <c r="BT223">
        <v>0</v>
      </c>
      <c r="BU223">
        <v>0</v>
      </c>
      <c r="BV223">
        <v>0</v>
      </c>
    </row>
    <row r="224" spans="1:74" x14ac:dyDescent="0.25">
      <c r="A224" s="24"/>
      <c r="B224" s="24">
        <v>4.1900000000000004</v>
      </c>
      <c r="C224" s="138">
        <f t="shared" si="6"/>
        <v>43891</v>
      </c>
      <c r="D224">
        <v>4.6775000000000002</v>
      </c>
      <c r="E224" s="24">
        <v>0.17</v>
      </c>
      <c r="F224" s="24">
        <v>6.3466464151451504E-2</v>
      </c>
      <c r="O224" s="23"/>
      <c r="V224" s="27">
        <v>0.5</v>
      </c>
      <c r="W224" s="27">
        <v>0.19500000000000001</v>
      </c>
      <c r="X224" s="23">
        <v>0.28999999999999998</v>
      </c>
      <c r="Y224" s="23">
        <v>0</v>
      </c>
      <c r="Z224" s="23">
        <v>-1.8499999999999999E-2</v>
      </c>
      <c r="AA224" s="23">
        <v>2.5000000000000001E-2</v>
      </c>
      <c r="AB224" s="23">
        <v>0.01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K224" s="23">
        <v>0</v>
      </c>
      <c r="AL224" s="23">
        <v>0</v>
      </c>
      <c r="AM224" s="23">
        <v>0.64</v>
      </c>
      <c r="AN224" s="23">
        <v>-1.7500000000000002E-2</v>
      </c>
      <c r="AO224" s="23">
        <v>0</v>
      </c>
      <c r="AP224" s="23">
        <v>-7.0000000000000007E-2</v>
      </c>
      <c r="AQ224" s="23">
        <v>-0.13</v>
      </c>
      <c r="AR224" s="23">
        <v>0</v>
      </c>
      <c r="AS224" s="23">
        <v>-0.26</v>
      </c>
      <c r="AT224" s="23">
        <v>0</v>
      </c>
      <c r="AU224" s="23">
        <v>0.35</v>
      </c>
      <c r="AV224" s="23">
        <v>0</v>
      </c>
      <c r="AW224" s="23">
        <v>-0.06</v>
      </c>
      <c r="AX224" s="23">
        <v>-0.06</v>
      </c>
      <c r="AY224" s="23">
        <v>0</v>
      </c>
      <c r="BA224" s="23">
        <v>0</v>
      </c>
      <c r="BB224" s="23">
        <v>0</v>
      </c>
      <c r="BD224" s="23">
        <v>-4.7500000000000001E-2</v>
      </c>
      <c r="BE224" s="23">
        <v>0</v>
      </c>
      <c r="BF224" s="23">
        <v>0</v>
      </c>
      <c r="BJ224" s="23">
        <v>0.54</v>
      </c>
      <c r="BK224" s="23">
        <v>0</v>
      </c>
      <c r="BL224" s="23">
        <v>-0.02</v>
      </c>
      <c r="BM224" s="23">
        <v>5.0000000000000001E-3</v>
      </c>
      <c r="BO224" s="23">
        <v>0</v>
      </c>
      <c r="BP224" s="23">
        <v>0</v>
      </c>
      <c r="BQ224" s="23">
        <v>0</v>
      </c>
      <c r="BR224" s="23">
        <v>0.1</v>
      </c>
      <c r="BS224"/>
      <c r="BT224">
        <v>0</v>
      </c>
      <c r="BU224">
        <v>0</v>
      </c>
      <c r="BV224">
        <v>0</v>
      </c>
    </row>
    <row r="225" spans="1:74" x14ac:dyDescent="0.25">
      <c r="A225" s="24"/>
      <c r="B225" s="24">
        <v>4.1930000000000005</v>
      </c>
      <c r="C225" s="138">
        <f t="shared" si="6"/>
        <v>43922</v>
      </c>
      <c r="D225">
        <v>4.4924999999999997</v>
      </c>
      <c r="E225" s="24">
        <v>0.17</v>
      </c>
      <c r="F225" s="24">
        <v>6.3510292417526995E-2</v>
      </c>
      <c r="O225" s="23"/>
      <c r="V225" s="27">
        <v>0.5</v>
      </c>
      <c r="W225" s="27">
        <v>0.14499999999999999</v>
      </c>
      <c r="X225" s="23">
        <v>0.19500000000000001</v>
      </c>
      <c r="Y225" s="23">
        <v>0</v>
      </c>
      <c r="Z225" s="23">
        <v>-3.3500000000000002E-2</v>
      </c>
      <c r="AA225" s="23">
        <v>2.5000000000000001E-2</v>
      </c>
      <c r="AB225" s="23">
        <v>0.01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K225" s="23">
        <v>0</v>
      </c>
      <c r="AL225" s="23">
        <v>0</v>
      </c>
      <c r="AM225" s="23">
        <v>0.38</v>
      </c>
      <c r="AN225" s="23">
        <v>0.02</v>
      </c>
      <c r="AO225" s="23">
        <v>0</v>
      </c>
      <c r="AP225" s="23">
        <v>-7.0000000000000007E-2</v>
      </c>
      <c r="AQ225" s="23">
        <v>-0.19500000000000001</v>
      </c>
      <c r="AR225" s="23">
        <v>0</v>
      </c>
      <c r="AS225" s="23">
        <v>-0.37</v>
      </c>
      <c r="AT225" s="23">
        <v>0</v>
      </c>
      <c r="AU225" s="23">
        <v>0.43</v>
      </c>
      <c r="AV225" s="23">
        <v>0</v>
      </c>
      <c r="AW225" s="23">
        <v>-0.06</v>
      </c>
      <c r="AX225" s="23">
        <v>-0.06</v>
      </c>
      <c r="AY225" s="23">
        <v>0</v>
      </c>
      <c r="BA225" s="23">
        <v>0</v>
      </c>
      <c r="BB225" s="23">
        <v>0</v>
      </c>
      <c r="BD225" s="23">
        <v>-0.01</v>
      </c>
      <c r="BE225" s="23">
        <v>0</v>
      </c>
      <c r="BF225" s="23">
        <v>0</v>
      </c>
      <c r="BJ225" s="23">
        <v>0.36</v>
      </c>
      <c r="BK225" s="23">
        <v>0</v>
      </c>
      <c r="BL225" s="23">
        <v>-1.4999999999999999E-2</v>
      </c>
      <c r="BM225" s="23">
        <v>5.0000000000000001E-3</v>
      </c>
      <c r="BO225" s="23">
        <v>0</v>
      </c>
      <c r="BP225" s="23">
        <v>0</v>
      </c>
      <c r="BQ225" s="23">
        <v>0</v>
      </c>
      <c r="BR225" s="23">
        <v>0.02</v>
      </c>
      <c r="BS225"/>
      <c r="BT225">
        <v>0</v>
      </c>
      <c r="BU225">
        <v>0</v>
      </c>
      <c r="BV225">
        <v>0</v>
      </c>
    </row>
    <row r="226" spans="1:74" x14ac:dyDescent="0.25">
      <c r="A226" s="24"/>
      <c r="B226" s="24">
        <v>4.2300000000000004</v>
      </c>
      <c r="C226" s="138">
        <f t="shared" si="6"/>
        <v>43952</v>
      </c>
      <c r="D226">
        <v>4.4874999999999998</v>
      </c>
      <c r="E226" s="24">
        <v>0.17</v>
      </c>
      <c r="F226" s="24">
        <v>6.3552706869175205E-2</v>
      </c>
      <c r="O226" s="23"/>
      <c r="V226" s="27">
        <v>0.5</v>
      </c>
      <c r="W226" s="27">
        <v>0.125</v>
      </c>
      <c r="X226" s="23">
        <v>0.13500000000000001</v>
      </c>
      <c r="Y226" s="23">
        <v>0</v>
      </c>
      <c r="Z226" s="23">
        <v>-3.3500000000000002E-2</v>
      </c>
      <c r="AA226" s="23">
        <v>2.75E-2</v>
      </c>
      <c r="AB226" s="23">
        <v>1.2500000000000001E-2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K226" s="23">
        <v>0</v>
      </c>
      <c r="AL226" s="23">
        <v>0</v>
      </c>
      <c r="AM226" s="23">
        <v>0.33</v>
      </c>
      <c r="AN226" s="23">
        <v>0.02</v>
      </c>
      <c r="AO226" s="23">
        <v>0</v>
      </c>
      <c r="AP226" s="23">
        <v>-7.0000000000000007E-2</v>
      </c>
      <c r="AQ226" s="23">
        <v>-0.19500000000000001</v>
      </c>
      <c r="AR226" s="23">
        <v>0</v>
      </c>
      <c r="AS226" s="23">
        <v>-0.37</v>
      </c>
      <c r="AT226" s="23">
        <v>0</v>
      </c>
      <c r="AU226" s="23">
        <v>0.43</v>
      </c>
      <c r="AV226" s="23">
        <v>0</v>
      </c>
      <c r="AW226" s="23">
        <v>-0.06</v>
      </c>
      <c r="AX226" s="23">
        <v>-0.06</v>
      </c>
      <c r="AY226" s="23">
        <v>0</v>
      </c>
      <c r="BA226" s="23">
        <v>0</v>
      </c>
      <c r="BB226" s="23">
        <v>0</v>
      </c>
      <c r="BD226" s="23">
        <v>-0.01</v>
      </c>
      <c r="BE226" s="23">
        <v>0</v>
      </c>
      <c r="BF226" s="23">
        <v>0</v>
      </c>
      <c r="BJ226" s="23">
        <v>0.32500000000000001</v>
      </c>
      <c r="BK226" s="23">
        <v>0</v>
      </c>
      <c r="BL226" s="23">
        <v>-1.4999999999999999E-2</v>
      </c>
      <c r="BM226" s="23">
        <v>5.0000000000000001E-3</v>
      </c>
      <c r="BO226" s="23">
        <v>0</v>
      </c>
      <c r="BP226" s="23">
        <v>0</v>
      </c>
      <c r="BQ226" s="23">
        <v>0</v>
      </c>
      <c r="BR226" s="23">
        <v>0.02</v>
      </c>
      <c r="BS226"/>
      <c r="BT226">
        <v>0</v>
      </c>
      <c r="BU226">
        <v>0</v>
      </c>
      <c r="BV226">
        <v>0</v>
      </c>
    </row>
    <row r="227" spans="1:74" x14ac:dyDescent="0.25">
      <c r="A227" s="24"/>
      <c r="B227" s="24">
        <v>4.2940000000000005</v>
      </c>
      <c r="C227" s="138">
        <f t="shared" si="6"/>
        <v>43983</v>
      </c>
      <c r="D227">
        <v>4.5225</v>
      </c>
      <c r="E227" s="24">
        <v>0.17</v>
      </c>
      <c r="F227" s="24">
        <v>6.35965351365049E-2</v>
      </c>
      <c r="O227" s="23"/>
      <c r="V227" s="27">
        <v>0.5</v>
      </c>
      <c r="W227" s="23">
        <v>0.14499999999999999</v>
      </c>
      <c r="X227" s="23">
        <v>0.16500000000000001</v>
      </c>
      <c r="Y227" s="23">
        <v>0</v>
      </c>
      <c r="Z227" s="23">
        <v>-3.1E-2</v>
      </c>
      <c r="AA227" s="23">
        <v>2.75E-2</v>
      </c>
      <c r="AB227" s="23">
        <v>1.2500000000000001E-2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K227" s="23">
        <v>0</v>
      </c>
      <c r="AL227" s="23">
        <v>0</v>
      </c>
      <c r="AM227" s="23">
        <v>0.37</v>
      </c>
      <c r="AN227" s="23">
        <v>2.5000000000000001E-2</v>
      </c>
      <c r="AO227" s="23">
        <v>0</v>
      </c>
      <c r="AP227" s="23">
        <v>-7.0000000000000007E-2</v>
      </c>
      <c r="AQ227" s="23">
        <v>-0.19500000000000001</v>
      </c>
      <c r="AR227" s="23">
        <v>0</v>
      </c>
      <c r="AS227" s="23">
        <v>-0.37</v>
      </c>
      <c r="AT227" s="23">
        <v>0</v>
      </c>
      <c r="AU227" s="23">
        <v>0.43</v>
      </c>
      <c r="AV227" s="23">
        <v>0</v>
      </c>
      <c r="AW227" s="23">
        <v>-0.06</v>
      </c>
      <c r="AX227" s="23">
        <v>-0.06</v>
      </c>
      <c r="AY227" s="23">
        <v>0</v>
      </c>
      <c r="BA227" s="23">
        <v>0</v>
      </c>
      <c r="BB227" s="23">
        <v>0</v>
      </c>
      <c r="BD227" s="23">
        <v>-5.0000000000000001E-3</v>
      </c>
      <c r="BE227" s="23">
        <v>0</v>
      </c>
      <c r="BF227" s="23">
        <v>0</v>
      </c>
      <c r="BJ227" s="23">
        <v>0.33500000000000002</v>
      </c>
      <c r="BK227" s="23">
        <v>0</v>
      </c>
      <c r="BL227" s="23">
        <v>-1.4999999999999999E-2</v>
      </c>
      <c r="BM227" s="23">
        <v>5.0000000000000001E-3</v>
      </c>
      <c r="BO227" s="23">
        <v>0</v>
      </c>
      <c r="BP227" s="23">
        <v>0</v>
      </c>
      <c r="BQ227" s="23">
        <v>0</v>
      </c>
      <c r="BR227" s="23">
        <v>3.5000000000000003E-2</v>
      </c>
      <c r="BS227"/>
      <c r="BT227">
        <v>0</v>
      </c>
      <c r="BU227">
        <v>0</v>
      </c>
      <c r="BV227">
        <v>0</v>
      </c>
    </row>
    <row r="228" spans="1:74" x14ac:dyDescent="0.25">
      <c r="A228" s="24"/>
      <c r="B228" s="24">
        <v>4.5599999999999996</v>
      </c>
      <c r="C228" s="138">
        <f t="shared" si="6"/>
        <v>44013</v>
      </c>
      <c r="D228">
        <v>4.5625</v>
      </c>
      <c r="E228" s="24">
        <v>0.17</v>
      </c>
      <c r="F228" s="24">
        <v>6.3638949589366306E-2</v>
      </c>
      <c r="O228" s="23"/>
      <c r="V228" s="27">
        <v>0.5</v>
      </c>
      <c r="W228" s="23">
        <v>0.15</v>
      </c>
      <c r="X228" s="23">
        <v>0.20499999999999999</v>
      </c>
      <c r="Y228" s="23">
        <v>0</v>
      </c>
      <c r="Z228" s="23">
        <v>-3.1E-2</v>
      </c>
      <c r="AA228" s="23">
        <v>2.75E-2</v>
      </c>
      <c r="AB228" s="23">
        <v>1.2500000000000001E-2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K228" s="23">
        <v>0</v>
      </c>
      <c r="AL228" s="23">
        <v>0</v>
      </c>
      <c r="AM228" s="23">
        <v>0.41</v>
      </c>
      <c r="AN228" s="23">
        <v>2.75E-2</v>
      </c>
      <c r="AO228" s="23">
        <v>0</v>
      </c>
      <c r="AP228" s="23">
        <v>-7.0000000000000007E-2</v>
      </c>
      <c r="AQ228" s="23">
        <v>-0.19500000000000001</v>
      </c>
      <c r="AR228" s="23">
        <v>0</v>
      </c>
      <c r="AS228" s="23">
        <v>-0.37</v>
      </c>
      <c r="AT228" s="23">
        <v>0</v>
      </c>
      <c r="AU228" s="23">
        <v>0.43</v>
      </c>
      <c r="AV228" s="23">
        <v>0</v>
      </c>
      <c r="AW228" s="23">
        <v>-0.06</v>
      </c>
      <c r="AX228" s="23">
        <v>-0.06</v>
      </c>
      <c r="AY228" s="23">
        <v>0</v>
      </c>
      <c r="BA228" s="23">
        <v>0</v>
      </c>
      <c r="BB228" s="23">
        <v>0</v>
      </c>
      <c r="BD228" s="23">
        <v>-2.5000000000000001E-3</v>
      </c>
      <c r="BE228" s="23">
        <v>0</v>
      </c>
      <c r="BF228" s="23">
        <v>0</v>
      </c>
      <c r="BJ228" s="23">
        <v>0.35</v>
      </c>
      <c r="BK228" s="23">
        <v>0</v>
      </c>
      <c r="BL228" s="23">
        <v>-0.01</v>
      </c>
      <c r="BM228" s="23">
        <v>5.0000000000000001E-3</v>
      </c>
      <c r="BO228" s="23">
        <v>0</v>
      </c>
      <c r="BP228" s="23">
        <v>0</v>
      </c>
      <c r="BQ228" s="23">
        <v>0</v>
      </c>
      <c r="BR228" s="23">
        <v>3.5000000000000003E-2</v>
      </c>
      <c r="BS228"/>
      <c r="BT228">
        <v>0</v>
      </c>
      <c r="BU228">
        <v>0</v>
      </c>
      <c r="BV228">
        <v>0</v>
      </c>
    </row>
    <row r="229" spans="1:74" x14ac:dyDescent="0.25">
      <c r="A229" s="24"/>
      <c r="B229" s="24">
        <v>4.4969999999999999</v>
      </c>
      <c r="C229" s="138">
        <f t="shared" si="6"/>
        <v>44044</v>
      </c>
      <c r="D229">
        <v>4.6025</v>
      </c>
      <c r="E229" s="24">
        <v>0.17</v>
      </c>
      <c r="F229" s="24">
        <v>6.3682777857949596E-2</v>
      </c>
      <c r="O229" s="23"/>
      <c r="V229" s="27">
        <v>0.5</v>
      </c>
      <c r="W229" s="23">
        <v>0.15</v>
      </c>
      <c r="X229" s="23">
        <v>0.20499999999999999</v>
      </c>
      <c r="Y229" s="23">
        <v>0</v>
      </c>
      <c r="Z229" s="23">
        <v>-3.1E-2</v>
      </c>
      <c r="AA229" s="23">
        <v>2.2499999999999999E-2</v>
      </c>
      <c r="AB229" s="23">
        <v>7.4999999999999997E-3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K229" s="23">
        <v>0</v>
      </c>
      <c r="AL229" s="23">
        <v>0</v>
      </c>
      <c r="AM229" s="23">
        <v>0.41</v>
      </c>
      <c r="AN229" s="23">
        <v>0.03</v>
      </c>
      <c r="AO229" s="23">
        <v>0</v>
      </c>
      <c r="AP229" s="23">
        <v>-7.0000000000000007E-2</v>
      </c>
      <c r="AQ229" s="23">
        <v>-0.19500000000000001</v>
      </c>
      <c r="AR229" s="23">
        <v>0</v>
      </c>
      <c r="AS229" s="23">
        <v>-0.37</v>
      </c>
      <c r="AT229" s="23">
        <v>0</v>
      </c>
      <c r="AU229" s="23">
        <v>0.43</v>
      </c>
      <c r="AV229" s="23">
        <v>0</v>
      </c>
      <c r="AW229" s="23">
        <v>-0.06</v>
      </c>
      <c r="AX229" s="23">
        <v>-0.06</v>
      </c>
      <c r="AY229" s="23">
        <v>0</v>
      </c>
      <c r="BA229" s="23">
        <v>0</v>
      </c>
      <c r="BB229" s="23">
        <v>0</v>
      </c>
      <c r="BD229" s="23">
        <v>0</v>
      </c>
      <c r="BE229" s="23">
        <v>0</v>
      </c>
      <c r="BF229" s="23">
        <v>0</v>
      </c>
      <c r="BJ229" s="23">
        <v>0.35</v>
      </c>
      <c r="BK229" s="23">
        <v>0</v>
      </c>
      <c r="BL229" s="23">
        <v>-0.01</v>
      </c>
      <c r="BM229" s="23">
        <v>5.0000000000000001E-3</v>
      </c>
      <c r="BO229" s="23">
        <v>0</v>
      </c>
      <c r="BP229" s="23">
        <v>0</v>
      </c>
      <c r="BQ229" s="23">
        <v>0</v>
      </c>
      <c r="BR229" s="23">
        <v>0.01</v>
      </c>
      <c r="BS229"/>
      <c r="BT229">
        <v>0</v>
      </c>
      <c r="BU229">
        <v>0</v>
      </c>
      <c r="BV229">
        <v>0</v>
      </c>
    </row>
    <row r="230" spans="1:74" x14ac:dyDescent="0.25">
      <c r="A230" s="24"/>
      <c r="B230" s="24">
        <v>4.3869999999999996</v>
      </c>
      <c r="C230" s="138">
        <f t="shared" si="6"/>
        <v>44075</v>
      </c>
      <c r="D230">
        <v>4.5975000000000001</v>
      </c>
      <c r="E230" s="24">
        <v>0.17</v>
      </c>
      <c r="F230" s="24">
        <v>6.3726606127170599E-2</v>
      </c>
      <c r="O230" s="23"/>
      <c r="V230" s="27">
        <v>0.5</v>
      </c>
      <c r="W230" s="23">
        <v>0.125</v>
      </c>
      <c r="X230" s="23">
        <v>0.14499999999999999</v>
      </c>
      <c r="Y230" s="23">
        <v>0</v>
      </c>
      <c r="Z230" s="23">
        <v>-3.5999999999999997E-2</v>
      </c>
      <c r="AA230" s="23">
        <v>2.2499999999999999E-2</v>
      </c>
      <c r="AB230" s="23">
        <v>7.4999999999999997E-3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K230" s="23">
        <v>0</v>
      </c>
      <c r="AL230" s="23">
        <v>0</v>
      </c>
      <c r="AM230" s="23">
        <v>0.36</v>
      </c>
      <c r="AN230" s="23">
        <v>2.2499999999999999E-2</v>
      </c>
      <c r="AO230" s="23">
        <v>0</v>
      </c>
      <c r="AP230" s="23">
        <v>-7.0000000000000007E-2</v>
      </c>
      <c r="AQ230" s="23">
        <v>-0.19500000000000001</v>
      </c>
      <c r="AR230" s="23">
        <v>0</v>
      </c>
      <c r="AS230" s="23">
        <v>-0.37</v>
      </c>
      <c r="AT230" s="23">
        <v>0</v>
      </c>
      <c r="AU230" s="23">
        <v>0.43</v>
      </c>
      <c r="AV230" s="23">
        <v>0</v>
      </c>
      <c r="AW230" s="23">
        <v>-0.06</v>
      </c>
      <c r="AX230" s="23">
        <v>-0.06</v>
      </c>
      <c r="AY230" s="23">
        <v>0</v>
      </c>
      <c r="BA230" s="23">
        <v>0</v>
      </c>
      <c r="BB230" s="23">
        <v>0</v>
      </c>
      <c r="BD230" s="23">
        <v>-7.4999999999999997E-3</v>
      </c>
      <c r="BE230" s="23">
        <v>0</v>
      </c>
      <c r="BF230" s="23">
        <v>0</v>
      </c>
      <c r="BJ230" s="23">
        <v>0.315</v>
      </c>
      <c r="BK230" s="23">
        <v>0</v>
      </c>
      <c r="BL230" s="23">
        <v>-0.01</v>
      </c>
      <c r="BM230" s="23">
        <v>5.0000000000000001E-3</v>
      </c>
      <c r="BO230" s="23">
        <v>0</v>
      </c>
      <c r="BP230" s="23">
        <v>0</v>
      </c>
      <c r="BQ230" s="23">
        <v>0</v>
      </c>
      <c r="BR230" s="23">
        <v>0.01</v>
      </c>
      <c r="BS230"/>
      <c r="BT230">
        <v>0</v>
      </c>
      <c r="BU230">
        <v>0</v>
      </c>
      <c r="BV230">
        <v>0</v>
      </c>
    </row>
    <row r="231" spans="1:74" x14ac:dyDescent="0.25">
      <c r="A231" s="24"/>
      <c r="B231" s="24">
        <v>4.28</v>
      </c>
      <c r="C231" s="138">
        <f t="shared" si="6"/>
        <v>44105</v>
      </c>
      <c r="D231">
        <v>4.6224999999999996</v>
      </c>
      <c r="E231" s="24">
        <v>0.17</v>
      </c>
      <c r="F231" s="24">
        <v>6.3769020581861305E-2</v>
      </c>
      <c r="O231" s="23"/>
      <c r="V231" s="27">
        <v>0.5</v>
      </c>
      <c r="W231" s="23">
        <v>0.14499999999999999</v>
      </c>
      <c r="X231" s="23">
        <v>0.17499999999999999</v>
      </c>
      <c r="Y231" s="23">
        <v>0</v>
      </c>
      <c r="Z231" s="23">
        <v>-3.5999999999999997E-2</v>
      </c>
      <c r="AA231" s="23">
        <v>1.7500000000000002E-2</v>
      </c>
      <c r="AB231" s="23">
        <v>2.5000000000000001E-3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K231" s="23">
        <v>0</v>
      </c>
      <c r="AL231" s="23">
        <v>0</v>
      </c>
      <c r="AM231" s="23">
        <v>0.4</v>
      </c>
      <c r="AN231" s="23">
        <v>1.2500000000000001E-2</v>
      </c>
      <c r="AO231" s="23">
        <v>0</v>
      </c>
      <c r="AP231" s="23">
        <v>-7.0000000000000007E-2</v>
      </c>
      <c r="AQ231" s="23">
        <v>-0.19500000000000001</v>
      </c>
      <c r="AR231" s="23">
        <v>0</v>
      </c>
      <c r="AS231" s="23">
        <v>-0.37</v>
      </c>
      <c r="AT231" s="23">
        <v>0</v>
      </c>
      <c r="AU231" s="23">
        <v>0.43</v>
      </c>
      <c r="AV231" s="23">
        <v>0</v>
      </c>
      <c r="AW231" s="23">
        <v>-0.06</v>
      </c>
      <c r="AX231" s="23">
        <v>-0.06</v>
      </c>
      <c r="AY231" s="23">
        <v>0</v>
      </c>
      <c r="BA231" s="23">
        <v>0</v>
      </c>
      <c r="BB231" s="23">
        <v>0</v>
      </c>
      <c r="BD231" s="23">
        <v>-1.7500000000000002E-2</v>
      </c>
      <c r="BE231" s="23">
        <v>0</v>
      </c>
      <c r="BF231" s="23">
        <v>0</v>
      </c>
      <c r="BJ231" s="23">
        <v>0.36</v>
      </c>
      <c r="BK231" s="23">
        <v>0</v>
      </c>
      <c r="BL231" s="23">
        <v>-1.4999999999999999E-2</v>
      </c>
      <c r="BM231" s="23">
        <v>5.0000000000000001E-3</v>
      </c>
      <c r="BO231" s="23">
        <v>0</v>
      </c>
      <c r="BP231" s="23">
        <v>0</v>
      </c>
      <c r="BQ231" s="23">
        <v>0</v>
      </c>
      <c r="BR231" s="23">
        <v>0.01</v>
      </c>
      <c r="BS231"/>
      <c r="BT231">
        <v>0</v>
      </c>
      <c r="BU231">
        <v>0</v>
      </c>
      <c r="BV231">
        <v>0</v>
      </c>
    </row>
    <row r="232" spans="1:74" x14ac:dyDescent="0.25">
      <c r="A232" s="24"/>
      <c r="B232" s="24">
        <v>4.2679999999999998</v>
      </c>
      <c r="C232" s="138">
        <f t="shared" si="6"/>
        <v>44136</v>
      </c>
      <c r="D232">
        <v>4.7744999999999997</v>
      </c>
      <c r="E232" s="24">
        <v>0.17</v>
      </c>
      <c r="F232" s="24">
        <v>6.3812848852335999E-2</v>
      </c>
      <c r="O232" s="23"/>
      <c r="V232" s="27">
        <v>0.5</v>
      </c>
      <c r="W232" s="23">
        <v>0.19500000000000001</v>
      </c>
      <c r="X232" s="23">
        <v>0.21</v>
      </c>
      <c r="Y232" s="23">
        <v>0</v>
      </c>
      <c r="Z232" s="23">
        <v>-1.7000000000000001E-2</v>
      </c>
      <c r="AA232" s="23">
        <v>1.8499999999999999E-2</v>
      </c>
      <c r="AB232" s="23">
        <v>3.5000000000000001E-3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K232" s="23">
        <v>0</v>
      </c>
      <c r="AL232" s="23">
        <v>0</v>
      </c>
      <c r="AM232" s="23">
        <v>0.65</v>
      </c>
      <c r="AN232" s="23">
        <v>-2.2499999999999999E-2</v>
      </c>
      <c r="AO232" s="23">
        <v>0</v>
      </c>
      <c r="AP232" s="23">
        <v>-7.0000000000000007E-2</v>
      </c>
      <c r="AQ232" s="23">
        <v>0</v>
      </c>
      <c r="AR232" s="23">
        <v>0</v>
      </c>
      <c r="AS232" s="23">
        <v>0</v>
      </c>
      <c r="AT232" s="23">
        <v>0</v>
      </c>
      <c r="AU232" s="23">
        <v>0.35</v>
      </c>
      <c r="AV232" s="23">
        <v>0</v>
      </c>
      <c r="AW232" s="23">
        <v>-0.06</v>
      </c>
      <c r="AX232" s="23">
        <v>-0.06</v>
      </c>
      <c r="AY232" s="23">
        <v>0</v>
      </c>
      <c r="BA232" s="23">
        <v>0</v>
      </c>
      <c r="BB232" s="23">
        <v>0</v>
      </c>
      <c r="BD232" s="23">
        <v>-5.2499999999999998E-2</v>
      </c>
      <c r="BE232" s="23">
        <v>0</v>
      </c>
      <c r="BF232" s="23">
        <v>0</v>
      </c>
      <c r="BJ232" s="23">
        <v>0.46</v>
      </c>
      <c r="BK232" s="23">
        <v>0</v>
      </c>
      <c r="BL232" s="23">
        <v>-0.02</v>
      </c>
      <c r="BM232" s="23">
        <v>5.0000000000000001E-3</v>
      </c>
      <c r="BO232" s="23">
        <v>0</v>
      </c>
      <c r="BP232" s="23">
        <v>0</v>
      </c>
      <c r="BQ232" s="23">
        <v>0</v>
      </c>
      <c r="BR232" s="23">
        <v>5.5E-2</v>
      </c>
      <c r="BS232"/>
      <c r="BT232">
        <v>0</v>
      </c>
      <c r="BU232">
        <v>0</v>
      </c>
      <c r="BV232">
        <v>0</v>
      </c>
    </row>
    <row r="233" spans="1:74" x14ac:dyDescent="0.25">
      <c r="A233" s="24"/>
      <c r="B233" s="24">
        <v>4.2640000000000002</v>
      </c>
      <c r="C233" s="138">
        <f t="shared" si="6"/>
        <v>44166</v>
      </c>
      <c r="D233">
        <v>4.9175000000000004</v>
      </c>
      <c r="E233" s="24">
        <v>0.17</v>
      </c>
      <c r="F233" s="24">
        <v>6.3855263308239901E-2</v>
      </c>
      <c r="O233" s="23"/>
      <c r="V233" s="27">
        <v>0.5</v>
      </c>
      <c r="W233" s="23">
        <v>0.215</v>
      </c>
      <c r="X233" s="23">
        <v>0.28999999999999998</v>
      </c>
      <c r="Y233" s="23">
        <v>0</v>
      </c>
      <c r="Z233" s="23">
        <v>-1.7000000000000001E-2</v>
      </c>
      <c r="AA233" s="23">
        <v>1.8499999999999999E-2</v>
      </c>
      <c r="AB233" s="23">
        <v>3.5000000000000001E-3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K233" s="23">
        <v>0</v>
      </c>
      <c r="AL233" s="23">
        <v>0</v>
      </c>
      <c r="AM233" s="23">
        <v>0.98</v>
      </c>
      <c r="AN233" s="23">
        <v>-4.4999999999999998E-2</v>
      </c>
      <c r="AO233" s="23">
        <v>0</v>
      </c>
      <c r="AP233" s="23">
        <v>-7.0000000000000007E-2</v>
      </c>
      <c r="AQ233" s="23">
        <v>0</v>
      </c>
      <c r="AR233" s="23">
        <v>0</v>
      </c>
      <c r="AS233" s="23">
        <v>0</v>
      </c>
      <c r="AT233" s="23">
        <v>0</v>
      </c>
      <c r="AU233" s="23">
        <v>0.35</v>
      </c>
      <c r="AV233" s="23">
        <v>0</v>
      </c>
      <c r="AW233" s="23">
        <v>-0.06</v>
      </c>
      <c r="AX233" s="23">
        <v>-0.06</v>
      </c>
      <c r="AY233" s="23">
        <v>0</v>
      </c>
      <c r="BA233" s="23">
        <v>0</v>
      </c>
      <c r="BB233" s="23">
        <v>0</v>
      </c>
      <c r="BD233" s="23">
        <v>-7.4999999999999997E-2</v>
      </c>
      <c r="BE233" s="23">
        <v>0</v>
      </c>
      <c r="BF233" s="23">
        <v>0</v>
      </c>
      <c r="BJ233" s="23">
        <v>0.77</v>
      </c>
      <c r="BK233" s="23">
        <v>0</v>
      </c>
      <c r="BL233" s="23">
        <v>-2.5000000000000001E-2</v>
      </c>
      <c r="BM233" s="23">
        <v>5.0000000000000001E-3</v>
      </c>
      <c r="BO233" s="23">
        <v>0</v>
      </c>
      <c r="BP233" s="23">
        <v>0</v>
      </c>
      <c r="BQ233" s="23">
        <v>0</v>
      </c>
      <c r="BR233" s="23">
        <v>0.25</v>
      </c>
      <c r="BS233"/>
      <c r="BT233">
        <v>0</v>
      </c>
      <c r="BU233">
        <v>0</v>
      </c>
      <c r="BV233">
        <v>0</v>
      </c>
    </row>
    <row r="234" spans="1:74" x14ac:dyDescent="0.25">
      <c r="A234" s="24"/>
      <c r="B234" s="24">
        <v>4.3290000000000006</v>
      </c>
      <c r="C234" s="138">
        <f t="shared" si="6"/>
        <v>44197</v>
      </c>
      <c r="D234">
        <v>4.9775</v>
      </c>
      <c r="E234" s="24">
        <v>0.17</v>
      </c>
      <c r="F234" s="24">
        <v>6.3899091579967801E-2</v>
      </c>
      <c r="O234" s="23"/>
      <c r="V234" s="27">
        <v>0.5</v>
      </c>
      <c r="W234" s="23">
        <v>0.23499999999999999</v>
      </c>
      <c r="X234" s="23">
        <v>0.34</v>
      </c>
      <c r="Y234" s="23">
        <v>0</v>
      </c>
      <c r="Z234" s="23">
        <v>-1.7000000000000001E-2</v>
      </c>
      <c r="AA234" s="23">
        <v>1.8499999999999999E-2</v>
      </c>
      <c r="AB234" s="23">
        <v>3.5000000000000001E-3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K234" s="23">
        <v>0</v>
      </c>
      <c r="AL234" s="23">
        <v>0</v>
      </c>
      <c r="AM234" s="23">
        <v>1.6</v>
      </c>
      <c r="AN234" s="23">
        <v>-4.7500000000000001E-2</v>
      </c>
      <c r="AO234" s="23">
        <v>0</v>
      </c>
      <c r="AP234" s="23">
        <v>-7.0000000000000007E-2</v>
      </c>
      <c r="AQ234" s="23">
        <v>0</v>
      </c>
      <c r="AS234" s="23">
        <v>0</v>
      </c>
      <c r="AT234" s="23">
        <v>0</v>
      </c>
      <c r="AU234" s="23">
        <v>0.35</v>
      </c>
      <c r="AV234" s="23">
        <v>0</v>
      </c>
      <c r="AW234" s="23">
        <v>-0.06</v>
      </c>
      <c r="AX234" s="23">
        <v>-0.06</v>
      </c>
      <c r="AY234" s="23">
        <v>0</v>
      </c>
      <c r="BA234" s="23">
        <v>0</v>
      </c>
      <c r="BB234" s="23">
        <v>0</v>
      </c>
      <c r="BD234" s="23">
        <v>-7.7499999999999999E-2</v>
      </c>
      <c r="BE234" s="23">
        <v>0</v>
      </c>
      <c r="BF234" s="23">
        <v>0</v>
      </c>
      <c r="BJ234" s="23">
        <v>1.04</v>
      </c>
      <c r="BK234" s="23">
        <v>0</v>
      </c>
      <c r="BL234" s="23">
        <v>-2.5000000000000001E-2</v>
      </c>
      <c r="BM234" s="23">
        <v>5.0000000000000001E-3</v>
      </c>
      <c r="BO234" s="23">
        <v>0</v>
      </c>
      <c r="BP234" s="23">
        <v>0</v>
      </c>
      <c r="BQ234" s="23">
        <v>0</v>
      </c>
      <c r="BR234" s="23">
        <v>0.45</v>
      </c>
      <c r="BS234"/>
      <c r="BT234">
        <v>0</v>
      </c>
      <c r="BU234">
        <v>0</v>
      </c>
      <c r="BV234">
        <v>0</v>
      </c>
    </row>
    <row r="235" spans="1:74" x14ac:dyDescent="0.25">
      <c r="A235" s="24"/>
      <c r="B235" s="24">
        <v>4.3240000000000007</v>
      </c>
      <c r="C235" s="138">
        <f t="shared" si="6"/>
        <v>44228</v>
      </c>
      <c r="D235">
        <v>4.8925000000000001</v>
      </c>
      <c r="E235" s="24">
        <v>0.17</v>
      </c>
      <c r="F235" s="24">
        <v>6.3942919852332497E-2</v>
      </c>
      <c r="O235" s="23"/>
      <c r="V235" s="27">
        <v>0.5</v>
      </c>
      <c r="W235" s="23">
        <v>0.23499999999999999</v>
      </c>
      <c r="X235" s="23">
        <v>0.34</v>
      </c>
      <c r="Y235" s="23">
        <v>0</v>
      </c>
      <c r="Z235" s="23">
        <v>-1.7000000000000001E-2</v>
      </c>
      <c r="AA235" s="23">
        <v>1.8499999999999999E-2</v>
      </c>
      <c r="AB235" s="23">
        <v>3.5000000000000001E-3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K235" s="23">
        <v>0</v>
      </c>
      <c r="AL235" s="23">
        <v>0</v>
      </c>
      <c r="AM235" s="23">
        <v>1.6</v>
      </c>
      <c r="AN235" s="23">
        <v>-0.03</v>
      </c>
      <c r="AO235" s="23">
        <v>0</v>
      </c>
      <c r="AP235" s="23">
        <v>-7.0000000000000007E-2</v>
      </c>
      <c r="AQ235" s="23">
        <v>0</v>
      </c>
      <c r="AS235" s="23">
        <v>0</v>
      </c>
      <c r="AT235" s="23">
        <v>0</v>
      </c>
      <c r="AU235" s="23">
        <v>0.35</v>
      </c>
      <c r="AV235" s="23">
        <v>0</v>
      </c>
      <c r="AW235" s="23">
        <v>-0.06</v>
      </c>
      <c r="AX235" s="23">
        <v>-0.06</v>
      </c>
      <c r="AY235" s="23">
        <v>0</v>
      </c>
      <c r="BA235" s="23">
        <v>0</v>
      </c>
      <c r="BB235" s="23">
        <v>0</v>
      </c>
      <c r="BD235" s="23">
        <v>-0.06</v>
      </c>
      <c r="BE235" s="23">
        <v>0</v>
      </c>
      <c r="BF235" s="23">
        <v>0</v>
      </c>
      <c r="BJ235" s="23">
        <v>1.04</v>
      </c>
      <c r="BK235" s="23">
        <v>0</v>
      </c>
      <c r="BL235" s="23">
        <v>-2.5000000000000001E-2</v>
      </c>
      <c r="BM235" s="23">
        <v>5.0000000000000001E-3</v>
      </c>
      <c r="BO235" s="23">
        <v>0</v>
      </c>
      <c r="BP235" s="23">
        <v>0</v>
      </c>
      <c r="BQ235" s="23">
        <v>0</v>
      </c>
      <c r="BR235" s="23">
        <v>0.45</v>
      </c>
      <c r="BS235"/>
      <c r="BT235">
        <v>0</v>
      </c>
      <c r="BU235">
        <v>0</v>
      </c>
      <c r="BV235">
        <v>0</v>
      </c>
    </row>
    <row r="236" spans="1:74" x14ac:dyDescent="0.25">
      <c r="A236" s="24"/>
      <c r="B236" s="24">
        <v>4.298</v>
      </c>
      <c r="C236" s="138">
        <f t="shared" si="6"/>
        <v>44256</v>
      </c>
      <c r="D236">
        <v>4.7625000000000002</v>
      </c>
      <c r="E236" s="24">
        <v>0.17</v>
      </c>
      <c r="F236" s="24">
        <v>6.39825066795323E-2</v>
      </c>
      <c r="O236" s="23"/>
      <c r="V236" s="27">
        <v>0.5</v>
      </c>
      <c r="W236" s="23">
        <v>0.19500000000000001</v>
      </c>
      <c r="X236" s="23">
        <v>0.28999999999999998</v>
      </c>
      <c r="Y236" s="23">
        <v>0</v>
      </c>
      <c r="Z236" s="23">
        <v>-1.7000000000000001E-2</v>
      </c>
      <c r="AA236" s="23">
        <v>2.5999999999999999E-2</v>
      </c>
      <c r="AB236" s="23">
        <v>1.0999999999999999E-2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K236" s="23">
        <v>0</v>
      </c>
      <c r="AL236" s="23">
        <v>0</v>
      </c>
      <c r="AM236" s="23">
        <v>0.64</v>
      </c>
      <c r="AN236" s="23">
        <v>-1.7500000000000002E-2</v>
      </c>
      <c r="AO236" s="23">
        <v>0</v>
      </c>
      <c r="AP236" s="23">
        <v>-7.0000000000000007E-2</v>
      </c>
      <c r="AQ236" s="23">
        <v>0</v>
      </c>
      <c r="AS236" s="23">
        <v>0</v>
      </c>
      <c r="AT236" s="23">
        <v>0</v>
      </c>
      <c r="AU236" s="23">
        <v>0.35</v>
      </c>
      <c r="AV236" s="23">
        <v>0</v>
      </c>
      <c r="AW236" s="23">
        <v>-0.06</v>
      </c>
      <c r="AX236" s="23">
        <v>-0.06</v>
      </c>
      <c r="AY236" s="23">
        <v>0</v>
      </c>
      <c r="BA236" s="23">
        <v>0</v>
      </c>
      <c r="BB236" s="23">
        <v>0</v>
      </c>
      <c r="BD236" s="23">
        <v>-4.7500000000000001E-2</v>
      </c>
      <c r="BE236" s="23">
        <v>0</v>
      </c>
      <c r="BF236" s="23">
        <v>0</v>
      </c>
      <c r="BJ236" s="23">
        <v>0.54</v>
      </c>
      <c r="BK236" s="23">
        <v>0</v>
      </c>
      <c r="BL236" s="23">
        <v>-0.02</v>
      </c>
      <c r="BM236" s="23">
        <v>5.0000000000000001E-3</v>
      </c>
      <c r="BO236" s="23">
        <v>0</v>
      </c>
      <c r="BP236" s="23">
        <v>0</v>
      </c>
      <c r="BQ236" s="23">
        <v>0</v>
      </c>
      <c r="BR236" s="23">
        <v>0.1</v>
      </c>
      <c r="BS236"/>
      <c r="BT236">
        <v>0</v>
      </c>
      <c r="BU236">
        <v>0</v>
      </c>
      <c r="BV236">
        <v>0</v>
      </c>
    </row>
    <row r="237" spans="1:74" x14ac:dyDescent="0.25">
      <c r="A237" s="24"/>
      <c r="B237" s="24">
        <v>4.3</v>
      </c>
      <c r="C237" s="138">
        <f t="shared" si="6"/>
        <v>44287</v>
      </c>
      <c r="D237">
        <v>4.5774999999999997</v>
      </c>
      <c r="E237" s="24">
        <v>0.17</v>
      </c>
      <c r="F237" s="24">
        <v>6.4026334953109804E-2</v>
      </c>
      <c r="O237" s="23"/>
      <c r="V237" s="27">
        <v>0.5</v>
      </c>
      <c r="W237" s="23">
        <v>0.14499999999999999</v>
      </c>
      <c r="X237" s="23">
        <v>0.19500000000000001</v>
      </c>
      <c r="Y237" s="23">
        <v>0</v>
      </c>
      <c r="Z237" s="23">
        <v>-3.2000000000000001E-2</v>
      </c>
      <c r="AA237" s="23">
        <v>2.5999999999999999E-2</v>
      </c>
      <c r="AB237" s="23">
        <v>1.0999999999999999E-2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K237" s="23">
        <v>0</v>
      </c>
      <c r="AL237" s="23">
        <v>0</v>
      </c>
      <c r="AM237" s="23">
        <v>0.38</v>
      </c>
      <c r="AN237" s="23">
        <v>0.02</v>
      </c>
      <c r="AO237" s="23">
        <v>0</v>
      </c>
      <c r="AP237" s="23">
        <v>-7.0000000000000007E-2</v>
      </c>
      <c r="AQ237" s="23">
        <v>0</v>
      </c>
      <c r="AS237" s="23">
        <v>0</v>
      </c>
      <c r="AT237" s="23">
        <v>0</v>
      </c>
      <c r="AU237" s="23">
        <v>0.43</v>
      </c>
      <c r="AV237" s="23">
        <v>0</v>
      </c>
      <c r="AW237" s="23">
        <v>-0.06</v>
      </c>
      <c r="AX237" s="23">
        <v>-0.06</v>
      </c>
      <c r="AY237" s="23">
        <v>0</v>
      </c>
      <c r="BA237" s="23">
        <v>0</v>
      </c>
      <c r="BB237" s="23">
        <v>0</v>
      </c>
      <c r="BD237" s="23">
        <v>-0.01</v>
      </c>
      <c r="BE237" s="23">
        <v>0</v>
      </c>
      <c r="BF237" s="23">
        <v>0</v>
      </c>
      <c r="BJ237" s="23">
        <v>0.36</v>
      </c>
      <c r="BK237" s="23">
        <v>0</v>
      </c>
      <c r="BL237" s="23">
        <v>-1.4999999999999999E-2</v>
      </c>
      <c r="BM237" s="23">
        <v>5.0000000000000001E-3</v>
      </c>
      <c r="BO237" s="23">
        <v>0</v>
      </c>
      <c r="BP237" s="23">
        <v>0</v>
      </c>
      <c r="BQ237" s="23">
        <v>0</v>
      </c>
      <c r="BR237" s="23">
        <v>0.02</v>
      </c>
      <c r="BS237"/>
      <c r="BT237">
        <v>0</v>
      </c>
      <c r="BU237">
        <v>0</v>
      </c>
      <c r="BV237">
        <v>0</v>
      </c>
    </row>
    <row r="238" spans="1:74" x14ac:dyDescent="0.25">
      <c r="A238" s="24"/>
      <c r="B238" s="24">
        <v>4.3319999999999999</v>
      </c>
      <c r="C238" s="138">
        <f t="shared" si="6"/>
        <v>44317</v>
      </c>
      <c r="D238">
        <v>4.5724999999999998</v>
      </c>
      <c r="E238" s="24">
        <v>0.17</v>
      </c>
      <c r="F238" s="24">
        <v>6.4068749412016707E-2</v>
      </c>
      <c r="O238" s="23"/>
      <c r="V238" s="27">
        <v>0.5</v>
      </c>
      <c r="W238" s="23">
        <v>0.125</v>
      </c>
      <c r="X238" s="23">
        <v>0.13500000000000001</v>
      </c>
      <c r="Y238" s="23">
        <v>0</v>
      </c>
      <c r="Z238" s="23">
        <v>-3.2000000000000001E-2</v>
      </c>
      <c r="AA238" s="23">
        <v>2.8500000000000001E-2</v>
      </c>
      <c r="AB238" s="23">
        <v>1.35E-2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K238" s="23">
        <v>0</v>
      </c>
      <c r="AL238" s="23">
        <v>0</v>
      </c>
      <c r="AM238" s="23">
        <v>0.33</v>
      </c>
      <c r="AN238" s="23">
        <v>0.02</v>
      </c>
      <c r="AO238" s="23">
        <v>0</v>
      </c>
      <c r="AP238" s="23">
        <v>-7.0000000000000007E-2</v>
      </c>
      <c r="AQ238" s="23">
        <v>0</v>
      </c>
      <c r="AS238" s="23">
        <v>0</v>
      </c>
      <c r="AT238" s="23">
        <v>0</v>
      </c>
      <c r="AU238" s="23">
        <v>0.43</v>
      </c>
      <c r="AV238" s="23">
        <v>0</v>
      </c>
      <c r="AW238" s="23">
        <v>-0.06</v>
      </c>
      <c r="AX238" s="23">
        <v>-0.06</v>
      </c>
      <c r="AY238" s="23">
        <v>0</v>
      </c>
      <c r="BA238" s="23">
        <v>0</v>
      </c>
      <c r="BB238" s="23">
        <v>0</v>
      </c>
      <c r="BD238" s="23">
        <v>-0.01</v>
      </c>
      <c r="BE238" s="23">
        <v>0</v>
      </c>
      <c r="BF238" s="23">
        <v>0</v>
      </c>
      <c r="BJ238" s="23">
        <v>0.32500000000000001</v>
      </c>
      <c r="BK238" s="23">
        <v>0</v>
      </c>
      <c r="BL238" s="23">
        <v>-1.4999999999999999E-2</v>
      </c>
      <c r="BM238" s="23">
        <v>5.0000000000000001E-3</v>
      </c>
      <c r="BO238" s="23">
        <v>0</v>
      </c>
      <c r="BP238" s="23">
        <v>0</v>
      </c>
      <c r="BQ238" s="23">
        <v>0</v>
      </c>
      <c r="BR238" s="23">
        <v>0.02</v>
      </c>
      <c r="BS238"/>
      <c r="BT238">
        <v>0</v>
      </c>
      <c r="BU238">
        <v>0</v>
      </c>
      <c r="BV238">
        <v>0</v>
      </c>
    </row>
    <row r="239" spans="1:74" x14ac:dyDescent="0.25">
      <c r="A239" s="24"/>
      <c r="B239" s="24">
        <v>4.3929999999999998</v>
      </c>
      <c r="C239" s="138">
        <f t="shared" si="6"/>
        <v>44348</v>
      </c>
      <c r="D239">
        <v>4.6074999999999999</v>
      </c>
      <c r="E239" s="24">
        <v>0.17</v>
      </c>
      <c r="F239" s="24">
        <v>6.4112577686847E-2</v>
      </c>
      <c r="O239" s="23"/>
      <c r="V239" s="27">
        <v>0.5</v>
      </c>
      <c r="W239" s="23">
        <v>0.14499999999999999</v>
      </c>
      <c r="X239" s="23">
        <v>0.16500000000000001</v>
      </c>
      <c r="Y239" s="23">
        <v>0</v>
      </c>
      <c r="Z239" s="23">
        <v>-2.9499999999999998E-2</v>
      </c>
      <c r="AA239" s="23">
        <v>2.8500000000000001E-2</v>
      </c>
      <c r="AB239" s="23">
        <v>1.35E-2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K239" s="23">
        <v>0</v>
      </c>
      <c r="AL239" s="23">
        <v>0</v>
      </c>
      <c r="AM239" s="23">
        <v>0.37</v>
      </c>
      <c r="AN239" s="23">
        <v>2.5000000000000001E-2</v>
      </c>
      <c r="AO239" s="23">
        <v>0</v>
      </c>
      <c r="AP239" s="23">
        <v>-7.0000000000000007E-2</v>
      </c>
      <c r="AQ239" s="23">
        <v>0</v>
      </c>
      <c r="AS239" s="23">
        <v>0</v>
      </c>
      <c r="AT239" s="23">
        <v>0</v>
      </c>
      <c r="AU239" s="23">
        <v>0.43</v>
      </c>
      <c r="AV239" s="23">
        <v>0</v>
      </c>
      <c r="AW239" s="23">
        <v>-0.06</v>
      </c>
      <c r="AX239" s="23">
        <v>-0.06</v>
      </c>
      <c r="AY239" s="23">
        <v>0</v>
      </c>
      <c r="BA239" s="23">
        <v>0</v>
      </c>
      <c r="BB239" s="23">
        <v>0</v>
      </c>
      <c r="BD239" s="23">
        <v>-5.0000000000000001E-3</v>
      </c>
      <c r="BE239" s="23">
        <v>0</v>
      </c>
      <c r="BF239" s="23">
        <v>0</v>
      </c>
      <c r="BJ239" s="23">
        <v>0.33500000000000002</v>
      </c>
      <c r="BK239" s="23">
        <v>0</v>
      </c>
      <c r="BL239" s="23">
        <v>-1.4999999999999999E-2</v>
      </c>
      <c r="BM239" s="23">
        <v>5.0000000000000001E-3</v>
      </c>
      <c r="BO239" s="23">
        <v>0</v>
      </c>
      <c r="BP239" s="23">
        <v>0</v>
      </c>
      <c r="BQ239" s="23">
        <v>0</v>
      </c>
      <c r="BR239" s="23">
        <v>3.5000000000000003E-2</v>
      </c>
      <c r="BS239"/>
      <c r="BT239">
        <v>0</v>
      </c>
      <c r="BU239">
        <v>0</v>
      </c>
      <c r="BV239">
        <v>0</v>
      </c>
    </row>
    <row r="240" spans="1:74" x14ac:dyDescent="0.25">
      <c r="A240" s="24"/>
      <c r="B240" s="24">
        <v>4.657</v>
      </c>
      <c r="C240" s="138">
        <f t="shared" si="6"/>
        <v>44378</v>
      </c>
      <c r="D240">
        <v>4.6475</v>
      </c>
      <c r="E240" s="24">
        <v>0.17</v>
      </c>
      <c r="F240" s="24">
        <v>6.4154992146967502E-2</v>
      </c>
      <c r="O240" s="23"/>
      <c r="V240" s="27">
        <v>0.5</v>
      </c>
      <c r="W240" s="23">
        <v>0.15</v>
      </c>
      <c r="X240" s="23">
        <v>0.20499999999999999</v>
      </c>
      <c r="Y240" s="23">
        <v>0</v>
      </c>
      <c r="Z240" s="23">
        <v>-2.9499999999999998E-2</v>
      </c>
      <c r="AA240" s="23">
        <v>2.8500000000000001E-2</v>
      </c>
      <c r="AB240" s="23">
        <v>1.35E-2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K240" s="23">
        <v>0</v>
      </c>
      <c r="AL240" s="23">
        <v>0</v>
      </c>
      <c r="AM240" s="23">
        <v>0.41</v>
      </c>
      <c r="AN240" s="23">
        <v>2.75E-2</v>
      </c>
      <c r="AO240" s="23">
        <v>0</v>
      </c>
      <c r="AP240" s="23">
        <v>-7.0000000000000007E-2</v>
      </c>
      <c r="AQ240" s="23">
        <v>0</v>
      </c>
      <c r="AS240" s="23">
        <v>0</v>
      </c>
      <c r="AT240" s="23">
        <v>0</v>
      </c>
      <c r="AU240" s="23">
        <v>0.43</v>
      </c>
      <c r="AV240" s="23">
        <v>0</v>
      </c>
      <c r="AW240" s="23">
        <v>-0.06</v>
      </c>
      <c r="AX240" s="23">
        <v>-0.06</v>
      </c>
      <c r="AY240" s="23">
        <v>0</v>
      </c>
      <c r="BA240" s="23">
        <v>0</v>
      </c>
      <c r="BB240" s="23">
        <v>0</v>
      </c>
      <c r="BD240" s="23">
        <v>-2.5000000000000001E-3</v>
      </c>
      <c r="BE240" s="23">
        <v>0</v>
      </c>
      <c r="BF240" s="23">
        <v>0</v>
      </c>
      <c r="BJ240" s="23">
        <v>0.35</v>
      </c>
      <c r="BK240" s="23">
        <v>0</v>
      </c>
      <c r="BL240" s="23">
        <v>-0.01</v>
      </c>
      <c r="BM240" s="23">
        <v>5.0000000000000001E-3</v>
      </c>
      <c r="BO240" s="23">
        <v>0</v>
      </c>
      <c r="BP240" s="23">
        <v>0</v>
      </c>
      <c r="BQ240" s="23">
        <v>0</v>
      </c>
      <c r="BR240" s="23">
        <v>3.5000000000000003E-2</v>
      </c>
      <c r="BS240"/>
      <c r="BT240">
        <v>0</v>
      </c>
      <c r="BU240">
        <v>0</v>
      </c>
      <c r="BV240">
        <v>0</v>
      </c>
    </row>
    <row r="241" spans="1:74" x14ac:dyDescent="0.25">
      <c r="A241" s="24"/>
      <c r="B241" s="24">
        <v>4.5979999999999999</v>
      </c>
      <c r="C241" s="138">
        <f t="shared" si="6"/>
        <v>44409</v>
      </c>
      <c r="D241">
        <v>4.6875</v>
      </c>
      <c r="E241" s="24">
        <v>0.17</v>
      </c>
      <c r="F241" s="24">
        <v>6.41988204230515E-2</v>
      </c>
      <c r="O241" s="23"/>
      <c r="V241" s="27">
        <v>0.5</v>
      </c>
      <c r="W241" s="23">
        <v>0.15</v>
      </c>
      <c r="X241" s="23">
        <v>0.20499999999999999</v>
      </c>
      <c r="Y241" s="23">
        <v>0</v>
      </c>
      <c r="Z241" s="23">
        <v>-2.9499999999999998E-2</v>
      </c>
      <c r="AA241" s="23">
        <v>2.35E-2</v>
      </c>
      <c r="AB241" s="23">
        <v>8.5000000000000006E-3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K241" s="23">
        <v>0</v>
      </c>
      <c r="AL241" s="23">
        <v>0</v>
      </c>
      <c r="AM241" s="23">
        <v>0.41</v>
      </c>
      <c r="AN241" s="23">
        <v>0.03</v>
      </c>
      <c r="AO241" s="23">
        <v>0</v>
      </c>
      <c r="AP241" s="23">
        <v>-7.0000000000000007E-2</v>
      </c>
      <c r="AQ241" s="23">
        <v>0</v>
      </c>
      <c r="AS241" s="23">
        <v>0</v>
      </c>
      <c r="AT241" s="23">
        <v>0</v>
      </c>
      <c r="AU241" s="23">
        <v>0.43</v>
      </c>
      <c r="AV241" s="23">
        <v>0</v>
      </c>
      <c r="AW241" s="23">
        <v>-0.06</v>
      </c>
      <c r="AX241" s="23">
        <v>-0.06</v>
      </c>
      <c r="AY241" s="23">
        <v>0</v>
      </c>
      <c r="BA241" s="23">
        <v>0</v>
      </c>
      <c r="BB241" s="23">
        <v>0</v>
      </c>
      <c r="BD241" s="23">
        <v>0</v>
      </c>
      <c r="BE241" s="23">
        <v>0</v>
      </c>
      <c r="BF241" s="23">
        <v>0</v>
      </c>
      <c r="BJ241" s="23">
        <v>0.35</v>
      </c>
      <c r="BK241" s="23">
        <v>0</v>
      </c>
      <c r="BL241" s="23">
        <v>-0.01</v>
      </c>
      <c r="BM241" s="23">
        <v>5.0000000000000001E-3</v>
      </c>
      <c r="BO241" s="23">
        <v>0</v>
      </c>
      <c r="BP241" s="23">
        <v>0</v>
      </c>
      <c r="BQ241" s="23">
        <v>0</v>
      </c>
      <c r="BR241" s="23">
        <v>0.01</v>
      </c>
      <c r="BS241"/>
      <c r="BT241">
        <v>0</v>
      </c>
      <c r="BU241">
        <v>0</v>
      </c>
      <c r="BV241">
        <v>0</v>
      </c>
    </row>
    <row r="242" spans="1:74" x14ac:dyDescent="0.25">
      <c r="A242" s="24"/>
      <c r="B242" s="24">
        <v>4.4910000000000005</v>
      </c>
      <c r="C242" s="138">
        <f t="shared" si="6"/>
        <v>44440</v>
      </c>
      <c r="D242">
        <v>4.6825000000000001</v>
      </c>
      <c r="E242" s="24">
        <v>0.17</v>
      </c>
      <c r="F242" s="24">
        <v>6.4242648699772698E-2</v>
      </c>
      <c r="O242" s="23"/>
      <c r="V242" s="27">
        <v>0.5</v>
      </c>
      <c r="W242" s="23">
        <v>0.125</v>
      </c>
      <c r="X242" s="23">
        <v>0.14499999999999999</v>
      </c>
      <c r="Y242" s="23">
        <v>0</v>
      </c>
      <c r="Z242" s="23">
        <v>-3.4500000000000003E-2</v>
      </c>
      <c r="AA242" s="23">
        <v>2.35E-2</v>
      </c>
      <c r="AB242" s="23">
        <v>8.5000000000000006E-3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K242" s="23">
        <v>0</v>
      </c>
      <c r="AL242" s="23">
        <v>0</v>
      </c>
      <c r="AM242" s="23">
        <v>0.36</v>
      </c>
      <c r="AN242" s="23">
        <v>2.2499999999999999E-2</v>
      </c>
      <c r="AO242" s="23">
        <v>0</v>
      </c>
      <c r="AP242" s="23">
        <v>-7.0000000000000007E-2</v>
      </c>
      <c r="AQ242" s="23">
        <v>0</v>
      </c>
      <c r="AS242" s="23">
        <v>0</v>
      </c>
      <c r="AT242" s="23">
        <v>0</v>
      </c>
      <c r="AU242" s="23">
        <v>0.43</v>
      </c>
      <c r="AV242" s="23">
        <v>0</v>
      </c>
      <c r="AW242" s="23">
        <v>-0.06</v>
      </c>
      <c r="AX242" s="23">
        <v>-0.06</v>
      </c>
      <c r="AY242" s="23">
        <v>0</v>
      </c>
      <c r="BA242" s="23">
        <v>0</v>
      </c>
      <c r="BB242" s="23">
        <v>0</v>
      </c>
      <c r="BD242" s="23">
        <v>-7.4999999999999997E-3</v>
      </c>
      <c r="BE242" s="23">
        <v>0</v>
      </c>
      <c r="BF242" s="23">
        <v>0</v>
      </c>
      <c r="BJ242" s="23">
        <v>0.315</v>
      </c>
      <c r="BK242" s="23">
        <v>0</v>
      </c>
      <c r="BL242" s="23">
        <v>-0.01</v>
      </c>
      <c r="BM242" s="23">
        <v>5.0000000000000001E-3</v>
      </c>
      <c r="BO242" s="23">
        <v>0</v>
      </c>
      <c r="BP242" s="23">
        <v>0</v>
      </c>
      <c r="BQ242" s="23">
        <v>0</v>
      </c>
      <c r="BR242" s="23">
        <v>0.01</v>
      </c>
      <c r="BS242"/>
      <c r="BT242">
        <v>0</v>
      </c>
      <c r="BU242">
        <v>0</v>
      </c>
      <c r="BV242">
        <v>0</v>
      </c>
    </row>
    <row r="243" spans="1:74" x14ac:dyDescent="0.25">
      <c r="A243" s="24"/>
      <c r="B243" s="24">
        <v>4.3869999999999996</v>
      </c>
      <c r="C243" s="138">
        <f t="shared" si="6"/>
        <v>44470</v>
      </c>
      <c r="D243">
        <v>4.7074999999999996</v>
      </c>
      <c r="E243" s="24">
        <v>0.17</v>
      </c>
      <c r="F243" s="24">
        <v>6.4285063161722E-2</v>
      </c>
      <c r="O243" s="23"/>
      <c r="V243" s="27">
        <v>0.5</v>
      </c>
      <c r="W243" s="23">
        <v>0.14499999999999999</v>
      </c>
      <c r="X243" s="23">
        <v>0.17499999999999999</v>
      </c>
      <c r="Y243" s="23">
        <v>0</v>
      </c>
      <c r="Z243" s="23">
        <v>-3.4500000000000003E-2</v>
      </c>
      <c r="AA243" s="23">
        <v>1.8499999999999999E-2</v>
      </c>
      <c r="AB243" s="23">
        <v>3.5000000000000001E-3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K243" s="23">
        <v>0</v>
      </c>
      <c r="AL243" s="23">
        <v>0</v>
      </c>
      <c r="AM243" s="23">
        <v>0.4</v>
      </c>
      <c r="AN243" s="23">
        <v>1.2500000000000001E-2</v>
      </c>
      <c r="AO243" s="23">
        <v>0</v>
      </c>
      <c r="AP243" s="23">
        <v>-7.0000000000000007E-2</v>
      </c>
      <c r="AQ243" s="23">
        <v>0</v>
      </c>
      <c r="AS243" s="23">
        <v>0</v>
      </c>
      <c r="AT243" s="23">
        <v>0</v>
      </c>
      <c r="AU243" s="23">
        <v>0.43</v>
      </c>
      <c r="AV243" s="23">
        <v>0</v>
      </c>
      <c r="AW243" s="23">
        <v>-0.06</v>
      </c>
      <c r="AX243" s="23">
        <v>-0.06</v>
      </c>
      <c r="AY243" s="23">
        <v>0</v>
      </c>
      <c r="BA243" s="23">
        <v>0</v>
      </c>
      <c r="BB243" s="23">
        <v>0</v>
      </c>
      <c r="BD243" s="23">
        <v>-1.7500000000000002E-2</v>
      </c>
      <c r="BE243" s="23">
        <v>0</v>
      </c>
      <c r="BF243" s="23">
        <v>0</v>
      </c>
      <c r="BJ243" s="23">
        <v>0.36</v>
      </c>
      <c r="BK243" s="23">
        <v>0</v>
      </c>
      <c r="BL243" s="23">
        <v>-1.4999999999999999E-2</v>
      </c>
      <c r="BM243" s="23">
        <v>5.0000000000000001E-3</v>
      </c>
      <c r="BO243" s="23">
        <v>0</v>
      </c>
      <c r="BP243" s="23">
        <v>0</v>
      </c>
      <c r="BQ243" s="23">
        <v>0</v>
      </c>
      <c r="BR243" s="23">
        <v>0.01</v>
      </c>
      <c r="BS243"/>
      <c r="BT243">
        <v>0</v>
      </c>
      <c r="BU243">
        <v>0</v>
      </c>
      <c r="BV243">
        <v>0</v>
      </c>
    </row>
    <row r="244" spans="1:74" x14ac:dyDescent="0.25">
      <c r="A244" s="24"/>
      <c r="B244" s="24">
        <v>4.3760000000000003</v>
      </c>
      <c r="C244" s="138">
        <f t="shared" si="6"/>
        <v>44501</v>
      </c>
      <c r="D244">
        <v>4.8594999999999997</v>
      </c>
      <c r="E244" s="24">
        <v>0.17</v>
      </c>
      <c r="F244" s="24">
        <v>6.4328891439696403E-2</v>
      </c>
      <c r="O244" s="23"/>
      <c r="V244" s="27">
        <v>0</v>
      </c>
      <c r="W244" s="23">
        <v>0.19500000000000001</v>
      </c>
      <c r="X244" s="23">
        <v>0.21</v>
      </c>
      <c r="Y244" s="23">
        <v>0</v>
      </c>
      <c r="Z244" s="23">
        <v>-1.55E-2</v>
      </c>
      <c r="AA244" s="23">
        <v>1.95E-2</v>
      </c>
      <c r="AB244" s="23">
        <v>4.4999999999999997E-3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K244" s="23">
        <v>0</v>
      </c>
      <c r="AL244" s="23">
        <v>0</v>
      </c>
      <c r="AM244" s="23">
        <v>0.65</v>
      </c>
      <c r="AN244" s="23">
        <v>-2.2499999999999999E-2</v>
      </c>
      <c r="AO244" s="23">
        <v>0</v>
      </c>
      <c r="AP244" s="23">
        <v>-7.0000000000000007E-2</v>
      </c>
      <c r="AQ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-0.06</v>
      </c>
      <c r="AX244" s="23">
        <v>-0.06</v>
      </c>
      <c r="AY244" s="23">
        <v>0</v>
      </c>
      <c r="BA244" s="23">
        <v>0</v>
      </c>
      <c r="BB244" s="23">
        <v>0</v>
      </c>
      <c r="BD244" s="23">
        <v>-5.2499999999999998E-2</v>
      </c>
      <c r="BE244" s="23">
        <v>0</v>
      </c>
      <c r="BF244" s="23">
        <v>0</v>
      </c>
      <c r="BJ244" s="23">
        <v>0.46</v>
      </c>
      <c r="BK244" s="23">
        <v>0</v>
      </c>
      <c r="BL244" s="23">
        <v>-0.02</v>
      </c>
      <c r="BM244" s="23">
        <v>5.0000000000000001E-3</v>
      </c>
      <c r="BO244" s="23">
        <v>0</v>
      </c>
      <c r="BP244" s="23">
        <v>0</v>
      </c>
      <c r="BQ244" s="23">
        <v>0</v>
      </c>
      <c r="BR244" s="23">
        <v>5.5E-2</v>
      </c>
      <c r="BS244"/>
      <c r="BT244">
        <v>0</v>
      </c>
      <c r="BU244">
        <v>0</v>
      </c>
      <c r="BV244">
        <v>0</v>
      </c>
    </row>
    <row r="245" spans="1:74" x14ac:dyDescent="0.25">
      <c r="A245" s="24"/>
      <c r="B245" s="24">
        <v>4.3730000000000002</v>
      </c>
      <c r="C245" s="138">
        <f t="shared" si="6"/>
        <v>44531</v>
      </c>
      <c r="D245">
        <v>5.0025000000000004</v>
      </c>
      <c r="E245" s="24">
        <v>0.17</v>
      </c>
      <c r="F245" s="24">
        <v>6.4371305902858597E-2</v>
      </c>
      <c r="O245" s="23"/>
      <c r="V245" s="27">
        <v>0</v>
      </c>
      <c r="W245" s="23">
        <v>0.215</v>
      </c>
      <c r="X245" s="23">
        <v>0.28999999999999998</v>
      </c>
      <c r="Y245" s="23">
        <v>0</v>
      </c>
      <c r="Z245" s="23">
        <v>-1.55E-2</v>
      </c>
      <c r="AA245" s="23">
        <v>1.95E-2</v>
      </c>
      <c r="AB245" s="23">
        <v>4.4999999999999997E-3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K245" s="23">
        <v>0</v>
      </c>
      <c r="AL245" s="23">
        <v>0</v>
      </c>
      <c r="AM245" s="23">
        <v>0.98</v>
      </c>
      <c r="AN245" s="23">
        <v>-4.4999999999999998E-2</v>
      </c>
      <c r="AO245" s="23">
        <v>0</v>
      </c>
      <c r="AP245" s="23">
        <v>-7.0000000000000007E-2</v>
      </c>
      <c r="AQ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-0.06</v>
      </c>
      <c r="AX245" s="23">
        <v>-0.06</v>
      </c>
      <c r="AY245" s="23">
        <v>0</v>
      </c>
      <c r="BA245" s="23">
        <v>0</v>
      </c>
      <c r="BB245" s="23">
        <v>0</v>
      </c>
      <c r="BD245" s="23">
        <v>-7.4999999999999997E-2</v>
      </c>
      <c r="BE245" s="23">
        <v>0</v>
      </c>
      <c r="BF245" s="23">
        <v>0</v>
      </c>
      <c r="BJ245" s="23">
        <v>0.77</v>
      </c>
      <c r="BK245" s="23">
        <v>0</v>
      </c>
      <c r="BL245" s="23">
        <v>-2.5000000000000001E-2</v>
      </c>
      <c r="BM245" s="23">
        <v>5.0000000000000001E-3</v>
      </c>
      <c r="BO245" s="23">
        <v>0</v>
      </c>
      <c r="BP245" s="23">
        <v>0</v>
      </c>
      <c r="BQ245" s="23">
        <v>0</v>
      </c>
      <c r="BR245" s="23">
        <v>0.25</v>
      </c>
      <c r="BS245"/>
      <c r="BT245">
        <v>0</v>
      </c>
      <c r="BU245">
        <v>0</v>
      </c>
      <c r="BV245">
        <v>0</v>
      </c>
    </row>
    <row r="246" spans="1:74" x14ac:dyDescent="0.25">
      <c r="A246" s="24"/>
      <c r="B246" s="24">
        <v>4.4380000000000006</v>
      </c>
      <c r="C246" s="138">
        <f t="shared" si="6"/>
        <v>44562</v>
      </c>
      <c r="D246">
        <v>5.0625</v>
      </c>
      <c r="E246" s="24">
        <v>0.17</v>
      </c>
      <c r="F246" s="24">
        <v>6.4385712682290597E-2</v>
      </c>
      <c r="O246" s="23"/>
      <c r="V246" s="27">
        <v>0</v>
      </c>
      <c r="W246" s="23">
        <v>0.23499999999999999</v>
      </c>
      <c r="X246" s="23">
        <v>0.34</v>
      </c>
      <c r="Y246" s="23">
        <v>0</v>
      </c>
      <c r="Z246" s="23">
        <v>-1.55E-2</v>
      </c>
      <c r="AA246" s="23">
        <v>1.95E-2</v>
      </c>
      <c r="AB246" s="23">
        <v>4.4999999999999997E-3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K246" s="23">
        <v>0</v>
      </c>
      <c r="AL246" s="23">
        <v>0</v>
      </c>
      <c r="AM246" s="23">
        <v>1.6</v>
      </c>
      <c r="AN246" s="23">
        <v>-4.7500000000000001E-2</v>
      </c>
      <c r="AO246" s="23">
        <v>0</v>
      </c>
      <c r="AP246" s="23">
        <v>-7.0000000000000007E-2</v>
      </c>
      <c r="AQ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-0.06</v>
      </c>
      <c r="AX246" s="23">
        <v>-0.06</v>
      </c>
      <c r="AY246" s="23">
        <v>0</v>
      </c>
      <c r="BA246" s="23">
        <v>0</v>
      </c>
      <c r="BB246" s="23">
        <v>0</v>
      </c>
      <c r="BD246" s="23">
        <v>-7.7499999999999999E-2</v>
      </c>
      <c r="BE246" s="23">
        <v>0</v>
      </c>
      <c r="BF246" s="23">
        <v>0</v>
      </c>
      <c r="BJ246" s="23">
        <v>1.04</v>
      </c>
      <c r="BK246" s="23">
        <v>0</v>
      </c>
      <c r="BL246" s="23">
        <v>-2.5000000000000001E-2</v>
      </c>
      <c r="BM246" s="23">
        <v>5.0000000000000001E-3</v>
      </c>
      <c r="BO246" s="23">
        <v>0</v>
      </c>
      <c r="BP246" s="23">
        <v>0</v>
      </c>
      <c r="BQ246" s="23">
        <v>0</v>
      </c>
      <c r="BR246" s="23">
        <v>0.45</v>
      </c>
      <c r="BS246"/>
      <c r="BT246">
        <v>0</v>
      </c>
      <c r="BU246">
        <v>0</v>
      </c>
      <c r="BV246">
        <v>0</v>
      </c>
    </row>
    <row r="247" spans="1:74" x14ac:dyDescent="0.25">
      <c r="A247" s="24"/>
      <c r="B247" s="24">
        <v>4.4329999999999998</v>
      </c>
      <c r="C247" s="138">
        <f t="shared" si="6"/>
        <v>44593</v>
      </c>
      <c r="D247">
        <v>4.9775</v>
      </c>
      <c r="E247" s="24">
        <v>0.17</v>
      </c>
      <c r="F247" s="24">
        <v>6.4378870600904303E-2</v>
      </c>
      <c r="O247" s="23"/>
      <c r="V247" s="27">
        <v>0</v>
      </c>
      <c r="W247" s="23">
        <v>0.23499999999999999</v>
      </c>
      <c r="X247" s="23">
        <v>0.34</v>
      </c>
      <c r="Y247" s="23">
        <v>0</v>
      </c>
      <c r="Z247" s="23">
        <v>-1.55E-2</v>
      </c>
      <c r="AA247" s="23">
        <v>1.95E-2</v>
      </c>
      <c r="AB247" s="23">
        <v>4.4999999999999997E-3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K247" s="23">
        <v>0</v>
      </c>
      <c r="AL247" s="23">
        <v>0</v>
      </c>
      <c r="AM247" s="23">
        <v>1.6</v>
      </c>
      <c r="AN247" s="23">
        <v>-0.03</v>
      </c>
      <c r="AO247" s="23">
        <v>0</v>
      </c>
      <c r="AP247" s="23">
        <v>-7.0000000000000007E-2</v>
      </c>
      <c r="AQ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-0.06</v>
      </c>
      <c r="AX247" s="23">
        <v>-0.06</v>
      </c>
      <c r="AY247" s="23">
        <v>0</v>
      </c>
      <c r="BA247" s="23">
        <v>0</v>
      </c>
      <c r="BB247" s="23">
        <v>0</v>
      </c>
      <c r="BD247" s="23">
        <v>-0.06</v>
      </c>
      <c r="BE247" s="23">
        <v>0</v>
      </c>
      <c r="BF247" s="23">
        <v>0</v>
      </c>
      <c r="BJ247" s="23">
        <v>1.04</v>
      </c>
      <c r="BK247" s="23">
        <v>0</v>
      </c>
      <c r="BL247" s="23">
        <v>-2.5000000000000001E-2</v>
      </c>
      <c r="BM247" s="23">
        <v>5.0000000000000001E-3</v>
      </c>
      <c r="BO247" s="23">
        <v>0</v>
      </c>
      <c r="BP247" s="23">
        <v>0</v>
      </c>
      <c r="BQ247" s="23">
        <v>0</v>
      </c>
      <c r="BR247" s="23">
        <v>0.45</v>
      </c>
      <c r="BS247"/>
      <c r="BT247">
        <v>0</v>
      </c>
      <c r="BU247">
        <v>0</v>
      </c>
      <c r="BV247">
        <v>0</v>
      </c>
    </row>
    <row r="248" spans="1:74" x14ac:dyDescent="0.25">
      <c r="A248" s="24"/>
      <c r="B248" s="24">
        <v>4.4060000000000006</v>
      </c>
      <c r="C248" s="138">
        <f t="shared" si="6"/>
        <v>44621</v>
      </c>
      <c r="D248">
        <v>4.8475000000000001</v>
      </c>
      <c r="E248" s="24">
        <v>0.17</v>
      </c>
      <c r="F248" s="24">
        <v>6.4372690656439704E-2</v>
      </c>
      <c r="O248" s="23"/>
      <c r="V248" s="27">
        <v>0</v>
      </c>
      <c r="W248" s="23">
        <v>0.19500000000000001</v>
      </c>
      <c r="X248" s="23">
        <v>0.28999999999999998</v>
      </c>
      <c r="Y248" s="23">
        <v>0</v>
      </c>
      <c r="Z248" s="23">
        <v>-1.55E-2</v>
      </c>
      <c r="AA248" s="23">
        <v>2.7E-2</v>
      </c>
      <c r="AB248" s="23">
        <v>1.2E-2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K248" s="23">
        <v>0</v>
      </c>
      <c r="AL248" s="23">
        <v>0</v>
      </c>
      <c r="AM248" s="23">
        <v>0.64</v>
      </c>
      <c r="AN248" s="23">
        <v>-1.7500000000000002E-2</v>
      </c>
      <c r="AO248" s="23">
        <v>0</v>
      </c>
      <c r="AP248" s="23">
        <v>-7.0000000000000007E-2</v>
      </c>
      <c r="AQ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-0.06</v>
      </c>
      <c r="AX248" s="23">
        <v>-0.06</v>
      </c>
      <c r="AY248" s="23">
        <v>0</v>
      </c>
      <c r="BA248" s="23">
        <v>0</v>
      </c>
      <c r="BB248" s="23">
        <v>0</v>
      </c>
      <c r="BD248" s="23">
        <v>-4.7500000000000001E-2</v>
      </c>
      <c r="BE248" s="23">
        <v>0</v>
      </c>
      <c r="BF248" s="23">
        <v>0</v>
      </c>
      <c r="BJ248" s="23">
        <v>0.54</v>
      </c>
      <c r="BK248" s="23">
        <v>0</v>
      </c>
      <c r="BL248" s="23">
        <v>-0.02</v>
      </c>
      <c r="BM248" s="23">
        <v>5.0000000000000001E-3</v>
      </c>
      <c r="BO248" s="23">
        <v>0</v>
      </c>
      <c r="BP248" s="23">
        <v>0</v>
      </c>
      <c r="BQ248" s="23">
        <v>0</v>
      </c>
      <c r="BR248" s="23">
        <v>0.1</v>
      </c>
      <c r="BS248"/>
      <c r="BT248">
        <v>0</v>
      </c>
      <c r="BU248">
        <v>0</v>
      </c>
      <c r="BV248">
        <v>0</v>
      </c>
    </row>
    <row r="249" spans="1:74" x14ac:dyDescent="0.25">
      <c r="A249" s="24"/>
      <c r="B249" s="24">
        <v>4.407</v>
      </c>
      <c r="C249" s="138">
        <f t="shared" si="6"/>
        <v>44652</v>
      </c>
      <c r="D249">
        <v>4.6624999999999996</v>
      </c>
      <c r="E249" s="24">
        <v>0.17</v>
      </c>
      <c r="F249" s="24">
        <v>6.4365848575083096E-2</v>
      </c>
      <c r="O249" s="23"/>
      <c r="V249" s="27">
        <v>0</v>
      </c>
      <c r="W249" s="23">
        <v>0.14499999999999999</v>
      </c>
      <c r="X249" s="23">
        <v>0.19500000000000001</v>
      </c>
      <c r="Y249" s="23">
        <v>0</v>
      </c>
      <c r="Z249" s="23">
        <v>-3.0499999999999999E-2</v>
      </c>
      <c r="AA249" s="23">
        <v>2.7E-2</v>
      </c>
      <c r="AB249" s="23">
        <v>1.2E-2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K249" s="23">
        <v>0</v>
      </c>
      <c r="AL249" s="23">
        <v>0</v>
      </c>
      <c r="AM249" s="23">
        <v>0.38</v>
      </c>
      <c r="AN249" s="23">
        <v>0.02</v>
      </c>
      <c r="AO249" s="23">
        <v>0</v>
      </c>
      <c r="AP249" s="23">
        <v>-7.0000000000000007E-2</v>
      </c>
      <c r="AQ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-0.06</v>
      </c>
      <c r="AX249" s="23">
        <v>-0.06</v>
      </c>
      <c r="AY249" s="23">
        <v>0</v>
      </c>
      <c r="BA249" s="23">
        <v>0</v>
      </c>
      <c r="BB249" s="23">
        <v>0</v>
      </c>
      <c r="BD249" s="23">
        <v>-0.01</v>
      </c>
      <c r="BE249" s="23">
        <v>0</v>
      </c>
      <c r="BF249" s="23">
        <v>0</v>
      </c>
      <c r="BJ249" s="23">
        <v>0.36</v>
      </c>
      <c r="BK249" s="23">
        <v>0</v>
      </c>
      <c r="BL249" s="23">
        <v>-1.4999999999999999E-2</v>
      </c>
      <c r="BM249" s="23">
        <v>5.0000000000000001E-3</v>
      </c>
      <c r="BO249" s="23">
        <v>0</v>
      </c>
      <c r="BP249" s="23">
        <v>0</v>
      </c>
      <c r="BQ249" s="23">
        <v>0</v>
      </c>
      <c r="BR249" s="23">
        <v>0.02</v>
      </c>
      <c r="BS249"/>
      <c r="BT249">
        <v>0</v>
      </c>
      <c r="BU249">
        <v>0</v>
      </c>
      <c r="BV249">
        <v>0</v>
      </c>
    </row>
    <row r="250" spans="1:74" x14ac:dyDescent="0.25">
      <c r="A250" s="24"/>
      <c r="B250" s="24">
        <v>4.4340000000000002</v>
      </c>
      <c r="C250" s="138">
        <f t="shared" si="6"/>
        <v>44682</v>
      </c>
      <c r="D250">
        <v>4.6574999999999998</v>
      </c>
      <c r="E250" s="24">
        <v>0.17</v>
      </c>
      <c r="F250" s="24">
        <v>6.4359227206042896E-2</v>
      </c>
      <c r="O250" s="23"/>
      <c r="V250" s="27">
        <v>0</v>
      </c>
      <c r="W250" s="23">
        <v>0.125</v>
      </c>
      <c r="X250" s="23">
        <v>0.13500000000000001</v>
      </c>
      <c r="Y250" s="23">
        <v>0</v>
      </c>
      <c r="Z250" s="23">
        <v>-3.0499999999999999E-2</v>
      </c>
      <c r="AA250" s="23">
        <v>2.9499999999999998E-2</v>
      </c>
      <c r="AB250" s="23">
        <v>1.4500000000000001E-2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K250" s="23">
        <v>0</v>
      </c>
      <c r="AL250" s="23">
        <v>0</v>
      </c>
      <c r="AM250" s="23">
        <v>0.33</v>
      </c>
      <c r="AN250" s="23">
        <v>0.02</v>
      </c>
      <c r="AO250" s="23">
        <v>0</v>
      </c>
      <c r="AP250" s="23">
        <v>-7.0000000000000007E-2</v>
      </c>
      <c r="AQ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-0.06</v>
      </c>
      <c r="AX250" s="23">
        <v>-0.06</v>
      </c>
      <c r="AY250" s="23">
        <v>0</v>
      </c>
      <c r="BA250" s="23">
        <v>0</v>
      </c>
      <c r="BB250" s="23">
        <v>0</v>
      </c>
      <c r="BD250" s="23">
        <v>-0.01</v>
      </c>
      <c r="BE250" s="23">
        <v>0</v>
      </c>
      <c r="BF250" s="23">
        <v>0</v>
      </c>
      <c r="BJ250" s="23">
        <v>0.32500000000000001</v>
      </c>
      <c r="BK250" s="23">
        <v>0</v>
      </c>
      <c r="BL250" s="23">
        <v>-1.4999999999999999E-2</v>
      </c>
      <c r="BM250" s="23">
        <v>5.0000000000000001E-3</v>
      </c>
      <c r="BO250" s="23">
        <v>0</v>
      </c>
      <c r="BP250" s="23">
        <v>0</v>
      </c>
      <c r="BQ250" s="23">
        <v>0</v>
      </c>
      <c r="BR250" s="23">
        <v>0.02</v>
      </c>
      <c r="BS250"/>
      <c r="BT250">
        <v>0</v>
      </c>
      <c r="BU250">
        <v>0</v>
      </c>
      <c r="BV250">
        <v>0</v>
      </c>
    </row>
    <row r="251" spans="1:74" x14ac:dyDescent="0.25">
      <c r="A251" s="24"/>
      <c r="B251" s="24">
        <v>4.492</v>
      </c>
      <c r="C251" s="138">
        <f t="shared" si="6"/>
        <v>44713</v>
      </c>
      <c r="D251">
        <v>4.6924999999999999</v>
      </c>
      <c r="E251" s="24">
        <v>0.17</v>
      </c>
      <c r="F251" s="24">
        <v>6.4352385124716999E-2</v>
      </c>
      <c r="O251" s="23"/>
      <c r="V251" s="27">
        <v>0</v>
      </c>
      <c r="W251" s="23">
        <v>0.14499999999999999</v>
      </c>
      <c r="X251" s="23">
        <v>0.16500000000000001</v>
      </c>
      <c r="Y251" s="23">
        <v>0</v>
      </c>
      <c r="Z251" s="23">
        <v>-2.8000000000000001E-2</v>
      </c>
      <c r="AA251" s="23">
        <v>2.9499999999999998E-2</v>
      </c>
      <c r="AB251" s="23">
        <v>1.4500000000000001E-2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K251" s="23">
        <v>0</v>
      </c>
      <c r="AL251" s="23">
        <v>0</v>
      </c>
      <c r="AM251" s="23">
        <v>0.37</v>
      </c>
      <c r="AN251" s="23">
        <v>2.5000000000000001E-2</v>
      </c>
      <c r="AO251" s="23">
        <v>0</v>
      </c>
      <c r="AP251" s="23">
        <v>-7.0000000000000007E-2</v>
      </c>
      <c r="AQ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-0.06</v>
      </c>
      <c r="AX251" s="23">
        <v>-0.06</v>
      </c>
      <c r="AY251" s="23">
        <v>0</v>
      </c>
      <c r="BA251" s="23">
        <v>0</v>
      </c>
      <c r="BB251" s="23">
        <v>0</v>
      </c>
      <c r="BD251" s="23">
        <v>-5.0000000000000001E-3</v>
      </c>
      <c r="BE251" s="23">
        <v>0</v>
      </c>
      <c r="BF251" s="23">
        <v>0</v>
      </c>
      <c r="BJ251" s="23">
        <v>0.33500000000000002</v>
      </c>
      <c r="BK251" s="23">
        <v>0</v>
      </c>
      <c r="BL251" s="23">
        <v>-1.4999999999999999E-2</v>
      </c>
      <c r="BM251" s="23">
        <v>5.0000000000000001E-3</v>
      </c>
      <c r="BO251" s="23">
        <v>0</v>
      </c>
      <c r="BP251" s="23">
        <v>0</v>
      </c>
      <c r="BQ251" s="23">
        <v>0</v>
      </c>
      <c r="BR251" s="23">
        <v>3.5000000000000003E-2</v>
      </c>
      <c r="BS251"/>
      <c r="BT251">
        <v>0</v>
      </c>
      <c r="BU251">
        <v>0</v>
      </c>
      <c r="BV251">
        <v>0</v>
      </c>
    </row>
    <row r="252" spans="1:74" x14ac:dyDescent="0.25">
      <c r="A252" s="24"/>
      <c r="B252" s="24">
        <v>4.7540000000000004</v>
      </c>
      <c r="C252" s="138">
        <f t="shared" si="6"/>
        <v>44743</v>
      </c>
      <c r="D252">
        <v>4.7324999999999999</v>
      </c>
      <c r="E252" s="24">
        <v>0.17</v>
      </c>
      <c r="F252" s="24">
        <v>6.4345763755706595E-2</v>
      </c>
      <c r="O252" s="23"/>
      <c r="V252" s="27">
        <v>0</v>
      </c>
      <c r="W252" s="23">
        <v>0.15</v>
      </c>
      <c r="X252" s="23">
        <v>0.20499999999999999</v>
      </c>
      <c r="Y252" s="23">
        <v>0</v>
      </c>
      <c r="Z252" s="23">
        <v>-2.8000000000000001E-2</v>
      </c>
      <c r="AA252" s="23">
        <v>2.9499999999999998E-2</v>
      </c>
      <c r="AB252" s="23">
        <v>1.4500000000000001E-2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K252" s="23">
        <v>0</v>
      </c>
      <c r="AL252" s="23">
        <v>0</v>
      </c>
      <c r="AM252" s="23">
        <v>0.41</v>
      </c>
      <c r="AN252" s="23">
        <v>2.75E-2</v>
      </c>
      <c r="AO252" s="23">
        <v>0</v>
      </c>
      <c r="AP252" s="23">
        <v>-7.0000000000000007E-2</v>
      </c>
      <c r="AQ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-0.06</v>
      </c>
      <c r="AX252" s="23">
        <v>-0.06</v>
      </c>
      <c r="AY252" s="23">
        <v>0</v>
      </c>
      <c r="BA252" s="23">
        <v>0</v>
      </c>
      <c r="BB252" s="23">
        <v>0</v>
      </c>
      <c r="BD252" s="23">
        <v>-2.5000000000000001E-3</v>
      </c>
      <c r="BE252" s="23">
        <v>0</v>
      </c>
      <c r="BF252" s="23">
        <v>0</v>
      </c>
      <c r="BJ252" s="23">
        <v>0.35</v>
      </c>
      <c r="BK252" s="23">
        <v>0</v>
      </c>
      <c r="BL252" s="23">
        <v>-0.01</v>
      </c>
      <c r="BM252" s="23">
        <v>5.0000000000000001E-3</v>
      </c>
      <c r="BO252" s="23">
        <v>0</v>
      </c>
      <c r="BP252" s="23">
        <v>0</v>
      </c>
      <c r="BQ252" s="23">
        <v>0</v>
      </c>
      <c r="BR252" s="23">
        <v>3.5000000000000003E-2</v>
      </c>
      <c r="BS252"/>
      <c r="BT252">
        <v>0</v>
      </c>
      <c r="BU252">
        <v>0</v>
      </c>
      <c r="BV252">
        <v>0</v>
      </c>
    </row>
    <row r="253" spans="1:74" x14ac:dyDescent="0.25">
      <c r="A253" s="24"/>
      <c r="B253" s="24">
        <v>4.6990000000000007</v>
      </c>
      <c r="C253" s="138">
        <f t="shared" si="6"/>
        <v>44774</v>
      </c>
      <c r="D253">
        <v>4.7725</v>
      </c>
      <c r="E253" s="24">
        <v>0.17</v>
      </c>
      <c r="F253" s="24">
        <v>6.4338921674411201E-2</v>
      </c>
      <c r="O253" s="23"/>
      <c r="V253" s="27">
        <v>0</v>
      </c>
      <c r="W253" s="23">
        <v>0.15</v>
      </c>
      <c r="X253" s="23">
        <v>0.20499999999999999</v>
      </c>
      <c r="Y253" s="23">
        <v>0</v>
      </c>
      <c r="Z253" s="23">
        <v>-2.8000000000000001E-2</v>
      </c>
      <c r="AA253" s="23">
        <v>2.4500000000000001E-2</v>
      </c>
      <c r="AB253" s="23">
        <v>9.4999999999999998E-3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K253" s="23">
        <v>0</v>
      </c>
      <c r="AL253" s="23">
        <v>0</v>
      </c>
      <c r="AM253" s="23">
        <v>0.41</v>
      </c>
      <c r="AN253" s="23">
        <v>0.03</v>
      </c>
      <c r="AO253" s="23">
        <v>0</v>
      </c>
      <c r="AP253" s="23">
        <v>-7.0000000000000007E-2</v>
      </c>
      <c r="AQ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-0.06</v>
      </c>
      <c r="AX253" s="23">
        <v>-0.06</v>
      </c>
      <c r="AY253" s="23">
        <v>0</v>
      </c>
      <c r="BA253" s="23">
        <v>0</v>
      </c>
      <c r="BB253" s="23">
        <v>0</v>
      </c>
      <c r="BD253" s="23">
        <v>0</v>
      </c>
      <c r="BE253" s="23">
        <v>0</v>
      </c>
      <c r="BF253" s="23">
        <v>0</v>
      </c>
      <c r="BJ253" s="23">
        <v>0.35</v>
      </c>
      <c r="BK253" s="23">
        <v>0</v>
      </c>
      <c r="BL253" s="23">
        <v>-0.01</v>
      </c>
      <c r="BM253" s="23">
        <v>5.0000000000000001E-3</v>
      </c>
      <c r="BO253" s="23">
        <v>0</v>
      </c>
      <c r="BP253" s="23">
        <v>0</v>
      </c>
      <c r="BQ253" s="23">
        <v>0</v>
      </c>
      <c r="BR253" s="23">
        <v>0.01</v>
      </c>
      <c r="BS253"/>
      <c r="BT253">
        <v>0</v>
      </c>
      <c r="BU253">
        <v>0</v>
      </c>
      <c r="BV253">
        <v>0</v>
      </c>
    </row>
    <row r="254" spans="1:74" x14ac:dyDescent="0.25">
      <c r="A254" s="24"/>
      <c r="B254" s="24">
        <v>4.5949999999999998</v>
      </c>
      <c r="C254" s="138">
        <f t="shared" si="6"/>
        <v>44805</v>
      </c>
      <c r="D254">
        <v>4.7675000000000001</v>
      </c>
      <c r="E254" s="24">
        <v>0.17</v>
      </c>
      <c r="F254" s="24">
        <v>6.4332079593131003E-2</v>
      </c>
      <c r="O254" s="23"/>
      <c r="V254" s="27">
        <v>0</v>
      </c>
      <c r="W254" s="23">
        <v>0.125</v>
      </c>
      <c r="X254" s="23">
        <v>0.14499999999999999</v>
      </c>
      <c r="Y254" s="23">
        <v>0</v>
      </c>
      <c r="Z254" s="23">
        <v>-3.3000000000000002E-2</v>
      </c>
      <c r="AA254" s="23">
        <v>2.4500000000000001E-2</v>
      </c>
      <c r="AB254" s="23">
        <v>9.4999999999999998E-3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K254" s="23">
        <v>0</v>
      </c>
      <c r="AL254" s="23">
        <v>0</v>
      </c>
      <c r="AM254" s="23">
        <v>0.36</v>
      </c>
      <c r="AN254" s="23">
        <v>2.2499999999999999E-2</v>
      </c>
      <c r="AO254" s="23">
        <v>0</v>
      </c>
      <c r="AP254" s="23">
        <v>-7.0000000000000007E-2</v>
      </c>
      <c r="AQ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-0.06</v>
      </c>
      <c r="AX254" s="23">
        <v>-0.06</v>
      </c>
      <c r="AY254" s="23">
        <v>0</v>
      </c>
      <c r="BA254" s="23">
        <v>0</v>
      </c>
      <c r="BB254" s="23">
        <v>0</v>
      </c>
      <c r="BD254" s="23">
        <v>-7.4999999999999997E-3</v>
      </c>
      <c r="BE254" s="23">
        <v>0</v>
      </c>
      <c r="BF254" s="23">
        <v>0</v>
      </c>
      <c r="BJ254" s="23">
        <v>0.315</v>
      </c>
      <c r="BK254" s="23">
        <v>0</v>
      </c>
      <c r="BL254" s="23">
        <v>-0.01</v>
      </c>
      <c r="BM254" s="23">
        <v>5.0000000000000001E-3</v>
      </c>
      <c r="BO254" s="23">
        <v>0</v>
      </c>
      <c r="BP254" s="23">
        <v>0</v>
      </c>
      <c r="BQ254" s="23">
        <v>0</v>
      </c>
      <c r="BR254" s="23">
        <v>0.01</v>
      </c>
      <c r="BS254"/>
      <c r="BT254">
        <v>0</v>
      </c>
      <c r="BU254">
        <v>0</v>
      </c>
      <c r="BV254">
        <v>0</v>
      </c>
    </row>
    <row r="255" spans="1:74" x14ac:dyDescent="0.25">
      <c r="A255" s="24"/>
      <c r="B255" s="24">
        <v>4.4940000000000007</v>
      </c>
      <c r="C255" s="138">
        <f t="shared" si="6"/>
        <v>44835</v>
      </c>
      <c r="D255">
        <v>4.7925000000000004</v>
      </c>
      <c r="E255" s="24">
        <v>0.17</v>
      </c>
      <c r="F255" s="24">
        <v>6.4325458224164994E-2</v>
      </c>
      <c r="O255" s="23"/>
      <c r="V255" s="27">
        <v>0</v>
      </c>
      <c r="W255" s="23">
        <v>0.14499999999999999</v>
      </c>
      <c r="X255" s="23">
        <v>0.17499999999999999</v>
      </c>
      <c r="Y255" s="23">
        <v>0</v>
      </c>
      <c r="Z255" s="23">
        <v>-3.3000000000000002E-2</v>
      </c>
      <c r="AA255" s="23">
        <v>1.95E-2</v>
      </c>
      <c r="AB255" s="23">
        <v>4.4999999999999997E-3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K255" s="23">
        <v>0</v>
      </c>
      <c r="AL255" s="23">
        <v>0</v>
      </c>
      <c r="AM255" s="23">
        <v>0.4</v>
      </c>
      <c r="AN255" s="23">
        <v>1.2500000000000001E-2</v>
      </c>
      <c r="AO255" s="23">
        <v>0</v>
      </c>
      <c r="AP255" s="23">
        <v>-7.0000000000000007E-2</v>
      </c>
      <c r="AQ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-0.06</v>
      </c>
      <c r="AX255" s="23">
        <v>-0.06</v>
      </c>
      <c r="AY255" s="23">
        <v>0</v>
      </c>
      <c r="BA255" s="23">
        <v>0</v>
      </c>
      <c r="BB255" s="23">
        <v>0</v>
      </c>
      <c r="BD255" s="23">
        <v>-1.7500000000000002E-2</v>
      </c>
      <c r="BE255" s="23">
        <v>0</v>
      </c>
      <c r="BF255" s="23">
        <v>0</v>
      </c>
      <c r="BJ255" s="23">
        <v>0.36</v>
      </c>
      <c r="BK255" s="23">
        <v>0</v>
      </c>
      <c r="BL255" s="23">
        <v>-1.4999999999999999E-2</v>
      </c>
      <c r="BM255" s="23">
        <v>5.0000000000000001E-3</v>
      </c>
      <c r="BO255" s="23">
        <v>0</v>
      </c>
      <c r="BP255" s="23">
        <v>0</v>
      </c>
      <c r="BQ255" s="23">
        <v>0</v>
      </c>
      <c r="BR255" s="23">
        <v>0.01</v>
      </c>
      <c r="BS255"/>
      <c r="BT255">
        <v>0</v>
      </c>
      <c r="BU255">
        <v>0</v>
      </c>
      <c r="BV255">
        <v>0</v>
      </c>
    </row>
    <row r="256" spans="1:74" x14ac:dyDescent="0.25">
      <c r="A256" s="24"/>
      <c r="B256" s="24">
        <v>4.4840000000000009</v>
      </c>
      <c r="C256" s="138">
        <f t="shared" si="6"/>
        <v>44866</v>
      </c>
      <c r="D256">
        <v>4.9444999999999997</v>
      </c>
      <c r="E256" s="24">
        <v>0.17</v>
      </c>
      <c r="F256" s="24">
        <v>6.4318616142915397E-2</v>
      </c>
      <c r="O256" s="23"/>
      <c r="V256" s="27">
        <v>0</v>
      </c>
      <c r="W256" s="23">
        <v>0.19500000000000001</v>
      </c>
      <c r="X256" s="23">
        <v>0.21</v>
      </c>
      <c r="Y256" s="23">
        <v>0</v>
      </c>
      <c r="Z256" s="23">
        <v>-1.4E-2</v>
      </c>
      <c r="AA256" s="23">
        <v>2.0500000000000001E-2</v>
      </c>
      <c r="AB256" s="23">
        <v>5.4999999999999997E-3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K256" s="23">
        <v>0</v>
      </c>
      <c r="AL256" s="23">
        <v>0</v>
      </c>
      <c r="AM256" s="23">
        <v>0.65</v>
      </c>
      <c r="AN256" s="23">
        <v>-2.2499999999999999E-2</v>
      </c>
      <c r="AO256" s="23">
        <v>0</v>
      </c>
      <c r="AP256" s="23">
        <v>-7.0000000000000007E-2</v>
      </c>
      <c r="AQ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-0.06</v>
      </c>
      <c r="AX256" s="23">
        <v>-0.06</v>
      </c>
      <c r="AY256" s="23">
        <v>0</v>
      </c>
      <c r="BA256" s="23">
        <v>0</v>
      </c>
      <c r="BB256" s="23">
        <v>0</v>
      </c>
      <c r="BD256" s="23">
        <v>-5.2499999999999998E-2</v>
      </c>
      <c r="BE256" s="23">
        <v>0</v>
      </c>
      <c r="BF256" s="23">
        <v>0</v>
      </c>
      <c r="BJ256" s="23">
        <v>0.46</v>
      </c>
      <c r="BK256" s="23">
        <v>0</v>
      </c>
      <c r="BL256" s="23">
        <v>-0.02</v>
      </c>
      <c r="BM256" s="23">
        <v>5.0000000000000001E-3</v>
      </c>
      <c r="BO256" s="23">
        <v>0</v>
      </c>
      <c r="BP256" s="23">
        <v>0</v>
      </c>
      <c r="BQ256" s="23">
        <v>0</v>
      </c>
      <c r="BR256" s="23">
        <v>5.5E-2</v>
      </c>
      <c r="BS256"/>
      <c r="BT256">
        <v>0</v>
      </c>
      <c r="BU256">
        <v>0</v>
      </c>
      <c r="BV256">
        <v>0</v>
      </c>
    </row>
    <row r="257" spans="1:74" x14ac:dyDescent="0.25">
      <c r="A257" s="24"/>
      <c r="B257" s="24">
        <v>4.4820000000000002</v>
      </c>
      <c r="C257" s="138">
        <f t="shared" si="6"/>
        <v>44896</v>
      </c>
      <c r="D257">
        <v>5.0875000000000004</v>
      </c>
      <c r="E257" s="24">
        <v>0.17</v>
      </c>
      <c r="F257" s="24">
        <v>6.4311994773978795E-2</v>
      </c>
      <c r="O257" s="23"/>
      <c r="V257" s="27">
        <v>0</v>
      </c>
      <c r="W257" s="23">
        <v>0.215</v>
      </c>
      <c r="X257" s="23">
        <v>0.28999999999999998</v>
      </c>
      <c r="Y257" s="23">
        <v>0</v>
      </c>
      <c r="Z257" s="23">
        <v>-1.4E-2</v>
      </c>
      <c r="AA257" s="23">
        <v>2.0500000000000001E-2</v>
      </c>
      <c r="AB257" s="23">
        <v>5.4999999999999997E-3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K257" s="23">
        <v>0</v>
      </c>
      <c r="AL257" s="23">
        <v>0</v>
      </c>
      <c r="AM257" s="23">
        <v>0.98</v>
      </c>
      <c r="AN257" s="23">
        <v>-4.4999999999999998E-2</v>
      </c>
      <c r="AO257" s="23">
        <v>0</v>
      </c>
      <c r="AP257" s="23">
        <v>-7.0000000000000007E-2</v>
      </c>
      <c r="AQ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-0.06</v>
      </c>
      <c r="AX257" s="23">
        <v>-0.06</v>
      </c>
      <c r="AY257" s="23">
        <v>0</v>
      </c>
      <c r="BA257" s="23">
        <v>0</v>
      </c>
      <c r="BB257" s="23">
        <v>0</v>
      </c>
      <c r="BD257" s="23">
        <v>-7.4999999999999997E-2</v>
      </c>
      <c r="BE257" s="23">
        <v>0</v>
      </c>
      <c r="BF257" s="23">
        <v>0</v>
      </c>
      <c r="BJ257" s="23">
        <v>0.77</v>
      </c>
      <c r="BK257" s="23">
        <v>0</v>
      </c>
      <c r="BL257" s="23">
        <v>-2.5000000000000001E-2</v>
      </c>
      <c r="BM257" s="23">
        <v>5.0000000000000001E-3</v>
      </c>
      <c r="BO257" s="23">
        <v>0</v>
      </c>
      <c r="BP257" s="23">
        <v>0</v>
      </c>
      <c r="BQ257" s="23">
        <v>0</v>
      </c>
      <c r="BR257" s="23">
        <v>0.25</v>
      </c>
      <c r="BS257"/>
      <c r="BT257">
        <v>0</v>
      </c>
      <c r="BU257">
        <v>0</v>
      </c>
      <c r="BV257">
        <v>0</v>
      </c>
    </row>
    <row r="258" spans="1:74" x14ac:dyDescent="0.25">
      <c r="A258" s="24"/>
      <c r="B258" s="24">
        <v>4.5469999999999997</v>
      </c>
      <c r="C258" s="138">
        <f t="shared" si="6"/>
        <v>44927</v>
      </c>
      <c r="D258">
        <v>5.1475</v>
      </c>
      <c r="E258" s="24">
        <v>0.17</v>
      </c>
      <c r="F258" s="24">
        <v>6.4305152692759798E-2</v>
      </c>
      <c r="O258" s="23"/>
      <c r="V258" s="27">
        <v>0</v>
      </c>
      <c r="W258" s="23">
        <v>0.23499999999999999</v>
      </c>
      <c r="X258" s="23">
        <v>0.34</v>
      </c>
      <c r="AM258" s="23">
        <v>1.6</v>
      </c>
      <c r="AN258" s="23">
        <v>-4.7500000000000001E-2</v>
      </c>
      <c r="AO258" s="23">
        <v>0</v>
      </c>
      <c r="AP258" s="23">
        <v>-7.0000000000000007E-2</v>
      </c>
      <c r="AQ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-0.06</v>
      </c>
      <c r="AX258" s="23">
        <v>-0.06</v>
      </c>
      <c r="BD258" s="23">
        <v>-7.7499999999999999E-2</v>
      </c>
      <c r="BF258" s="23">
        <v>0</v>
      </c>
      <c r="BJ258" s="23">
        <v>1.04</v>
      </c>
      <c r="BL258" s="23">
        <v>-2.5000000000000001E-2</v>
      </c>
      <c r="BM258" s="23">
        <v>5.0000000000000001E-3</v>
      </c>
      <c r="BO258" s="23">
        <v>0</v>
      </c>
      <c r="BP258" s="23">
        <v>0</v>
      </c>
      <c r="BQ258" s="23">
        <v>0</v>
      </c>
      <c r="BR258" s="23">
        <v>0.45</v>
      </c>
      <c r="BS258"/>
      <c r="BT258">
        <v>0</v>
      </c>
      <c r="BU258">
        <v>0</v>
      </c>
      <c r="BV258">
        <v>0</v>
      </c>
    </row>
    <row r="259" spans="1:74" x14ac:dyDescent="0.25">
      <c r="A259" s="24"/>
      <c r="B259" s="24">
        <v>4.5419999999999998</v>
      </c>
      <c r="C259" s="138">
        <f t="shared" si="6"/>
        <v>44958</v>
      </c>
      <c r="D259">
        <v>5.0625</v>
      </c>
      <c r="E259" s="24">
        <v>0.17</v>
      </c>
      <c r="F259" s="24">
        <v>6.42983106115564E-2</v>
      </c>
      <c r="O259" s="23"/>
      <c r="V259" s="27">
        <v>0</v>
      </c>
      <c r="W259" s="23">
        <v>0.23499999999999999</v>
      </c>
      <c r="X259" s="23">
        <v>0.34</v>
      </c>
      <c r="AM259" s="23">
        <v>1.6</v>
      </c>
      <c r="AN259" s="23">
        <v>-0.03</v>
      </c>
      <c r="AO259" s="23">
        <v>0</v>
      </c>
      <c r="AP259" s="23">
        <v>-7.0000000000000007E-2</v>
      </c>
      <c r="AQ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-0.06</v>
      </c>
      <c r="AX259" s="23">
        <v>-0.06</v>
      </c>
      <c r="BD259" s="23">
        <v>-0.06</v>
      </c>
      <c r="BF259" s="23">
        <v>0</v>
      </c>
      <c r="BJ259" s="23">
        <v>1.04</v>
      </c>
      <c r="BL259" s="23">
        <v>-2.5000000000000001E-2</v>
      </c>
      <c r="BM259" s="23">
        <v>5.0000000000000001E-3</v>
      </c>
      <c r="BO259" s="23">
        <v>0</v>
      </c>
      <c r="BP259" s="23">
        <v>0</v>
      </c>
      <c r="BQ259" s="23">
        <v>0</v>
      </c>
      <c r="BR259" s="23">
        <v>0.45</v>
      </c>
      <c r="BS259"/>
      <c r="BT259">
        <v>0</v>
      </c>
      <c r="BU259">
        <v>0</v>
      </c>
      <c r="BV259">
        <v>0</v>
      </c>
    </row>
    <row r="260" spans="1:74" x14ac:dyDescent="0.25">
      <c r="A260" s="24"/>
      <c r="B260" s="24">
        <v>4.5140000000000002</v>
      </c>
      <c r="C260" s="138">
        <f t="shared" si="6"/>
        <v>44986</v>
      </c>
      <c r="D260">
        <v>4.9325000000000001</v>
      </c>
      <c r="E260" s="24">
        <v>0.17</v>
      </c>
      <c r="F260" s="24">
        <v>6.4292130667257003E-2</v>
      </c>
      <c r="O260" s="23"/>
      <c r="V260" s="27">
        <v>0</v>
      </c>
      <c r="W260" s="23">
        <v>0.19500000000000001</v>
      </c>
      <c r="X260" s="23">
        <v>0.28999999999999998</v>
      </c>
      <c r="AM260" s="23">
        <v>0.64</v>
      </c>
      <c r="AN260" s="23">
        <v>-1.7500000000000002E-2</v>
      </c>
      <c r="AO260" s="23">
        <v>0</v>
      </c>
      <c r="AP260" s="23">
        <v>-7.0000000000000007E-2</v>
      </c>
      <c r="AQ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-0.06</v>
      </c>
      <c r="AX260" s="23">
        <v>-0.06</v>
      </c>
      <c r="BD260" s="23">
        <v>-4.7500000000000001E-2</v>
      </c>
      <c r="BF260" s="23">
        <v>0</v>
      </c>
      <c r="BJ260" s="23">
        <v>0.54</v>
      </c>
      <c r="BL260" s="23">
        <v>-0.02</v>
      </c>
      <c r="BM260" s="23">
        <v>5.0000000000000001E-3</v>
      </c>
      <c r="BO260" s="23">
        <v>0</v>
      </c>
      <c r="BP260" s="23">
        <v>0</v>
      </c>
      <c r="BQ260" s="23">
        <v>0</v>
      </c>
      <c r="BR260" s="23">
        <v>0.1</v>
      </c>
      <c r="BS260"/>
      <c r="BT260">
        <v>0</v>
      </c>
      <c r="BU260">
        <v>0</v>
      </c>
      <c r="BV260">
        <v>0</v>
      </c>
    </row>
    <row r="261" spans="1:74" x14ac:dyDescent="0.25">
      <c r="A261" s="24"/>
      <c r="B261" s="24">
        <v>4.5140000000000002</v>
      </c>
      <c r="C261" s="138">
        <f t="shared" si="6"/>
        <v>45017</v>
      </c>
      <c r="D261">
        <v>4.7474999999999996</v>
      </c>
      <c r="E261" s="24">
        <v>0.17</v>
      </c>
      <c r="F261" s="24">
        <v>6.42852885860834E-2</v>
      </c>
      <c r="O261" s="23"/>
      <c r="V261" s="27">
        <v>0</v>
      </c>
      <c r="W261" s="23">
        <v>0.14499999999999999</v>
      </c>
      <c r="X261" s="23">
        <v>0.19500000000000001</v>
      </c>
      <c r="AM261" s="23">
        <v>0.38</v>
      </c>
      <c r="AN261" s="23">
        <v>0.02</v>
      </c>
      <c r="AO261" s="23">
        <v>0</v>
      </c>
      <c r="AP261" s="23">
        <v>-7.0000000000000007E-2</v>
      </c>
      <c r="AQ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-0.06</v>
      </c>
      <c r="AX261" s="23">
        <v>-0.06</v>
      </c>
      <c r="BD261" s="23">
        <v>-0.01</v>
      </c>
      <c r="BF261" s="23">
        <v>0</v>
      </c>
      <c r="BJ261" s="23">
        <v>0.36</v>
      </c>
      <c r="BL261" s="23">
        <v>-1.4999999999999999E-2</v>
      </c>
      <c r="BM261" s="23">
        <v>5.0000000000000001E-3</v>
      </c>
      <c r="BO261" s="23">
        <v>0</v>
      </c>
      <c r="BP261" s="23">
        <v>0</v>
      </c>
      <c r="BQ261" s="23">
        <v>0</v>
      </c>
      <c r="BR261" s="23">
        <v>0.02</v>
      </c>
      <c r="BS261"/>
      <c r="BT261">
        <v>0</v>
      </c>
      <c r="BU261">
        <v>0</v>
      </c>
      <c r="BV261">
        <v>0</v>
      </c>
    </row>
    <row r="262" spans="1:74" x14ac:dyDescent="0.25">
      <c r="A262" s="24"/>
      <c r="B262" s="24">
        <v>4.5360000000000005</v>
      </c>
      <c r="C262" s="138">
        <f t="shared" si="6"/>
        <v>45047</v>
      </c>
      <c r="D262">
        <v>4.7424999999999997</v>
      </c>
      <c r="E262" s="24">
        <v>0.17</v>
      </c>
      <c r="F262" s="24">
        <v>6.4278667217220406E-2</v>
      </c>
      <c r="O262" s="23"/>
      <c r="V262" s="27">
        <v>0</v>
      </c>
      <c r="W262" s="23">
        <v>0.125</v>
      </c>
      <c r="X262" s="23">
        <v>0.13500000000000001</v>
      </c>
      <c r="AM262" s="23">
        <v>0.33</v>
      </c>
      <c r="AN262" s="23">
        <v>0.02</v>
      </c>
      <c r="AO262" s="23">
        <v>0</v>
      </c>
      <c r="AP262" s="23">
        <v>-7.0000000000000007E-2</v>
      </c>
      <c r="AQ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-0.06</v>
      </c>
      <c r="AX262" s="23">
        <v>-0.06</v>
      </c>
      <c r="BD262" s="23">
        <v>-0.01</v>
      </c>
      <c r="BF262" s="23">
        <v>0</v>
      </c>
      <c r="BJ262" s="23">
        <v>0.32500000000000001</v>
      </c>
      <c r="BL262" s="23">
        <v>-1.4999999999999999E-2</v>
      </c>
      <c r="BM262" s="23">
        <v>5.0000000000000001E-3</v>
      </c>
      <c r="BO262" s="23">
        <v>0</v>
      </c>
      <c r="BP262" s="23">
        <v>0</v>
      </c>
      <c r="BQ262" s="23">
        <v>0</v>
      </c>
      <c r="BR262" s="23">
        <v>0.02</v>
      </c>
      <c r="BS262"/>
      <c r="BT262">
        <v>0</v>
      </c>
      <c r="BU262">
        <v>0</v>
      </c>
      <c r="BV262">
        <v>0</v>
      </c>
    </row>
    <row r="263" spans="1:74" x14ac:dyDescent="0.25">
      <c r="A263" s="24"/>
      <c r="B263" s="24">
        <v>4.5910000000000002</v>
      </c>
      <c r="C263" s="138">
        <f t="shared" ref="C263:C326" si="7">EOMONTH(C262,0)+1</f>
        <v>45078</v>
      </c>
      <c r="D263">
        <v>4.7774999999999999</v>
      </c>
      <c r="E263" s="24">
        <v>0.17</v>
      </c>
      <c r="F263" s="24">
        <v>6.4271825136076502E-2</v>
      </c>
      <c r="O263" s="23"/>
      <c r="V263" s="27">
        <v>0</v>
      </c>
      <c r="W263" s="23">
        <v>0.14499999999999999</v>
      </c>
      <c r="X263" s="298">
        <v>0.16500000000000001</v>
      </c>
      <c r="Z263" s="298"/>
      <c r="AM263" s="298">
        <v>0.37</v>
      </c>
      <c r="AN263" s="23">
        <v>2.5000000000000001E-2</v>
      </c>
      <c r="AO263" s="23">
        <v>0</v>
      </c>
      <c r="AP263" s="23">
        <v>-7.0000000000000007E-2</v>
      </c>
      <c r="AQ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-0.06</v>
      </c>
      <c r="AX263" s="23">
        <v>-0.06</v>
      </c>
      <c r="BD263" s="23">
        <v>-5.0000000000000001E-3</v>
      </c>
      <c r="BF263" s="23">
        <v>0</v>
      </c>
      <c r="BJ263" s="23">
        <v>0.33500000000000002</v>
      </c>
      <c r="BL263" s="23">
        <v>-1.4999999999999999E-2</v>
      </c>
      <c r="BM263" s="23">
        <v>5.0000000000000001E-3</v>
      </c>
      <c r="BO263" s="23">
        <v>0</v>
      </c>
      <c r="BP263" s="23">
        <v>0</v>
      </c>
      <c r="BQ263" s="23">
        <v>0</v>
      </c>
      <c r="BR263" s="23">
        <v>3.5000000000000003E-2</v>
      </c>
      <c r="BS263"/>
      <c r="BT263">
        <v>0</v>
      </c>
      <c r="BU263">
        <v>0</v>
      </c>
      <c r="BV263">
        <v>0</v>
      </c>
    </row>
    <row r="264" spans="1:74" x14ac:dyDescent="0.25">
      <c r="A264" s="24"/>
      <c r="B264" s="24">
        <v>4.851</v>
      </c>
      <c r="C264" s="138">
        <f t="shared" si="7"/>
        <v>45108</v>
      </c>
      <c r="D264">
        <v>4.8174999999999999</v>
      </c>
      <c r="E264" s="24">
        <v>0.17</v>
      </c>
      <c r="F264" s="24">
        <v>6.4265203767242901E-2</v>
      </c>
      <c r="O264" s="23"/>
      <c r="V264" s="27">
        <v>0</v>
      </c>
      <c r="W264" s="23">
        <v>0.15</v>
      </c>
      <c r="X264" s="298">
        <v>0.20499999999999999</v>
      </c>
      <c r="Z264" s="298"/>
      <c r="AM264" s="298">
        <v>0.41</v>
      </c>
      <c r="AN264" s="23">
        <v>2.75E-2</v>
      </c>
      <c r="AO264" s="23">
        <v>0</v>
      </c>
      <c r="AP264" s="23">
        <v>-7.0000000000000007E-2</v>
      </c>
      <c r="AQ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-0.06</v>
      </c>
      <c r="AX264" s="23">
        <v>-0.06</v>
      </c>
      <c r="BD264" s="23">
        <v>-2.5000000000000001E-3</v>
      </c>
      <c r="BF264" s="23">
        <v>0</v>
      </c>
      <c r="BJ264" s="23">
        <v>0.35</v>
      </c>
      <c r="BL264" s="23">
        <v>-0.01</v>
      </c>
      <c r="BM264" s="23">
        <v>5.0000000000000001E-3</v>
      </c>
      <c r="BO264" s="23">
        <v>0</v>
      </c>
      <c r="BP264" s="23">
        <v>0</v>
      </c>
      <c r="BQ264" s="23">
        <v>0</v>
      </c>
      <c r="BR264" s="23">
        <v>3.5000000000000003E-2</v>
      </c>
      <c r="BS264"/>
      <c r="BT264">
        <v>0</v>
      </c>
      <c r="BU264">
        <v>0</v>
      </c>
      <c r="BV264">
        <v>0</v>
      </c>
    </row>
    <row r="265" spans="1:74" x14ac:dyDescent="0.25">
      <c r="A265" s="24"/>
      <c r="B265" s="24">
        <v>4.8</v>
      </c>
      <c r="C265" s="138">
        <f t="shared" si="7"/>
        <v>45139</v>
      </c>
      <c r="D265">
        <v>4.8574999999999999</v>
      </c>
      <c r="E265" s="24">
        <v>0.17</v>
      </c>
      <c r="F265" s="24">
        <v>6.42583616861305E-2</v>
      </c>
      <c r="O265" s="23"/>
      <c r="V265" s="27">
        <v>0</v>
      </c>
      <c r="W265" s="23">
        <v>0.15</v>
      </c>
      <c r="X265" s="23">
        <v>0.20499999999999999</v>
      </c>
      <c r="AM265" s="23">
        <v>0.41</v>
      </c>
      <c r="AN265" s="23">
        <v>0.03</v>
      </c>
      <c r="AO265" s="23">
        <v>0</v>
      </c>
      <c r="AP265" s="23">
        <v>-7.0000000000000007E-2</v>
      </c>
      <c r="AQ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-0.06</v>
      </c>
      <c r="AX265" s="23">
        <v>-0.06</v>
      </c>
      <c r="BD265" s="23">
        <v>0</v>
      </c>
      <c r="BF265" s="23">
        <v>0</v>
      </c>
      <c r="BJ265" s="23">
        <v>0.35</v>
      </c>
      <c r="BL265" s="23">
        <v>-0.01</v>
      </c>
      <c r="BM265" s="23">
        <v>5.0000000000000001E-3</v>
      </c>
      <c r="BO265" s="23">
        <v>0</v>
      </c>
      <c r="BP265" s="23">
        <v>0</v>
      </c>
      <c r="BQ265" s="23">
        <v>0</v>
      </c>
      <c r="BR265" s="23">
        <v>0.01</v>
      </c>
      <c r="BS265"/>
      <c r="BT265">
        <v>0</v>
      </c>
      <c r="BU265">
        <v>0</v>
      </c>
      <c r="BV265">
        <v>0</v>
      </c>
    </row>
    <row r="266" spans="1:74" x14ac:dyDescent="0.25">
      <c r="A266" s="24"/>
      <c r="B266" s="24">
        <v>4.6990000000000007</v>
      </c>
      <c r="C266" s="138">
        <f t="shared" si="7"/>
        <v>45170</v>
      </c>
      <c r="D266">
        <v>4.8525</v>
      </c>
      <c r="E266" s="24">
        <v>0.17</v>
      </c>
      <c r="F266" s="24">
        <v>6.4251519605033294E-2</v>
      </c>
      <c r="O266" s="23"/>
      <c r="V266" s="27">
        <v>0</v>
      </c>
      <c r="W266" s="23">
        <v>0.125</v>
      </c>
      <c r="X266" s="23">
        <v>0.14499999999999999</v>
      </c>
      <c r="AM266" s="23">
        <v>0.36</v>
      </c>
      <c r="AN266" s="23">
        <v>2.2499999999999999E-2</v>
      </c>
      <c r="AO266" s="23">
        <v>0</v>
      </c>
      <c r="AP266" s="23">
        <v>-7.0000000000000007E-2</v>
      </c>
      <c r="AQ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-0.06</v>
      </c>
      <c r="AX266" s="23">
        <v>-0.06</v>
      </c>
      <c r="BD266" s="23">
        <v>-7.4999999999999997E-3</v>
      </c>
      <c r="BF266" s="23">
        <v>0</v>
      </c>
      <c r="BJ266" s="23">
        <v>0.315</v>
      </c>
      <c r="BL266" s="23">
        <v>-0.01</v>
      </c>
      <c r="BM266" s="23">
        <v>5.0000000000000001E-3</v>
      </c>
      <c r="BO266" s="23">
        <v>0</v>
      </c>
      <c r="BP266" s="23">
        <v>0</v>
      </c>
      <c r="BQ266" s="23">
        <v>0</v>
      </c>
      <c r="BR266" s="23">
        <v>0.01</v>
      </c>
      <c r="BS266"/>
      <c r="BT266">
        <v>0</v>
      </c>
      <c r="BU266">
        <v>0</v>
      </c>
      <c r="BV266">
        <v>0</v>
      </c>
    </row>
    <row r="267" spans="1:74" x14ac:dyDescent="0.25">
      <c r="A267" s="24"/>
      <c r="B267" s="24">
        <v>4.601</v>
      </c>
      <c r="C267" s="138">
        <f t="shared" si="7"/>
        <v>45200</v>
      </c>
      <c r="D267">
        <v>4.8775000000000004</v>
      </c>
      <c r="E267" s="24">
        <v>0.17</v>
      </c>
      <c r="F267" s="24">
        <v>6.4244898236244005E-2</v>
      </c>
      <c r="O267" s="23"/>
      <c r="V267" s="27">
        <v>0</v>
      </c>
      <c r="W267" s="23">
        <v>0.14499999999999999</v>
      </c>
      <c r="X267" s="23">
        <v>0.17499999999999999</v>
      </c>
      <c r="AM267" s="23">
        <v>0.4</v>
      </c>
      <c r="AN267" s="23">
        <v>1.2500000000000001E-2</v>
      </c>
      <c r="AO267" s="23">
        <v>0</v>
      </c>
      <c r="AP267" s="23">
        <v>-7.0000000000000007E-2</v>
      </c>
      <c r="AQ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-0.06</v>
      </c>
      <c r="AX267" s="23">
        <v>-0.06</v>
      </c>
      <c r="BD267" s="23">
        <v>-1.7500000000000002E-2</v>
      </c>
      <c r="BF267" s="23">
        <v>0</v>
      </c>
      <c r="BJ267" s="23">
        <v>0.36</v>
      </c>
      <c r="BL267" s="23">
        <v>-1.4999999999999999E-2</v>
      </c>
      <c r="BM267" s="23">
        <v>5.0000000000000001E-3</v>
      </c>
      <c r="BO267" s="23">
        <v>0</v>
      </c>
      <c r="BP267" s="23">
        <v>0</v>
      </c>
      <c r="BQ267" s="23">
        <v>0</v>
      </c>
      <c r="BR267" s="23">
        <v>0.01</v>
      </c>
      <c r="BS267"/>
      <c r="BT267">
        <v>0</v>
      </c>
      <c r="BU267">
        <v>0</v>
      </c>
      <c r="BV267">
        <v>0</v>
      </c>
    </row>
    <row r="268" spans="1:74" x14ac:dyDescent="0.25">
      <c r="A268" s="24"/>
      <c r="B268" s="24">
        <v>4.5919999999999996</v>
      </c>
      <c r="C268" s="138">
        <f t="shared" si="7"/>
        <v>45231</v>
      </c>
      <c r="D268">
        <v>5.0294999999999996</v>
      </c>
      <c r="E268" s="24">
        <v>0.17</v>
      </c>
      <c r="F268" s="24">
        <v>6.4238056155176998E-2</v>
      </c>
      <c r="O268" s="23"/>
      <c r="V268" s="27">
        <v>0</v>
      </c>
      <c r="W268" s="23">
        <v>0.19500000000000001</v>
      </c>
      <c r="X268" s="23">
        <v>0.21</v>
      </c>
      <c r="AM268" s="23">
        <v>0.65</v>
      </c>
      <c r="AN268" s="23">
        <v>-2.2499999999999999E-2</v>
      </c>
      <c r="AO268" s="23">
        <v>0</v>
      </c>
      <c r="AP268" s="23">
        <v>-7.0000000000000007E-2</v>
      </c>
      <c r="AQ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-0.06</v>
      </c>
      <c r="AX268" s="23">
        <v>-0.06</v>
      </c>
      <c r="BD268" s="23">
        <v>-5.2499999999999998E-2</v>
      </c>
      <c r="BF268" s="23">
        <v>0</v>
      </c>
      <c r="BJ268" s="23">
        <v>0.46</v>
      </c>
      <c r="BL268" s="23">
        <v>0</v>
      </c>
      <c r="BM268" s="23">
        <v>5.0000000000000001E-3</v>
      </c>
      <c r="BO268" s="23">
        <v>0</v>
      </c>
      <c r="BP268" s="23">
        <v>0</v>
      </c>
      <c r="BQ268" s="23">
        <v>0</v>
      </c>
      <c r="BR268" s="23">
        <v>5.5E-2</v>
      </c>
      <c r="BS268"/>
      <c r="BT268">
        <v>0</v>
      </c>
      <c r="BU268">
        <v>0</v>
      </c>
      <c r="BV268">
        <v>0</v>
      </c>
    </row>
    <row r="269" spans="1:74" x14ac:dyDescent="0.25">
      <c r="A269" s="24"/>
      <c r="B269" s="24">
        <v>4.5910000000000002</v>
      </c>
      <c r="C269" s="138">
        <f t="shared" si="7"/>
        <v>45261</v>
      </c>
      <c r="D269">
        <v>5.1725000000000003</v>
      </c>
      <c r="E269" s="24">
        <v>0.17</v>
      </c>
      <c r="F269" s="24">
        <v>6.4231434786417907E-2</v>
      </c>
      <c r="O269" s="23"/>
      <c r="V269" s="27">
        <v>0</v>
      </c>
      <c r="W269" s="23">
        <v>0.215</v>
      </c>
      <c r="X269" s="23">
        <v>0.28999999999999998</v>
      </c>
      <c r="AM269" s="23">
        <v>0.98</v>
      </c>
      <c r="AN269" s="23">
        <v>-4.4999999999999998E-2</v>
      </c>
      <c r="AO269" s="23">
        <v>0</v>
      </c>
      <c r="AP269" s="23">
        <v>-7.0000000000000007E-2</v>
      </c>
      <c r="AQ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-0.06</v>
      </c>
      <c r="AX269" s="23">
        <v>-0.06</v>
      </c>
      <c r="BD269" s="23">
        <v>-7.4999999999999997E-2</v>
      </c>
      <c r="BF269" s="23">
        <v>0</v>
      </c>
      <c r="BJ269" s="23">
        <v>0.77</v>
      </c>
      <c r="BL269" s="23">
        <v>0</v>
      </c>
      <c r="BM269" s="23">
        <v>5.0000000000000001E-3</v>
      </c>
      <c r="BO269" s="23">
        <v>0</v>
      </c>
      <c r="BP269" s="23">
        <v>0</v>
      </c>
      <c r="BQ269" s="23">
        <v>0</v>
      </c>
      <c r="BR269" s="23">
        <v>0.25</v>
      </c>
      <c r="BS269"/>
      <c r="BT269">
        <v>0</v>
      </c>
      <c r="BU269">
        <v>0</v>
      </c>
      <c r="BV269">
        <v>0</v>
      </c>
    </row>
    <row r="270" spans="1:74" x14ac:dyDescent="0.25">
      <c r="A270" s="24"/>
      <c r="B270" s="24">
        <v>4.6560000000000006</v>
      </c>
      <c r="C270" s="138">
        <f t="shared" si="7"/>
        <v>45292</v>
      </c>
      <c r="D270">
        <v>5.2324999999999999</v>
      </c>
      <c r="E270" s="24">
        <v>0.17</v>
      </c>
      <c r="F270" s="24">
        <v>6.42245927053815E-2</v>
      </c>
      <c r="O270" s="23"/>
      <c r="V270" s="27">
        <v>0</v>
      </c>
      <c r="W270" s="23">
        <v>0.23499999999999999</v>
      </c>
      <c r="X270" s="23">
        <v>0.34</v>
      </c>
      <c r="AM270" s="23">
        <v>1.6</v>
      </c>
      <c r="AN270" s="23">
        <v>-4.7500000000000001E-2</v>
      </c>
      <c r="AO270" s="23">
        <v>0</v>
      </c>
      <c r="AP270" s="23">
        <v>-7.0000000000000007E-2</v>
      </c>
      <c r="AQ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-7.7499999999999999E-2</v>
      </c>
      <c r="AX270" s="23">
        <v>-0.06</v>
      </c>
      <c r="BD270" s="23">
        <v>-7.7499999999999999E-2</v>
      </c>
      <c r="BF270" s="23">
        <v>0</v>
      </c>
      <c r="BJ270" s="23">
        <v>1.04</v>
      </c>
      <c r="BL270" s="23">
        <v>0</v>
      </c>
      <c r="BM270" s="23">
        <v>5.0000000000000001E-3</v>
      </c>
      <c r="BO270" s="23">
        <v>0</v>
      </c>
      <c r="BP270" s="23">
        <v>0</v>
      </c>
      <c r="BQ270" s="23">
        <v>0</v>
      </c>
      <c r="BR270" s="23">
        <v>0.45</v>
      </c>
      <c r="BS270"/>
      <c r="BT270">
        <v>0</v>
      </c>
      <c r="BU270">
        <v>0</v>
      </c>
      <c r="BV270">
        <v>0</v>
      </c>
    </row>
    <row r="271" spans="1:74" x14ac:dyDescent="0.25">
      <c r="A271" s="24"/>
      <c r="B271" s="24">
        <v>4.6510000000000007</v>
      </c>
      <c r="C271" s="138">
        <f t="shared" si="7"/>
        <v>45323</v>
      </c>
      <c r="D271">
        <v>5.1475</v>
      </c>
      <c r="E271" s="24">
        <v>0.17</v>
      </c>
      <c r="F271" s="24">
        <v>6.4217750624360595E-2</v>
      </c>
      <c r="O271" s="23"/>
      <c r="V271" s="27">
        <v>0</v>
      </c>
      <c r="W271" s="23">
        <v>0.23499999999999999</v>
      </c>
      <c r="X271" s="23">
        <v>0.34</v>
      </c>
      <c r="AM271" s="23">
        <v>1.6</v>
      </c>
      <c r="AN271" s="23">
        <v>-0.03</v>
      </c>
      <c r="AO271" s="23">
        <v>0</v>
      </c>
      <c r="AP271" s="23">
        <v>-7.0000000000000007E-2</v>
      </c>
      <c r="AQ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-0.06</v>
      </c>
      <c r="AX271" s="23">
        <v>-0.06</v>
      </c>
      <c r="BD271" s="23">
        <v>-0.06</v>
      </c>
      <c r="BF271" s="23">
        <v>0</v>
      </c>
      <c r="BJ271" s="23">
        <v>1.04</v>
      </c>
      <c r="BL271" s="23">
        <v>0</v>
      </c>
      <c r="BM271" s="23">
        <v>5.0000000000000001E-3</v>
      </c>
      <c r="BO271" s="23">
        <v>0</v>
      </c>
      <c r="BP271" s="23">
        <v>0</v>
      </c>
      <c r="BQ271" s="23">
        <v>0</v>
      </c>
      <c r="BR271" s="23">
        <v>0.45</v>
      </c>
      <c r="BS271"/>
      <c r="BT271">
        <v>0</v>
      </c>
      <c r="BU271">
        <v>0</v>
      </c>
      <c r="BV271">
        <v>0</v>
      </c>
    </row>
    <row r="272" spans="1:74" x14ac:dyDescent="0.25">
      <c r="A272" s="24"/>
      <c r="B272" s="24">
        <v>4.6219999999999999</v>
      </c>
      <c r="C272" s="138">
        <f t="shared" si="7"/>
        <v>45352</v>
      </c>
      <c r="D272">
        <v>5.0175000000000001</v>
      </c>
      <c r="E272" s="24">
        <v>0.17</v>
      </c>
      <c r="F272" s="24">
        <v>6.4211349967936204E-2</v>
      </c>
      <c r="O272" s="23"/>
      <c r="V272" s="27">
        <v>0</v>
      </c>
      <c r="W272" s="23">
        <v>0.19500000000000001</v>
      </c>
      <c r="X272" s="23">
        <v>0.28999999999999998</v>
      </c>
      <c r="AM272" s="23">
        <v>0.64</v>
      </c>
      <c r="AN272" s="23">
        <v>-1.7500000000000002E-2</v>
      </c>
      <c r="AO272" s="23">
        <v>0</v>
      </c>
      <c r="AP272" s="23">
        <v>-7.0000000000000007E-2</v>
      </c>
      <c r="AQ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-4.7500000000000001E-2</v>
      </c>
      <c r="AX272" s="23">
        <v>-0.06</v>
      </c>
      <c r="BD272" s="23">
        <v>-4.7500000000000001E-2</v>
      </c>
      <c r="BF272" s="23">
        <v>0</v>
      </c>
      <c r="BJ272" s="23">
        <v>0.54</v>
      </c>
      <c r="BL272" s="23">
        <v>0</v>
      </c>
      <c r="BM272" s="23">
        <v>5.0000000000000001E-3</v>
      </c>
      <c r="BO272" s="23">
        <v>0</v>
      </c>
      <c r="BP272" s="23">
        <v>0</v>
      </c>
      <c r="BQ272" s="23">
        <v>0</v>
      </c>
      <c r="BR272" s="23">
        <v>0.1</v>
      </c>
      <c r="BS272"/>
      <c r="BT272">
        <v>0</v>
      </c>
      <c r="BU272">
        <v>0</v>
      </c>
      <c r="BV272">
        <v>0</v>
      </c>
    </row>
    <row r="273" spans="1:74" x14ac:dyDescent="0.25">
      <c r="A273" s="24"/>
      <c r="B273" s="24">
        <v>4.6210000000000004</v>
      </c>
      <c r="C273" s="138">
        <f t="shared" si="7"/>
        <v>45383</v>
      </c>
      <c r="D273">
        <v>4.8324999999999996</v>
      </c>
      <c r="E273" s="24">
        <v>0.17</v>
      </c>
      <c r="F273" s="24">
        <v>6.4204507886945497E-2</v>
      </c>
      <c r="O273" s="23"/>
      <c r="V273" s="27">
        <v>0</v>
      </c>
      <c r="W273" s="23">
        <v>0.14499999999999999</v>
      </c>
      <c r="X273" s="23">
        <v>0.19500000000000001</v>
      </c>
      <c r="AM273" s="23">
        <v>0.38</v>
      </c>
      <c r="AN273" s="23">
        <v>0.02</v>
      </c>
      <c r="AO273" s="23">
        <v>0</v>
      </c>
      <c r="AP273" s="23">
        <v>-7.0000000000000007E-2</v>
      </c>
      <c r="AQ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-0.01</v>
      </c>
      <c r="AX273" s="23">
        <v>-0.06</v>
      </c>
      <c r="BD273" s="23">
        <v>-0.01</v>
      </c>
      <c r="BF273" s="23">
        <v>0</v>
      </c>
      <c r="BJ273" s="23">
        <v>0.36</v>
      </c>
      <c r="BL273" s="23">
        <v>0</v>
      </c>
      <c r="BM273" s="23">
        <v>5.0000000000000001E-3</v>
      </c>
      <c r="BO273" s="23">
        <v>0</v>
      </c>
      <c r="BP273" s="23">
        <v>0</v>
      </c>
      <c r="BQ273" s="23">
        <v>0</v>
      </c>
      <c r="BR273" s="23">
        <v>0.02</v>
      </c>
      <c r="BS273"/>
      <c r="BT273">
        <v>0</v>
      </c>
      <c r="BU273">
        <v>0</v>
      </c>
      <c r="BV273">
        <v>0</v>
      </c>
    </row>
    <row r="274" spans="1:74" x14ac:dyDescent="0.25">
      <c r="A274" s="24"/>
      <c r="B274" s="24">
        <v>4.6379999999999999</v>
      </c>
      <c r="C274" s="138">
        <f t="shared" si="7"/>
        <v>45413</v>
      </c>
      <c r="D274">
        <v>4.8274999999999997</v>
      </c>
      <c r="E274" s="24">
        <v>0.17</v>
      </c>
      <c r="F274" s="24">
        <v>6.4197886518259806E-2</v>
      </c>
      <c r="O274" s="23"/>
      <c r="V274" s="27">
        <v>0</v>
      </c>
      <c r="W274" s="23">
        <v>0.125</v>
      </c>
      <c r="X274" s="23">
        <v>0.13500000000000001</v>
      </c>
      <c r="AM274" s="23">
        <v>0.33</v>
      </c>
      <c r="AN274" s="23">
        <v>0.02</v>
      </c>
      <c r="AO274" s="23">
        <v>0</v>
      </c>
      <c r="AP274" s="23">
        <v>-7.0000000000000007E-2</v>
      </c>
      <c r="AQ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-0.01</v>
      </c>
      <c r="AX274" s="23">
        <v>-0.06</v>
      </c>
      <c r="BD274" s="23">
        <v>-0.01</v>
      </c>
      <c r="BF274" s="23">
        <v>0</v>
      </c>
      <c r="BJ274" s="23">
        <v>0.32500000000000001</v>
      </c>
      <c r="BL274" s="23">
        <v>0</v>
      </c>
      <c r="BM274" s="23">
        <v>5.0000000000000001E-3</v>
      </c>
      <c r="BO274" s="23">
        <v>0</v>
      </c>
      <c r="BP274" s="23">
        <v>0</v>
      </c>
      <c r="BQ274" s="23">
        <v>0</v>
      </c>
      <c r="BR274" s="23">
        <v>0.02</v>
      </c>
      <c r="BS274"/>
      <c r="BT274">
        <v>0</v>
      </c>
      <c r="BU274">
        <v>0</v>
      </c>
      <c r="BV274">
        <v>0</v>
      </c>
    </row>
    <row r="275" spans="1:74" x14ac:dyDescent="0.25">
      <c r="A275" s="24"/>
      <c r="B275" s="24">
        <v>4.6900000000000004</v>
      </c>
      <c r="C275" s="138">
        <f t="shared" si="7"/>
        <v>45444</v>
      </c>
      <c r="D275">
        <v>4.8624999999999998</v>
      </c>
      <c r="E275" s="24">
        <v>0.17</v>
      </c>
      <c r="F275" s="24">
        <v>6.4191044437299699E-2</v>
      </c>
      <c r="O275" s="23"/>
      <c r="V275" s="27">
        <v>0</v>
      </c>
      <c r="W275" s="23">
        <v>0.14499999999999999</v>
      </c>
      <c r="X275" s="23">
        <v>0.16500000000000001</v>
      </c>
      <c r="AM275" s="23">
        <v>0.37</v>
      </c>
      <c r="AN275" s="23">
        <v>2.5000000000000001E-2</v>
      </c>
      <c r="AO275" s="23">
        <v>0</v>
      </c>
      <c r="AP275" s="23">
        <v>-7.0000000000000007E-2</v>
      </c>
      <c r="AQ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-5.0000000000000001E-3</v>
      </c>
      <c r="AX275" s="23">
        <v>-0.06</v>
      </c>
      <c r="BD275" s="23">
        <v>-5.0000000000000001E-3</v>
      </c>
      <c r="BF275" s="23">
        <v>0</v>
      </c>
      <c r="BJ275" s="23">
        <v>0.33500000000000002</v>
      </c>
      <c r="BL275" s="23">
        <v>0</v>
      </c>
      <c r="BM275" s="23">
        <v>5.0000000000000001E-3</v>
      </c>
      <c r="BO275" s="23">
        <v>0</v>
      </c>
      <c r="BP275" s="23">
        <v>0</v>
      </c>
      <c r="BQ275" s="23">
        <v>0</v>
      </c>
      <c r="BR275" s="23">
        <v>3.5000000000000003E-2</v>
      </c>
      <c r="BS275"/>
      <c r="BT275">
        <v>0</v>
      </c>
      <c r="BU275">
        <v>0</v>
      </c>
      <c r="BV275">
        <v>0</v>
      </c>
    </row>
    <row r="276" spans="1:74" x14ac:dyDescent="0.25">
      <c r="A276" s="24"/>
      <c r="B276" s="24">
        <v>4.9480000000000004</v>
      </c>
      <c r="C276" s="138">
        <f t="shared" si="7"/>
        <v>45474</v>
      </c>
      <c r="D276">
        <v>4.9024999999999999</v>
      </c>
      <c r="E276" s="24">
        <v>0.17</v>
      </c>
      <c r="F276" s="24">
        <v>6.4184423068643706E-2</v>
      </c>
      <c r="O276" s="23"/>
      <c r="V276" s="27">
        <v>0</v>
      </c>
      <c r="W276" s="23">
        <v>0.15</v>
      </c>
      <c r="X276" s="23">
        <v>0.20499999999999999</v>
      </c>
      <c r="AM276" s="23">
        <v>0.41</v>
      </c>
      <c r="AN276" s="23">
        <v>2.75E-2</v>
      </c>
      <c r="AO276" s="23">
        <v>0</v>
      </c>
      <c r="AP276" s="23">
        <v>-7.0000000000000007E-2</v>
      </c>
      <c r="AQ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-2.5000000000000001E-3</v>
      </c>
      <c r="AX276" s="23">
        <v>-0.06</v>
      </c>
      <c r="BD276" s="23">
        <v>-2.5000000000000001E-3</v>
      </c>
      <c r="BF276" s="23">
        <v>0</v>
      </c>
      <c r="BJ276" s="23">
        <v>0.35</v>
      </c>
      <c r="BL276" s="23">
        <v>0</v>
      </c>
      <c r="BM276" s="23">
        <v>5.0000000000000001E-3</v>
      </c>
      <c r="BO276" s="23">
        <v>0</v>
      </c>
      <c r="BP276" s="23">
        <v>0</v>
      </c>
      <c r="BQ276" s="23">
        <v>0</v>
      </c>
      <c r="BR276" s="23">
        <v>3.5000000000000003E-2</v>
      </c>
      <c r="BS276"/>
      <c r="BT276">
        <v>0</v>
      </c>
      <c r="BU276">
        <v>0</v>
      </c>
      <c r="BV276">
        <v>0</v>
      </c>
    </row>
    <row r="277" spans="1:74" x14ac:dyDescent="0.25">
      <c r="A277" s="24"/>
      <c r="B277" s="24">
        <v>4.9010000000000007</v>
      </c>
      <c r="C277" s="138">
        <f t="shared" si="7"/>
        <v>45505</v>
      </c>
      <c r="D277">
        <v>4.9424999999999999</v>
      </c>
      <c r="E277" s="24">
        <v>0.17</v>
      </c>
      <c r="F277" s="24">
        <v>6.4177580987713395E-2</v>
      </c>
      <c r="O277" s="23"/>
      <c r="V277" s="27">
        <v>0</v>
      </c>
      <c r="W277" s="23">
        <v>0.15</v>
      </c>
      <c r="X277" s="23">
        <v>0.20499999999999999</v>
      </c>
      <c r="AM277" s="23">
        <v>0.41</v>
      </c>
      <c r="AN277" s="23">
        <v>0.03</v>
      </c>
      <c r="AO277" s="23">
        <v>0</v>
      </c>
      <c r="AP277" s="23">
        <v>-7.0000000000000007E-2</v>
      </c>
      <c r="AQ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-0.06</v>
      </c>
      <c r="BD277" s="23">
        <v>0</v>
      </c>
      <c r="BF277" s="23">
        <v>0</v>
      </c>
      <c r="BJ277" s="23">
        <v>0.35</v>
      </c>
      <c r="BL277" s="23">
        <v>0</v>
      </c>
      <c r="BM277" s="23">
        <v>5.0000000000000001E-3</v>
      </c>
      <c r="BO277" s="23">
        <v>0</v>
      </c>
      <c r="BP277" s="23">
        <v>0</v>
      </c>
      <c r="BQ277" s="23">
        <v>0</v>
      </c>
      <c r="BR277" s="23">
        <v>0.01</v>
      </c>
      <c r="BS277"/>
      <c r="BT277">
        <v>0</v>
      </c>
      <c r="BU277">
        <v>0</v>
      </c>
      <c r="BV277">
        <v>0</v>
      </c>
    </row>
    <row r="278" spans="1:74" x14ac:dyDescent="0.25">
      <c r="A278" s="24"/>
      <c r="B278" s="24">
        <v>4.8029999999999999</v>
      </c>
      <c r="C278" s="138">
        <f t="shared" si="7"/>
        <v>45536</v>
      </c>
      <c r="D278">
        <v>4.9375</v>
      </c>
      <c r="E278" s="24">
        <v>0.17</v>
      </c>
      <c r="F278" s="24">
        <v>6.4170738906799599E-2</v>
      </c>
      <c r="O278" s="23"/>
      <c r="V278" s="27">
        <v>0</v>
      </c>
      <c r="W278" s="23">
        <v>0.125</v>
      </c>
      <c r="X278" s="23">
        <v>0.14499999999999999</v>
      </c>
      <c r="AM278" s="23">
        <v>0.36</v>
      </c>
      <c r="AN278" s="23">
        <v>2.2499999999999999E-2</v>
      </c>
      <c r="AO278" s="23">
        <v>0</v>
      </c>
      <c r="AP278" s="23">
        <v>-7.0000000000000007E-2</v>
      </c>
      <c r="AQ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-7.4999999999999997E-3</v>
      </c>
      <c r="AX278" s="23">
        <v>-0.06</v>
      </c>
      <c r="BD278" s="23">
        <v>-7.4999999999999997E-3</v>
      </c>
      <c r="BF278" s="23">
        <v>0</v>
      </c>
      <c r="BJ278" s="23">
        <v>0.315</v>
      </c>
      <c r="BL278" s="23">
        <v>0</v>
      </c>
      <c r="BM278" s="23">
        <v>5.0000000000000001E-3</v>
      </c>
      <c r="BO278" s="23">
        <v>0</v>
      </c>
      <c r="BP278" s="23">
        <v>0</v>
      </c>
      <c r="BQ278" s="23">
        <v>0</v>
      </c>
      <c r="BR278" s="23">
        <v>0.01</v>
      </c>
      <c r="BS278"/>
      <c r="BT278">
        <v>0</v>
      </c>
      <c r="BU278">
        <v>0</v>
      </c>
      <c r="BV278">
        <v>0</v>
      </c>
    </row>
    <row r="279" spans="1:74" x14ac:dyDescent="0.25">
      <c r="A279" s="24"/>
      <c r="B279" s="24">
        <v>4.7080000000000002</v>
      </c>
      <c r="C279" s="138">
        <f t="shared" si="7"/>
        <v>45566</v>
      </c>
      <c r="D279">
        <v>4.9625000000000004</v>
      </c>
      <c r="E279" s="24">
        <v>0.17</v>
      </c>
      <c r="F279" s="24">
        <v>6.4164117538188001E-2</v>
      </c>
      <c r="O279" s="23"/>
      <c r="V279" s="27">
        <v>0</v>
      </c>
      <c r="W279" s="23">
        <v>0.14499999999999999</v>
      </c>
      <c r="X279" s="23">
        <v>0.17499999999999999</v>
      </c>
      <c r="AM279" s="23">
        <v>0.4</v>
      </c>
      <c r="AN279" s="23">
        <v>1.2500000000000001E-2</v>
      </c>
      <c r="AO279" s="23">
        <v>0</v>
      </c>
      <c r="AP279" s="23">
        <v>-7.0000000000000007E-2</v>
      </c>
      <c r="AQ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-1.7500000000000002E-2</v>
      </c>
      <c r="AX279" s="23">
        <v>-0.06</v>
      </c>
      <c r="BD279" s="23">
        <v>-1.7500000000000002E-2</v>
      </c>
      <c r="BF279" s="23">
        <v>0</v>
      </c>
      <c r="BJ279" s="23">
        <v>0.36</v>
      </c>
      <c r="BL279" s="23">
        <v>0</v>
      </c>
      <c r="BM279" s="23">
        <v>5.0000000000000001E-3</v>
      </c>
      <c r="BO279" s="23">
        <v>0</v>
      </c>
      <c r="BP279" s="23">
        <v>0</v>
      </c>
      <c r="BQ279" s="23">
        <v>0</v>
      </c>
      <c r="BR279" s="23">
        <v>0.01</v>
      </c>
      <c r="BS279"/>
      <c r="BT279">
        <v>0</v>
      </c>
      <c r="BU279">
        <v>0</v>
      </c>
      <c r="BV279">
        <v>0</v>
      </c>
    </row>
    <row r="280" spans="1:74" x14ac:dyDescent="0.25">
      <c r="A280" s="24"/>
      <c r="B280" s="24">
        <v>4.7</v>
      </c>
      <c r="C280" s="138">
        <f t="shared" si="7"/>
        <v>45597</v>
      </c>
      <c r="D280">
        <v>5.1144999999999996</v>
      </c>
      <c r="E280" s="24">
        <v>0.17</v>
      </c>
      <c r="F280" s="24">
        <v>6.4157275457304805E-2</v>
      </c>
      <c r="O280" s="23"/>
      <c r="V280" s="27">
        <v>0</v>
      </c>
      <c r="W280" s="23">
        <v>0.19500000000000001</v>
      </c>
      <c r="X280" s="23">
        <v>0.21</v>
      </c>
      <c r="AM280" s="23">
        <v>0.65</v>
      </c>
      <c r="AN280" s="23">
        <v>-2.2499999999999999E-2</v>
      </c>
      <c r="AO280" s="23">
        <v>0</v>
      </c>
      <c r="AP280" s="23">
        <v>-7.0000000000000007E-2</v>
      </c>
      <c r="AQ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-5.2499999999999998E-2</v>
      </c>
      <c r="AX280" s="23">
        <v>-0.06</v>
      </c>
      <c r="BD280" s="23">
        <v>-5.2499999999999998E-2</v>
      </c>
      <c r="BF280" s="23">
        <v>0</v>
      </c>
      <c r="BJ280" s="23">
        <v>0.46</v>
      </c>
      <c r="BL280" s="23">
        <v>0</v>
      </c>
      <c r="BM280" s="23">
        <v>5.0000000000000001E-3</v>
      </c>
      <c r="BO280" s="23">
        <v>0</v>
      </c>
      <c r="BP280" s="23">
        <v>0</v>
      </c>
      <c r="BQ280" s="23">
        <v>0</v>
      </c>
      <c r="BR280" s="23">
        <v>5.5E-2</v>
      </c>
      <c r="BS280"/>
      <c r="BT280">
        <v>0</v>
      </c>
      <c r="BU280">
        <v>0</v>
      </c>
      <c r="BV280">
        <v>0</v>
      </c>
    </row>
    <row r="281" spans="1:74" x14ac:dyDescent="0.25">
      <c r="A281" s="24"/>
      <c r="B281" s="24">
        <v>4.7</v>
      </c>
      <c r="C281" s="138">
        <f t="shared" si="7"/>
        <v>45627</v>
      </c>
      <c r="D281">
        <v>5.2575000000000003</v>
      </c>
      <c r="E281" s="24">
        <v>0.17</v>
      </c>
      <c r="F281" s="24">
        <v>6.4150654088722406E-2</v>
      </c>
      <c r="O281" s="23"/>
      <c r="V281" s="27">
        <v>0</v>
      </c>
      <c r="W281" s="23">
        <v>0.215</v>
      </c>
      <c r="X281" s="23">
        <v>0.28999999999999998</v>
      </c>
      <c r="AM281" s="23">
        <v>0.98</v>
      </c>
      <c r="AN281" s="23">
        <v>-4.4999999999999998E-2</v>
      </c>
      <c r="AO281" s="23">
        <v>0</v>
      </c>
      <c r="AP281" s="23">
        <v>-7.0000000000000007E-2</v>
      </c>
      <c r="AQ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-7.4999999999999997E-2</v>
      </c>
      <c r="AX281" s="23">
        <v>-0.06</v>
      </c>
      <c r="BD281" s="23">
        <v>-7.4999999999999997E-2</v>
      </c>
      <c r="BF281" s="23">
        <v>0</v>
      </c>
      <c r="BJ281" s="23">
        <v>0.77</v>
      </c>
      <c r="BL281" s="23">
        <v>0</v>
      </c>
      <c r="BM281" s="23">
        <v>5.0000000000000001E-3</v>
      </c>
      <c r="BO281" s="23">
        <v>0</v>
      </c>
      <c r="BP281" s="23">
        <v>0</v>
      </c>
      <c r="BQ281" s="23">
        <v>0</v>
      </c>
      <c r="BR281" s="23">
        <v>0.25</v>
      </c>
      <c r="BS281"/>
      <c r="BT281">
        <v>0</v>
      </c>
      <c r="BU281">
        <v>0</v>
      </c>
      <c r="BV281">
        <v>0</v>
      </c>
    </row>
    <row r="282" spans="1:74" x14ac:dyDescent="0.25">
      <c r="A282" s="24"/>
      <c r="B282" s="24">
        <v>4.7649999999999997</v>
      </c>
      <c r="C282" s="138">
        <f t="shared" si="7"/>
        <v>45658</v>
      </c>
      <c r="D282"/>
      <c r="F282" s="24">
        <v>6.4143812007869394E-2</v>
      </c>
      <c r="O282" s="23"/>
      <c r="V282" s="27">
        <v>0</v>
      </c>
      <c r="W282" s="23">
        <v>0.23499999999999999</v>
      </c>
      <c r="X282" s="23">
        <v>0.34</v>
      </c>
      <c r="AM282" s="23">
        <v>1.6</v>
      </c>
      <c r="AN282" s="23">
        <v>-4.7500000000000001E-2</v>
      </c>
      <c r="AO282" s="23">
        <v>0</v>
      </c>
      <c r="AP282" s="23">
        <v>-7.0000000000000007E-2</v>
      </c>
      <c r="AQ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-7.7499999999999999E-2</v>
      </c>
      <c r="AX282" s="23">
        <v>-0.06</v>
      </c>
      <c r="BD282" s="23">
        <v>-7.7499999999999999E-2</v>
      </c>
      <c r="BF282" s="23">
        <v>0</v>
      </c>
      <c r="BJ282" s="23">
        <v>1.04</v>
      </c>
      <c r="BL282" s="23">
        <v>0</v>
      </c>
      <c r="BM282" s="23">
        <v>5.0000000000000001E-3</v>
      </c>
      <c r="BO282" s="23">
        <v>0</v>
      </c>
      <c r="BP282" s="23">
        <v>0</v>
      </c>
      <c r="BQ282" s="23">
        <v>0</v>
      </c>
      <c r="BR282" s="23">
        <v>0.45</v>
      </c>
      <c r="BS282"/>
      <c r="BT282">
        <v>0</v>
      </c>
      <c r="BU282">
        <v>0</v>
      </c>
      <c r="BV282">
        <v>0</v>
      </c>
    </row>
    <row r="283" spans="1:74" x14ac:dyDescent="0.25">
      <c r="A283" s="24"/>
      <c r="B283" s="24">
        <v>4.76</v>
      </c>
      <c r="C283" s="138">
        <f t="shared" si="7"/>
        <v>45689</v>
      </c>
      <c r="D283"/>
      <c r="F283" s="24">
        <v>6.4136969927031995E-2</v>
      </c>
      <c r="O283" s="23"/>
      <c r="V283" s="27">
        <v>0</v>
      </c>
      <c r="W283" s="23">
        <v>0.23499999999999999</v>
      </c>
      <c r="X283" s="23">
        <v>0.34</v>
      </c>
      <c r="AM283" s="23">
        <v>1.6</v>
      </c>
      <c r="AN283" s="23">
        <v>-0.03</v>
      </c>
      <c r="AO283" s="23">
        <v>0</v>
      </c>
      <c r="AP283" s="23">
        <v>-7.0000000000000007E-2</v>
      </c>
      <c r="AQ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-0.06</v>
      </c>
      <c r="AX283" s="23">
        <v>-0.06</v>
      </c>
      <c r="BD283" s="23">
        <v>-0.06</v>
      </c>
      <c r="BF283" s="23">
        <v>0</v>
      </c>
      <c r="BJ283" s="23">
        <v>1.04</v>
      </c>
      <c r="BL283" s="23">
        <v>0</v>
      </c>
      <c r="BM283" s="23">
        <v>5.0000000000000001E-3</v>
      </c>
      <c r="BO283" s="23">
        <v>0</v>
      </c>
      <c r="BP283" s="23">
        <v>0</v>
      </c>
      <c r="BQ283" s="23">
        <v>0</v>
      </c>
      <c r="BR283" s="23">
        <v>0.45</v>
      </c>
      <c r="BS283"/>
      <c r="BT283">
        <v>0</v>
      </c>
      <c r="BU283">
        <v>0</v>
      </c>
      <c r="BV283">
        <v>0</v>
      </c>
    </row>
    <row r="284" spans="1:74" x14ac:dyDescent="0.25">
      <c r="A284" s="24"/>
      <c r="B284" s="24">
        <v>4.7300000000000004</v>
      </c>
      <c r="C284" s="138">
        <f t="shared" si="7"/>
        <v>45717</v>
      </c>
      <c r="D284"/>
      <c r="F284" s="24">
        <v>6.4130789983063402E-2</v>
      </c>
      <c r="O284" s="23"/>
      <c r="V284" s="27">
        <v>0</v>
      </c>
      <c r="W284" s="23">
        <v>0.19500000000000001</v>
      </c>
      <c r="X284" s="23">
        <v>0.28999999999999998</v>
      </c>
      <c r="AM284" s="23">
        <v>0.64</v>
      </c>
      <c r="AN284" s="23">
        <v>-1.7500000000000002E-2</v>
      </c>
      <c r="AO284" s="23">
        <v>0</v>
      </c>
      <c r="AP284" s="23">
        <v>-7.0000000000000007E-2</v>
      </c>
      <c r="AQ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-4.7500000000000001E-2</v>
      </c>
      <c r="AX284" s="23">
        <v>-0.06</v>
      </c>
      <c r="BD284" s="23">
        <v>-4.7500000000000001E-2</v>
      </c>
      <c r="BF284" s="23">
        <v>0</v>
      </c>
      <c r="BJ284" s="23">
        <v>0.54</v>
      </c>
      <c r="BL284" s="23">
        <v>0</v>
      </c>
      <c r="BM284" s="23">
        <v>5.0000000000000001E-3</v>
      </c>
      <c r="BO284" s="23">
        <v>0</v>
      </c>
      <c r="BP284" s="23">
        <v>0</v>
      </c>
      <c r="BQ284" s="23">
        <v>0</v>
      </c>
      <c r="BR284" s="23">
        <v>0.1</v>
      </c>
      <c r="BS284"/>
      <c r="BT284">
        <v>0</v>
      </c>
      <c r="BU284">
        <v>0</v>
      </c>
      <c r="BV284">
        <v>0</v>
      </c>
    </row>
    <row r="285" spans="1:74" x14ac:dyDescent="0.25">
      <c r="A285" s="24"/>
      <c r="B285" s="24">
        <v>4.7280000000000006</v>
      </c>
      <c r="C285" s="138">
        <f t="shared" si="7"/>
        <v>45748</v>
      </c>
      <c r="D285"/>
      <c r="F285" s="24">
        <v>6.4123947902255701E-2</v>
      </c>
      <c r="O285" s="23"/>
      <c r="V285" s="27">
        <v>0</v>
      </c>
      <c r="W285" s="23">
        <v>0.14499999999999999</v>
      </c>
      <c r="X285" s="23">
        <v>0.19500000000000001</v>
      </c>
      <c r="AM285" s="23">
        <v>0.38</v>
      </c>
      <c r="AN285" s="23">
        <v>0.02</v>
      </c>
      <c r="AO285" s="23">
        <v>0</v>
      </c>
      <c r="AP285" s="23">
        <v>-7.0000000000000007E-2</v>
      </c>
      <c r="AQ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-0.01</v>
      </c>
      <c r="AX285" s="23">
        <v>-0.06</v>
      </c>
      <c r="BD285" s="23">
        <v>-0.01</v>
      </c>
      <c r="BF285" s="23">
        <v>0</v>
      </c>
      <c r="BJ285" s="23">
        <v>0.36</v>
      </c>
      <c r="BL285" s="23">
        <v>0</v>
      </c>
      <c r="BM285" s="23">
        <v>5.0000000000000001E-3</v>
      </c>
      <c r="BO285" s="23">
        <v>0</v>
      </c>
      <c r="BP285" s="23">
        <v>0</v>
      </c>
      <c r="BQ285" s="23">
        <v>0</v>
      </c>
      <c r="BR285" s="23">
        <v>0.02</v>
      </c>
      <c r="BS285"/>
      <c r="BT285">
        <v>0</v>
      </c>
      <c r="BU285">
        <v>0</v>
      </c>
      <c r="BV285">
        <v>0</v>
      </c>
    </row>
    <row r="286" spans="1:74" x14ac:dyDescent="0.25">
      <c r="A286" s="24"/>
      <c r="B286" s="24">
        <v>4.74</v>
      </c>
      <c r="C286" s="138">
        <f t="shared" si="7"/>
        <v>45778</v>
      </c>
      <c r="D286"/>
      <c r="F286" s="24">
        <v>6.4117326533746202E-2</v>
      </c>
      <c r="O286" s="23"/>
      <c r="V286" s="27">
        <v>0</v>
      </c>
      <c r="W286" s="23">
        <v>0.125</v>
      </c>
      <c r="X286" s="23">
        <v>0.13500000000000001</v>
      </c>
      <c r="AM286" s="23">
        <v>0.33</v>
      </c>
      <c r="AN286" s="23">
        <v>0.02</v>
      </c>
      <c r="AO286" s="23">
        <v>0</v>
      </c>
      <c r="AP286" s="23">
        <v>-7.0000000000000007E-2</v>
      </c>
      <c r="AQ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-0.01</v>
      </c>
      <c r="AX286" s="23">
        <v>-0.06</v>
      </c>
      <c r="BD286" s="23">
        <v>-0.01</v>
      </c>
      <c r="BF286" s="23">
        <v>0</v>
      </c>
      <c r="BJ286" s="23">
        <v>0.32500000000000001</v>
      </c>
      <c r="BL286" s="23">
        <v>0</v>
      </c>
      <c r="BM286" s="23">
        <v>5.0000000000000001E-3</v>
      </c>
      <c r="BO286" s="23">
        <v>0</v>
      </c>
      <c r="BP286" s="23">
        <v>0</v>
      </c>
      <c r="BQ286" s="23">
        <v>0</v>
      </c>
      <c r="BR286" s="23">
        <v>0.02</v>
      </c>
      <c r="BS286"/>
      <c r="BT286">
        <v>0</v>
      </c>
      <c r="BU286">
        <v>0</v>
      </c>
      <c r="BV286">
        <v>0</v>
      </c>
    </row>
    <row r="287" spans="1:74" x14ac:dyDescent="0.25">
      <c r="A287" s="24"/>
      <c r="B287" s="24">
        <v>4.7890000000000006</v>
      </c>
      <c r="C287" s="138">
        <f t="shared" si="7"/>
        <v>45809</v>
      </c>
      <c r="D287"/>
      <c r="F287" s="24">
        <v>6.4110484452969199E-2</v>
      </c>
      <c r="O287" s="23"/>
      <c r="V287" s="27">
        <v>0</v>
      </c>
      <c r="W287" s="23">
        <v>0.14499999999999999</v>
      </c>
      <c r="X287" s="23">
        <v>0.16500000000000001</v>
      </c>
      <c r="AM287" s="23">
        <v>0.37</v>
      </c>
      <c r="AN287" s="23">
        <v>2.5000000000000001E-2</v>
      </c>
      <c r="AO287" s="23">
        <v>0</v>
      </c>
      <c r="AP287" s="23">
        <v>-7.0000000000000007E-2</v>
      </c>
      <c r="AQ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-5.0000000000000001E-3</v>
      </c>
      <c r="AX287" s="23">
        <v>-0.06</v>
      </c>
      <c r="BD287" s="23">
        <v>-5.0000000000000001E-3</v>
      </c>
      <c r="BF287" s="23">
        <v>0</v>
      </c>
      <c r="BJ287" s="23">
        <v>0.33500000000000002</v>
      </c>
      <c r="BL287" s="23">
        <v>0</v>
      </c>
      <c r="BM287" s="23">
        <v>5.0000000000000001E-3</v>
      </c>
      <c r="BO287" s="23">
        <v>0</v>
      </c>
      <c r="BP287" s="23">
        <v>0</v>
      </c>
      <c r="BQ287" s="23">
        <v>0</v>
      </c>
      <c r="BR287" s="23">
        <v>3.5000000000000003E-2</v>
      </c>
      <c r="BS287"/>
      <c r="BT287">
        <v>0</v>
      </c>
      <c r="BU287">
        <v>0</v>
      </c>
      <c r="BV287">
        <v>0</v>
      </c>
    </row>
    <row r="288" spans="1:74" x14ac:dyDescent="0.25">
      <c r="A288" s="24"/>
      <c r="B288" s="24">
        <v>5.0449999999999999</v>
      </c>
      <c r="C288" s="138">
        <f t="shared" si="7"/>
        <v>45839</v>
      </c>
      <c r="D288"/>
      <c r="F288" s="24">
        <v>6.4103863084489898E-2</v>
      </c>
      <c r="O288" s="23"/>
      <c r="V288" s="27">
        <v>0</v>
      </c>
      <c r="W288" s="23">
        <v>0.15</v>
      </c>
      <c r="X288" s="23">
        <v>0.20499999999999999</v>
      </c>
      <c r="AM288" s="23">
        <v>0.41</v>
      </c>
      <c r="AN288" s="23">
        <v>2.75E-2</v>
      </c>
      <c r="AO288" s="23">
        <v>0</v>
      </c>
      <c r="AP288" s="23">
        <v>-7.0000000000000007E-2</v>
      </c>
      <c r="AQ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-2.5000000000000001E-3</v>
      </c>
      <c r="AX288" s="23">
        <v>-0.06</v>
      </c>
      <c r="BD288" s="23">
        <v>-2.5000000000000001E-3</v>
      </c>
      <c r="BF288" s="23">
        <v>0</v>
      </c>
      <c r="BJ288" s="23">
        <v>0.35</v>
      </c>
      <c r="BL288" s="23">
        <v>0</v>
      </c>
      <c r="BM288" s="23">
        <v>5.0000000000000001E-3</v>
      </c>
      <c r="BO288" s="23">
        <v>0</v>
      </c>
      <c r="BP288" s="23">
        <v>0</v>
      </c>
      <c r="BQ288" s="23">
        <v>0</v>
      </c>
      <c r="BR288" s="23">
        <v>3.5000000000000003E-2</v>
      </c>
      <c r="BS288"/>
      <c r="BT288">
        <v>0</v>
      </c>
      <c r="BU288">
        <v>0</v>
      </c>
      <c r="BV288">
        <v>0</v>
      </c>
    </row>
    <row r="289" spans="1:74" x14ac:dyDescent="0.25">
      <c r="A289" s="24"/>
      <c r="B289" s="24">
        <v>5.0019999999999998</v>
      </c>
      <c r="C289" s="138">
        <f t="shared" si="7"/>
        <v>45870</v>
      </c>
      <c r="D289"/>
      <c r="F289" s="24">
        <v>6.4097021003742996E-2</v>
      </c>
      <c r="O289" s="23"/>
      <c r="V289" s="27">
        <v>0</v>
      </c>
      <c r="W289" s="23">
        <v>0.15</v>
      </c>
      <c r="X289" s="23">
        <v>0.20499999999999999</v>
      </c>
      <c r="AM289" s="23">
        <v>0.41</v>
      </c>
      <c r="AN289" s="23">
        <v>0.03</v>
      </c>
      <c r="AO289" s="23">
        <v>0</v>
      </c>
      <c r="AP289" s="23">
        <v>-7.0000000000000007E-2</v>
      </c>
      <c r="AQ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-0.06</v>
      </c>
      <c r="BD289" s="23">
        <v>0</v>
      </c>
      <c r="BF289" s="23">
        <v>0</v>
      </c>
      <c r="BJ289" s="23">
        <v>0.35</v>
      </c>
      <c r="BL289" s="23">
        <v>0</v>
      </c>
      <c r="BM289" s="23">
        <v>5.0000000000000001E-3</v>
      </c>
      <c r="BO289" s="23">
        <v>0</v>
      </c>
      <c r="BP289" s="23">
        <v>0</v>
      </c>
      <c r="BQ289" s="23">
        <v>0</v>
      </c>
      <c r="BR289" s="23">
        <v>0.01</v>
      </c>
      <c r="BS289"/>
      <c r="BT289">
        <v>0</v>
      </c>
      <c r="BU289">
        <v>0</v>
      </c>
      <c r="BV289">
        <v>0</v>
      </c>
    </row>
    <row r="290" spans="1:74" x14ac:dyDescent="0.25">
      <c r="A290" s="24"/>
      <c r="B290" s="24">
        <v>4.907</v>
      </c>
      <c r="C290" s="138">
        <f t="shared" si="7"/>
        <v>45901</v>
      </c>
      <c r="D290"/>
      <c r="F290" s="24">
        <v>6.4090178923011706E-2</v>
      </c>
      <c r="O290" s="23"/>
      <c r="V290" s="27">
        <v>0</v>
      </c>
      <c r="W290" s="23">
        <v>0.125</v>
      </c>
      <c r="X290" s="23">
        <v>0.14499999999999999</v>
      </c>
      <c r="AM290" s="23">
        <v>0.36</v>
      </c>
      <c r="AN290" s="23">
        <v>2.2499999999999999E-2</v>
      </c>
      <c r="AO290" s="23">
        <v>0</v>
      </c>
      <c r="AP290" s="23">
        <v>-7.0000000000000007E-2</v>
      </c>
      <c r="AQ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-7.4999999999999997E-3</v>
      </c>
      <c r="AX290" s="23">
        <v>-0.06</v>
      </c>
      <c r="BD290" s="23">
        <v>-7.4999999999999997E-3</v>
      </c>
      <c r="BF290" s="23">
        <v>0</v>
      </c>
      <c r="BJ290" s="23">
        <v>0.315</v>
      </c>
      <c r="BL290" s="23">
        <v>0</v>
      </c>
      <c r="BM290" s="23">
        <v>5.0000000000000001E-3</v>
      </c>
      <c r="BO290" s="23">
        <v>0</v>
      </c>
      <c r="BP290" s="23">
        <v>0</v>
      </c>
      <c r="BQ290" s="23">
        <v>0</v>
      </c>
      <c r="BR290" s="23">
        <v>0.01</v>
      </c>
      <c r="BS290"/>
      <c r="BT290">
        <v>0</v>
      </c>
      <c r="BU290">
        <v>0</v>
      </c>
      <c r="BV290">
        <v>0</v>
      </c>
    </row>
    <row r="291" spans="1:74" x14ac:dyDescent="0.25">
      <c r="A291" s="24"/>
      <c r="B291" s="24">
        <v>4.8150000000000004</v>
      </c>
      <c r="C291" s="138">
        <f t="shared" si="7"/>
        <v>45931</v>
      </c>
      <c r="D291"/>
      <c r="F291" s="24">
        <v>6.40835575545768E-2</v>
      </c>
      <c r="O291" s="23"/>
      <c r="V291" s="27">
        <v>0</v>
      </c>
      <c r="W291" s="23">
        <v>0.14499999999999999</v>
      </c>
      <c r="X291" s="23">
        <v>0.17499999999999999</v>
      </c>
      <c r="AM291" s="23">
        <v>0.4</v>
      </c>
      <c r="AN291" s="23">
        <v>1.2500000000000001E-2</v>
      </c>
      <c r="AO291" s="23">
        <v>0</v>
      </c>
      <c r="AP291" s="23">
        <v>-7.0000000000000007E-2</v>
      </c>
      <c r="AQ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-1.7500000000000002E-2</v>
      </c>
      <c r="AX291" s="23">
        <v>-0.06</v>
      </c>
      <c r="BD291" s="23">
        <v>-1.7500000000000002E-2</v>
      </c>
      <c r="BF291" s="23">
        <v>0</v>
      </c>
      <c r="BJ291" s="23">
        <v>0.36</v>
      </c>
      <c r="BL291" s="23">
        <v>0</v>
      </c>
      <c r="BM291" s="23">
        <v>5.0000000000000001E-3</v>
      </c>
      <c r="BO291" s="23">
        <v>0</v>
      </c>
      <c r="BP291" s="23">
        <v>0</v>
      </c>
      <c r="BQ291" s="23">
        <v>0</v>
      </c>
      <c r="BR291" s="23">
        <v>0.01</v>
      </c>
      <c r="BS291"/>
      <c r="BT291">
        <v>0</v>
      </c>
      <c r="BU291">
        <v>0</v>
      </c>
      <c r="BV291">
        <v>0</v>
      </c>
    </row>
    <row r="292" spans="1:74" x14ac:dyDescent="0.25">
      <c r="A292" s="24"/>
      <c r="B292" s="24">
        <v>4.8079999999999998</v>
      </c>
      <c r="C292" s="138">
        <f t="shared" si="7"/>
        <v>45962</v>
      </c>
      <c r="D292"/>
      <c r="F292" s="24">
        <v>6.4076715473876195E-2</v>
      </c>
      <c r="O292" s="23"/>
      <c r="V292" s="27">
        <v>0</v>
      </c>
      <c r="W292" s="23">
        <v>0.19500000000000001</v>
      </c>
      <c r="X292" s="23">
        <v>0.21</v>
      </c>
      <c r="AM292" s="23">
        <v>0.65</v>
      </c>
      <c r="AN292" s="23">
        <v>-2.2499999999999999E-2</v>
      </c>
      <c r="AO292" s="23">
        <v>0</v>
      </c>
      <c r="AP292" s="23">
        <v>-7.0000000000000007E-2</v>
      </c>
      <c r="AQ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-5.2499999999999998E-2</v>
      </c>
      <c r="AX292" s="23">
        <v>-0.06</v>
      </c>
      <c r="BD292" s="23">
        <v>-5.2499999999999998E-2</v>
      </c>
      <c r="BF292" s="23">
        <v>0</v>
      </c>
      <c r="BJ292" s="23">
        <v>0.46</v>
      </c>
      <c r="BL292" s="23">
        <v>0</v>
      </c>
      <c r="BM292" s="23">
        <v>5.0000000000000001E-3</v>
      </c>
      <c r="BO292" s="23">
        <v>0</v>
      </c>
      <c r="BP292" s="23">
        <v>0</v>
      </c>
      <c r="BQ292" s="23">
        <v>0</v>
      </c>
      <c r="BR292" s="23">
        <v>5.5E-2</v>
      </c>
      <c r="BS292"/>
      <c r="BT292">
        <v>0</v>
      </c>
      <c r="BU292">
        <v>0</v>
      </c>
      <c r="BV292">
        <v>0</v>
      </c>
    </row>
    <row r="293" spans="1:74" x14ac:dyDescent="0.25">
      <c r="A293" s="24"/>
      <c r="B293" s="24"/>
      <c r="C293" s="138">
        <f t="shared" si="7"/>
        <v>45992</v>
      </c>
      <c r="D293"/>
      <c r="F293" s="24">
        <v>6.4070094105470599E-2</v>
      </c>
      <c r="O293" s="23"/>
      <c r="V293" s="27">
        <v>0</v>
      </c>
      <c r="W293" s="23">
        <v>0.215</v>
      </c>
      <c r="X293" s="23">
        <v>0.28999999999999998</v>
      </c>
      <c r="AM293" s="23">
        <v>0.98</v>
      </c>
      <c r="AN293" s="23">
        <v>-4.4999999999999998E-2</v>
      </c>
      <c r="AO293" s="23">
        <v>0</v>
      </c>
      <c r="AP293" s="23">
        <v>-7.0000000000000007E-2</v>
      </c>
      <c r="AQ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-7.4999999999999997E-2</v>
      </c>
      <c r="AX293" s="23">
        <v>-0.06</v>
      </c>
      <c r="BD293" s="23">
        <v>-7.4999999999999997E-2</v>
      </c>
      <c r="BF293" s="23">
        <v>0</v>
      </c>
      <c r="BJ293" s="23">
        <v>0.77</v>
      </c>
      <c r="BL293" s="23">
        <v>0</v>
      </c>
      <c r="BM293" s="23">
        <v>5.0000000000000001E-3</v>
      </c>
      <c r="BO293" s="23">
        <v>0</v>
      </c>
      <c r="BP293" s="23">
        <v>0</v>
      </c>
      <c r="BQ293" s="23">
        <v>0</v>
      </c>
      <c r="BR293" s="23">
        <v>0.25</v>
      </c>
      <c r="BS293"/>
      <c r="BT293">
        <v>0</v>
      </c>
      <c r="BU293">
        <v>0</v>
      </c>
      <c r="BV293">
        <v>0</v>
      </c>
    </row>
    <row r="294" spans="1:74" x14ac:dyDescent="0.25">
      <c r="A294" s="24"/>
      <c r="B294" s="24"/>
      <c r="C294" s="138">
        <f t="shared" si="7"/>
        <v>46023</v>
      </c>
      <c r="D294"/>
      <c r="F294" s="24">
        <v>6.4063252024800593E-2</v>
      </c>
      <c r="V294" s="23">
        <v>0</v>
      </c>
      <c r="W294" s="27">
        <v>0.23499999999999999</v>
      </c>
      <c r="X294" s="23">
        <v>0.34</v>
      </c>
      <c r="AM294" s="23">
        <v>1.6</v>
      </c>
      <c r="AN294" s="23">
        <v>-4.7500000000000001E-2</v>
      </c>
      <c r="AO294" s="23">
        <v>0</v>
      </c>
      <c r="AP294" s="23">
        <v>-7.0000000000000007E-2</v>
      </c>
      <c r="AQ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-7.7499999999999999E-2</v>
      </c>
      <c r="AX294" s="23">
        <v>-0.06</v>
      </c>
      <c r="BD294" s="23">
        <v>-7.7499999999999999E-2</v>
      </c>
      <c r="BF294" s="23">
        <v>0</v>
      </c>
      <c r="BJ294" s="23">
        <v>1.04</v>
      </c>
      <c r="BL294" s="23">
        <v>0</v>
      </c>
      <c r="BM294" s="23">
        <v>5.0000000000000001E-3</v>
      </c>
      <c r="BO294" s="23">
        <v>0</v>
      </c>
      <c r="BP294" s="23">
        <v>0</v>
      </c>
      <c r="BQ294" s="23">
        <v>0</v>
      </c>
      <c r="BR294" s="23">
        <v>0.45</v>
      </c>
      <c r="BS294"/>
      <c r="BT294">
        <v>0</v>
      </c>
      <c r="BU294">
        <v>0</v>
      </c>
      <c r="BV294">
        <v>0</v>
      </c>
    </row>
    <row r="295" spans="1:74" x14ac:dyDescent="0.25">
      <c r="A295" s="24"/>
      <c r="B295" s="24"/>
      <c r="C295" s="138">
        <f t="shared" si="7"/>
        <v>46054</v>
      </c>
      <c r="D295"/>
      <c r="F295" s="24">
        <v>6.4056409944146103E-2</v>
      </c>
      <c r="V295" s="23">
        <v>0</v>
      </c>
      <c r="W295" s="27">
        <v>0.23499999999999999</v>
      </c>
      <c r="X295" s="23">
        <v>0.34</v>
      </c>
      <c r="AM295" s="23">
        <v>1.6</v>
      </c>
      <c r="AN295" s="23">
        <v>-0.03</v>
      </c>
      <c r="AO295" s="23">
        <v>0</v>
      </c>
      <c r="AP295" s="23">
        <v>-7.0000000000000007E-2</v>
      </c>
      <c r="AQ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-0.06</v>
      </c>
      <c r="AX295" s="23">
        <v>-0.06</v>
      </c>
      <c r="BD295" s="23">
        <v>-0.06</v>
      </c>
      <c r="BF295" s="23">
        <v>0</v>
      </c>
      <c r="BJ295" s="23">
        <v>1.04</v>
      </c>
      <c r="BL295" s="23">
        <v>0</v>
      </c>
      <c r="BM295" s="23">
        <v>5.0000000000000001E-3</v>
      </c>
      <c r="BO295" s="23">
        <v>0</v>
      </c>
      <c r="BP295" s="23">
        <v>0</v>
      </c>
      <c r="BQ295" s="23">
        <v>0</v>
      </c>
      <c r="BR295" s="23">
        <v>0.45</v>
      </c>
      <c r="BS295"/>
      <c r="BT295">
        <v>0</v>
      </c>
      <c r="BU295">
        <v>0</v>
      </c>
      <c r="BV295">
        <v>0</v>
      </c>
    </row>
    <row r="296" spans="1:74" x14ac:dyDescent="0.25">
      <c r="A296" s="24"/>
      <c r="B296" s="24"/>
      <c r="C296" s="138">
        <f t="shared" si="7"/>
        <v>46082</v>
      </c>
      <c r="D296"/>
      <c r="F296" s="24">
        <v>6.4050230000342295E-2</v>
      </c>
      <c r="V296" s="23">
        <v>0</v>
      </c>
      <c r="W296" s="27">
        <v>0.19500000000000001</v>
      </c>
      <c r="X296" s="23">
        <v>0.28999999999999998</v>
      </c>
      <c r="AM296" s="23">
        <v>0.64</v>
      </c>
      <c r="AN296" s="23">
        <v>-1.7500000000000002E-2</v>
      </c>
      <c r="AO296" s="23">
        <v>0</v>
      </c>
      <c r="AP296" s="23">
        <v>-7.0000000000000007E-2</v>
      </c>
      <c r="AQ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-4.7500000000000001E-2</v>
      </c>
      <c r="AX296" s="23">
        <v>-0.06</v>
      </c>
      <c r="BD296" s="23">
        <v>-4.7500000000000001E-2</v>
      </c>
      <c r="BF296" s="23">
        <v>0</v>
      </c>
      <c r="BJ296" s="23">
        <v>0.54</v>
      </c>
      <c r="BL296" s="23">
        <v>0</v>
      </c>
      <c r="BM296" s="23">
        <v>5.0000000000000001E-3</v>
      </c>
      <c r="BO296" s="23">
        <v>0</v>
      </c>
      <c r="BP296" s="23">
        <v>0</v>
      </c>
      <c r="BQ296" s="23">
        <v>0</v>
      </c>
      <c r="BR296" s="23">
        <v>0.1</v>
      </c>
      <c r="BS296"/>
      <c r="BT296">
        <v>0</v>
      </c>
      <c r="BU296">
        <v>0</v>
      </c>
      <c r="BV296">
        <v>0</v>
      </c>
    </row>
    <row r="297" spans="1:74" x14ac:dyDescent="0.25">
      <c r="A297" s="24"/>
      <c r="B297" s="24"/>
      <c r="C297" s="138">
        <f t="shared" si="7"/>
        <v>46113</v>
      </c>
      <c r="D297"/>
      <c r="F297" s="24">
        <v>6.4043387919717504E-2</v>
      </c>
      <c r="V297" s="23">
        <v>0</v>
      </c>
      <c r="W297" s="27">
        <v>0.14499999999999999</v>
      </c>
      <c r="X297" s="23">
        <v>0.19500000000000001</v>
      </c>
      <c r="AM297" s="23">
        <v>0.38</v>
      </c>
      <c r="AN297" s="23">
        <v>0.02</v>
      </c>
      <c r="AO297" s="23">
        <v>0</v>
      </c>
      <c r="AP297" s="23">
        <v>-7.0000000000000007E-2</v>
      </c>
      <c r="AQ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-0.01</v>
      </c>
      <c r="AX297" s="23">
        <v>-0.06</v>
      </c>
      <c r="BD297" s="23">
        <v>-0.01</v>
      </c>
      <c r="BF297" s="23">
        <v>0</v>
      </c>
      <c r="BJ297" s="23">
        <v>0.36</v>
      </c>
      <c r="BL297" s="23">
        <v>0</v>
      </c>
      <c r="BM297" s="23">
        <v>5.0000000000000001E-3</v>
      </c>
      <c r="BO297" s="23">
        <v>0</v>
      </c>
      <c r="BP297" s="23">
        <v>0</v>
      </c>
      <c r="BQ297" s="23">
        <v>0</v>
      </c>
      <c r="BR297" s="23">
        <v>0.02</v>
      </c>
      <c r="BS297"/>
      <c r="BT297">
        <v>0</v>
      </c>
      <c r="BU297">
        <v>0</v>
      </c>
      <c r="BV297">
        <v>0</v>
      </c>
    </row>
    <row r="298" spans="1:74" x14ac:dyDescent="0.25">
      <c r="A298" s="24"/>
      <c r="B298" s="24"/>
      <c r="C298" s="138">
        <f t="shared" si="7"/>
        <v>46143</v>
      </c>
      <c r="D298"/>
      <c r="F298" s="24">
        <v>6.4036766551385696E-2</v>
      </c>
      <c r="V298" s="23">
        <v>0</v>
      </c>
      <c r="W298" s="27">
        <v>0.125</v>
      </c>
      <c r="X298" s="23">
        <v>0.13500000000000001</v>
      </c>
      <c r="AM298" s="23">
        <v>0.33</v>
      </c>
      <c r="AN298" s="23">
        <v>0.02</v>
      </c>
      <c r="AO298" s="23">
        <v>0</v>
      </c>
      <c r="AP298" s="23">
        <v>-7.0000000000000007E-2</v>
      </c>
      <c r="AQ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-0.01</v>
      </c>
      <c r="AX298" s="23">
        <v>-0.06</v>
      </c>
      <c r="BD298" s="23">
        <v>-0.01</v>
      </c>
      <c r="BF298" s="23">
        <v>0</v>
      </c>
      <c r="BJ298" s="23">
        <v>0.32500000000000001</v>
      </c>
      <c r="BL298" s="23">
        <v>0</v>
      </c>
      <c r="BM298" s="23">
        <v>5.0000000000000001E-3</v>
      </c>
      <c r="BO298" s="23">
        <v>0</v>
      </c>
      <c r="BP298" s="23">
        <v>0</v>
      </c>
      <c r="BQ298" s="23">
        <v>0</v>
      </c>
      <c r="BR298" s="23">
        <v>0.02</v>
      </c>
      <c r="BS298"/>
      <c r="BT298">
        <v>0</v>
      </c>
      <c r="BU298">
        <v>0</v>
      </c>
      <c r="BV298">
        <v>0</v>
      </c>
    </row>
    <row r="299" spans="1:74" x14ac:dyDescent="0.25">
      <c r="A299" s="24"/>
      <c r="B299" s="24"/>
      <c r="C299" s="138">
        <f t="shared" si="7"/>
        <v>46174</v>
      </c>
      <c r="D299"/>
      <c r="F299" s="24">
        <v>6.40299244707907E-2</v>
      </c>
      <c r="V299" s="23">
        <v>0</v>
      </c>
      <c r="W299" s="27">
        <v>0.14499999999999999</v>
      </c>
      <c r="X299" s="23">
        <v>0.16500000000000001</v>
      </c>
      <c r="AM299" s="23">
        <v>0.37</v>
      </c>
      <c r="AN299" s="23">
        <v>2.5000000000000001E-2</v>
      </c>
      <c r="AO299" s="23">
        <v>0</v>
      </c>
      <c r="AP299" s="23">
        <v>-7.0000000000000007E-2</v>
      </c>
      <c r="AQ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-5.0000000000000001E-3</v>
      </c>
      <c r="AX299" s="23">
        <v>-0.06</v>
      </c>
      <c r="BD299" s="23">
        <v>-5.0000000000000001E-3</v>
      </c>
      <c r="BF299" s="23">
        <v>0</v>
      </c>
      <c r="BJ299" s="23">
        <v>0.33500000000000002</v>
      </c>
      <c r="BL299" s="23">
        <v>0</v>
      </c>
      <c r="BM299" s="23">
        <v>5.0000000000000001E-3</v>
      </c>
      <c r="BO299" s="23">
        <v>0</v>
      </c>
      <c r="BP299" s="23">
        <v>0</v>
      </c>
      <c r="BQ299" s="23">
        <v>0</v>
      </c>
      <c r="BR299" s="23">
        <v>3.5000000000000003E-2</v>
      </c>
      <c r="BS299"/>
      <c r="BT299">
        <v>0</v>
      </c>
      <c r="BU299">
        <v>0</v>
      </c>
      <c r="BV299">
        <v>0</v>
      </c>
    </row>
    <row r="300" spans="1:74" x14ac:dyDescent="0.25">
      <c r="A300" s="24"/>
      <c r="B300" s="24"/>
      <c r="C300" s="138">
        <f t="shared" si="7"/>
        <v>46204</v>
      </c>
      <c r="D300"/>
      <c r="F300" s="24">
        <v>6.4023303102488202E-2</v>
      </c>
      <c r="V300" s="23">
        <v>0</v>
      </c>
      <c r="W300" s="27">
        <v>0.15</v>
      </c>
      <c r="X300" s="23">
        <v>0.20499999999999999</v>
      </c>
      <c r="AM300" s="23">
        <v>0.41</v>
      </c>
      <c r="AN300" s="23">
        <v>2.75E-2</v>
      </c>
      <c r="AO300" s="23">
        <v>0</v>
      </c>
      <c r="AP300" s="23">
        <v>-7.0000000000000007E-2</v>
      </c>
      <c r="AQ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-2.5000000000000001E-3</v>
      </c>
      <c r="AX300" s="23">
        <v>-0.06</v>
      </c>
      <c r="BD300" s="23">
        <v>-2.5000000000000001E-3</v>
      </c>
      <c r="BF300" s="23">
        <v>0</v>
      </c>
      <c r="BJ300" s="23">
        <v>0.35</v>
      </c>
      <c r="BL300" s="23">
        <v>0</v>
      </c>
      <c r="BM300" s="23">
        <v>5.0000000000000001E-3</v>
      </c>
      <c r="BO300" s="23">
        <v>0</v>
      </c>
      <c r="BP300" s="23">
        <v>0</v>
      </c>
      <c r="BQ300" s="23">
        <v>0</v>
      </c>
      <c r="BR300" s="23">
        <v>3.5000000000000003E-2</v>
      </c>
      <c r="BS300"/>
      <c r="BT300">
        <v>0</v>
      </c>
      <c r="BU300">
        <v>0</v>
      </c>
      <c r="BV300">
        <v>0</v>
      </c>
    </row>
    <row r="301" spans="1:74" x14ac:dyDescent="0.25">
      <c r="A301" s="24"/>
      <c r="B301" s="24"/>
      <c r="C301" s="138">
        <f t="shared" si="7"/>
        <v>46235</v>
      </c>
      <c r="D301"/>
      <c r="F301" s="24">
        <v>6.4016461021924306E-2</v>
      </c>
      <c r="V301" s="23">
        <v>0</v>
      </c>
      <c r="W301" s="27">
        <v>0.15</v>
      </c>
      <c r="X301" s="23">
        <v>0.20499999999999999</v>
      </c>
      <c r="AM301" s="23">
        <v>0.41</v>
      </c>
      <c r="AN301" s="23">
        <v>0.03</v>
      </c>
      <c r="AO301" s="23">
        <v>0</v>
      </c>
      <c r="AP301" s="23">
        <v>-7.0000000000000007E-2</v>
      </c>
      <c r="AQ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-0.06</v>
      </c>
      <c r="BD301" s="23">
        <v>0</v>
      </c>
      <c r="BF301" s="23">
        <v>0</v>
      </c>
      <c r="BJ301" s="23">
        <v>0.35</v>
      </c>
      <c r="BL301" s="23">
        <v>0</v>
      </c>
      <c r="BM301" s="23">
        <v>5.0000000000000001E-3</v>
      </c>
      <c r="BO301" s="23">
        <v>0</v>
      </c>
      <c r="BP301" s="23">
        <v>0</v>
      </c>
      <c r="BQ301" s="23">
        <v>0</v>
      </c>
      <c r="BR301" s="23">
        <v>0.01</v>
      </c>
      <c r="BS301"/>
      <c r="BT301">
        <v>0</v>
      </c>
      <c r="BU301">
        <v>0</v>
      </c>
      <c r="BV301">
        <v>0</v>
      </c>
    </row>
    <row r="302" spans="1:74" x14ac:dyDescent="0.25">
      <c r="A302" s="24"/>
      <c r="B302" s="24"/>
      <c r="C302" s="138">
        <f t="shared" si="7"/>
        <v>46266</v>
      </c>
      <c r="D302"/>
      <c r="F302" s="24">
        <v>6.4009618941375898E-2</v>
      </c>
      <c r="V302" s="23">
        <v>0</v>
      </c>
      <c r="W302" s="27">
        <v>0.125</v>
      </c>
      <c r="X302" s="23">
        <v>0.14499999999999999</v>
      </c>
      <c r="AM302" s="23">
        <v>0.36</v>
      </c>
      <c r="AN302" s="23">
        <v>2.2499999999999999E-2</v>
      </c>
      <c r="AO302" s="23">
        <v>0</v>
      </c>
      <c r="AP302" s="23">
        <v>-7.0000000000000007E-2</v>
      </c>
      <c r="AQ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-7.4999999999999997E-3</v>
      </c>
      <c r="AX302" s="23">
        <v>-0.06</v>
      </c>
      <c r="BD302" s="23">
        <v>-7.4999999999999997E-3</v>
      </c>
      <c r="BF302" s="23">
        <v>0</v>
      </c>
      <c r="BJ302" s="23">
        <v>0.315</v>
      </c>
      <c r="BL302" s="23">
        <v>0</v>
      </c>
      <c r="BM302" s="23">
        <v>5.0000000000000001E-3</v>
      </c>
      <c r="BO302" s="23">
        <v>0</v>
      </c>
      <c r="BP302" s="23">
        <v>0</v>
      </c>
      <c r="BQ302" s="23">
        <v>0</v>
      </c>
      <c r="BR302" s="23">
        <v>0.01</v>
      </c>
      <c r="BS302"/>
      <c r="BT302">
        <v>0</v>
      </c>
      <c r="BU302">
        <v>0</v>
      </c>
      <c r="BV302">
        <v>0</v>
      </c>
    </row>
    <row r="303" spans="1:74" x14ac:dyDescent="0.25">
      <c r="A303" s="24"/>
      <c r="B303" s="24"/>
      <c r="C303" s="138">
        <f t="shared" si="7"/>
        <v>46296</v>
      </c>
      <c r="D303"/>
      <c r="F303" s="24">
        <v>6.4002997573117795E-2</v>
      </c>
      <c r="V303" s="23">
        <v>0</v>
      </c>
      <c r="W303" s="27">
        <v>0.14499999999999999</v>
      </c>
      <c r="X303" s="23">
        <v>0.17499999999999999</v>
      </c>
      <c r="AM303" s="23">
        <v>0.4</v>
      </c>
      <c r="AN303" s="23">
        <v>1.2500000000000001E-2</v>
      </c>
      <c r="AO303" s="23">
        <v>0</v>
      </c>
      <c r="AP303" s="23">
        <v>-7.0000000000000007E-2</v>
      </c>
      <c r="AQ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-1.7500000000000002E-2</v>
      </c>
      <c r="AX303" s="23">
        <v>-0.06</v>
      </c>
      <c r="BD303" s="23">
        <v>-1.7500000000000002E-2</v>
      </c>
      <c r="BF303" s="23">
        <v>0</v>
      </c>
      <c r="BJ303" s="23">
        <v>0.36</v>
      </c>
      <c r="BL303" s="23">
        <v>0</v>
      </c>
      <c r="BM303" s="23">
        <v>5.0000000000000001E-3</v>
      </c>
      <c r="BO303" s="23">
        <v>0</v>
      </c>
      <c r="BP303" s="23">
        <v>0</v>
      </c>
      <c r="BQ303" s="23">
        <v>0</v>
      </c>
      <c r="BR303" s="23">
        <v>0.01</v>
      </c>
      <c r="BS303"/>
      <c r="BT303">
        <v>0</v>
      </c>
      <c r="BU303">
        <v>0</v>
      </c>
      <c r="BV303">
        <v>0</v>
      </c>
    </row>
    <row r="304" spans="1:74" x14ac:dyDescent="0.25">
      <c r="A304" s="24"/>
      <c r="B304" s="24"/>
      <c r="C304" s="138">
        <f t="shared" si="7"/>
        <v>46327</v>
      </c>
      <c r="D304"/>
      <c r="F304" s="24">
        <v>6.3996155492600099E-2</v>
      </c>
      <c r="V304" s="23">
        <v>0</v>
      </c>
      <c r="W304" s="27">
        <v>0.19500000000000001</v>
      </c>
      <c r="X304" s="23">
        <v>0.21</v>
      </c>
      <c r="AM304" s="23">
        <v>0.65</v>
      </c>
      <c r="AN304" s="23">
        <v>-2.2499999999999999E-2</v>
      </c>
      <c r="AO304" s="23">
        <v>0</v>
      </c>
      <c r="AP304" s="23">
        <v>-7.0000000000000007E-2</v>
      </c>
      <c r="AQ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-5.2499999999999998E-2</v>
      </c>
      <c r="AX304" s="23">
        <v>-0.06</v>
      </c>
      <c r="BD304" s="23">
        <v>-5.2499999999999998E-2</v>
      </c>
      <c r="BF304" s="23">
        <v>0</v>
      </c>
      <c r="BJ304" s="23">
        <v>0.46</v>
      </c>
      <c r="BL304" s="23">
        <v>0</v>
      </c>
      <c r="BM304" s="23">
        <v>5.0000000000000001E-3</v>
      </c>
      <c r="BO304" s="23">
        <v>0</v>
      </c>
      <c r="BP304" s="23">
        <v>0</v>
      </c>
      <c r="BQ304" s="23">
        <v>0</v>
      </c>
      <c r="BR304" s="23">
        <v>5.5E-2</v>
      </c>
      <c r="BS304"/>
      <c r="BT304">
        <v>0</v>
      </c>
      <c r="BU304">
        <v>0</v>
      </c>
      <c r="BV304">
        <v>0</v>
      </c>
    </row>
    <row r="305" spans="1:74" x14ac:dyDescent="0.25">
      <c r="A305" s="24"/>
      <c r="B305" s="24"/>
      <c r="C305" s="138">
        <f t="shared" si="7"/>
        <v>46357</v>
      </c>
      <c r="D305"/>
      <c r="F305" s="24">
        <v>6.3989534124371694E-2</v>
      </c>
      <c r="V305" s="23">
        <v>0</v>
      </c>
      <c r="W305" s="27">
        <v>0.215</v>
      </c>
      <c r="X305" s="23">
        <v>0.28999999999999998</v>
      </c>
      <c r="AM305" s="23">
        <v>0.98</v>
      </c>
      <c r="AN305" s="23">
        <v>-4.4999999999999998E-2</v>
      </c>
      <c r="AO305" s="23">
        <v>0</v>
      </c>
      <c r="AP305" s="23">
        <v>-7.0000000000000007E-2</v>
      </c>
      <c r="AQ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-7.4999999999999997E-2</v>
      </c>
      <c r="AX305" s="23">
        <v>-0.06</v>
      </c>
      <c r="BD305" s="23">
        <v>-7.4999999999999997E-2</v>
      </c>
      <c r="BF305" s="23">
        <v>0</v>
      </c>
      <c r="BJ305" s="23">
        <v>0.77</v>
      </c>
      <c r="BL305" s="23">
        <v>0</v>
      </c>
      <c r="BM305" s="23">
        <v>5.0000000000000001E-3</v>
      </c>
      <c r="BO305" s="23">
        <v>0</v>
      </c>
      <c r="BP305" s="23">
        <v>0</v>
      </c>
      <c r="BQ305" s="23">
        <v>0</v>
      </c>
      <c r="BR305" s="23">
        <v>0.25</v>
      </c>
      <c r="BS305"/>
      <c r="BT305">
        <v>0</v>
      </c>
      <c r="BU305">
        <v>0</v>
      </c>
      <c r="BV305">
        <v>0</v>
      </c>
    </row>
    <row r="306" spans="1:74" x14ac:dyDescent="0.25">
      <c r="A306" s="24"/>
      <c r="B306" s="24"/>
      <c r="C306" s="138">
        <f t="shared" si="7"/>
        <v>46388</v>
      </c>
      <c r="D306"/>
      <c r="F306" s="24">
        <v>6.3982692043884196E-2</v>
      </c>
      <c r="V306" s="23">
        <v>0</v>
      </c>
      <c r="W306" s="27">
        <v>0.23499999999999999</v>
      </c>
      <c r="X306" s="23">
        <v>0.34</v>
      </c>
      <c r="AM306" s="23">
        <v>1.6</v>
      </c>
      <c r="AN306" s="23">
        <v>-4.7500000000000001E-2</v>
      </c>
      <c r="AO306" s="23">
        <v>0</v>
      </c>
      <c r="AP306" s="23">
        <v>-7.0000000000000007E-2</v>
      </c>
      <c r="AQ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-7.7499999999999999E-2</v>
      </c>
      <c r="AX306" s="23">
        <v>-0.06</v>
      </c>
      <c r="BD306" s="23">
        <v>-7.7499999999999999E-2</v>
      </c>
      <c r="BF306" s="23">
        <v>0</v>
      </c>
      <c r="BJ306" s="23">
        <v>1.04</v>
      </c>
      <c r="BL306" s="23">
        <v>0</v>
      </c>
      <c r="BM306" s="23">
        <v>5.0000000000000001E-3</v>
      </c>
      <c r="BO306" s="23">
        <v>0</v>
      </c>
      <c r="BP306" s="23">
        <v>0</v>
      </c>
      <c r="BQ306" s="23">
        <v>0</v>
      </c>
      <c r="BR306" s="23">
        <v>0.45</v>
      </c>
      <c r="BS306"/>
      <c r="BT306">
        <v>0</v>
      </c>
      <c r="BU306">
        <v>0</v>
      </c>
      <c r="BV306">
        <v>0</v>
      </c>
    </row>
    <row r="307" spans="1:74" x14ac:dyDescent="0.25">
      <c r="C307" s="138">
        <f t="shared" si="7"/>
        <v>46419</v>
      </c>
      <c r="F307" s="24">
        <v>6.3975849963412199E-2</v>
      </c>
      <c r="V307" s="23">
        <v>0</v>
      </c>
      <c r="W307" s="27">
        <v>0.23499999999999999</v>
      </c>
      <c r="X307" s="23">
        <v>0.34</v>
      </c>
      <c r="AM307" s="23">
        <v>1.6</v>
      </c>
      <c r="AN307" s="23">
        <v>-0.03</v>
      </c>
      <c r="AO307" s="23">
        <v>0</v>
      </c>
      <c r="AP307" s="23">
        <v>-7.0000000000000007E-2</v>
      </c>
      <c r="AQ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-0.06</v>
      </c>
      <c r="AX307" s="23">
        <v>-0.06</v>
      </c>
      <c r="BD307" s="23">
        <v>-0.06</v>
      </c>
      <c r="BF307" s="23">
        <v>0</v>
      </c>
      <c r="BJ307" s="23">
        <v>1.04</v>
      </c>
      <c r="BL307" s="23">
        <v>0</v>
      </c>
      <c r="BM307" s="23">
        <v>5.0000000000000001E-3</v>
      </c>
      <c r="BO307" s="23">
        <v>0</v>
      </c>
      <c r="BP307" s="23">
        <v>0</v>
      </c>
      <c r="BQ307" s="23">
        <v>0</v>
      </c>
      <c r="BR307" s="23">
        <v>0.45</v>
      </c>
      <c r="BS307"/>
      <c r="BT307">
        <v>0</v>
      </c>
      <c r="BU307">
        <v>0</v>
      </c>
      <c r="BV307">
        <v>0</v>
      </c>
    </row>
    <row r="308" spans="1:74" x14ac:dyDescent="0.25">
      <c r="C308" s="138">
        <f t="shared" si="7"/>
        <v>46447</v>
      </c>
      <c r="F308" s="24">
        <v>6.3969670019773606E-2</v>
      </c>
      <c r="V308" s="23">
        <v>0</v>
      </c>
      <c r="W308" s="27">
        <v>0.19500000000000001</v>
      </c>
      <c r="X308" s="23">
        <v>0.28999999999999998</v>
      </c>
      <c r="AM308" s="23">
        <v>0.64</v>
      </c>
      <c r="AN308" s="23">
        <v>-1.7500000000000002E-2</v>
      </c>
      <c r="AO308" s="23">
        <v>0</v>
      </c>
      <c r="AP308" s="23">
        <v>-7.0000000000000007E-2</v>
      </c>
      <c r="AQ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-4.7500000000000001E-2</v>
      </c>
      <c r="AX308" s="23">
        <v>-0.06</v>
      </c>
      <c r="BD308" s="23">
        <v>-4.7500000000000001E-2</v>
      </c>
      <c r="BF308" s="23">
        <v>0</v>
      </c>
      <c r="BJ308" s="23">
        <v>0.54</v>
      </c>
      <c r="BL308" s="23">
        <v>0</v>
      </c>
      <c r="BM308" s="23">
        <v>5.0000000000000001E-3</v>
      </c>
      <c r="BO308" s="23">
        <v>0</v>
      </c>
      <c r="BP308" s="23">
        <v>0</v>
      </c>
      <c r="BQ308" s="23">
        <v>0</v>
      </c>
      <c r="BR308" s="23">
        <v>0.1</v>
      </c>
      <c r="BS308"/>
      <c r="BT308">
        <v>0</v>
      </c>
      <c r="BU308">
        <v>0</v>
      </c>
      <c r="BV308">
        <v>0</v>
      </c>
    </row>
    <row r="309" spans="1:74" x14ac:dyDescent="0.25">
      <c r="C309" s="138">
        <f t="shared" si="7"/>
        <v>46478</v>
      </c>
      <c r="F309" s="24">
        <v>6.3962827939331404E-2</v>
      </c>
      <c r="V309" s="23">
        <v>0</v>
      </c>
      <c r="W309" s="27">
        <v>0.14499999999999999</v>
      </c>
      <c r="X309" s="23">
        <v>0.19500000000000001</v>
      </c>
      <c r="AM309" s="23">
        <v>0.38</v>
      </c>
      <c r="AN309" s="23">
        <v>0.02</v>
      </c>
      <c r="AO309" s="23">
        <v>0</v>
      </c>
      <c r="AP309" s="23">
        <v>-7.0000000000000007E-2</v>
      </c>
      <c r="AQ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-0.01</v>
      </c>
      <c r="AX309" s="23">
        <v>-0.06</v>
      </c>
      <c r="BD309" s="23">
        <v>-0.01</v>
      </c>
      <c r="BF309" s="23">
        <v>0</v>
      </c>
      <c r="BJ309" s="23">
        <v>0.36</v>
      </c>
      <c r="BL309" s="23">
        <v>0</v>
      </c>
      <c r="BM309" s="23">
        <v>0</v>
      </c>
      <c r="BO309" s="23">
        <v>0</v>
      </c>
      <c r="BP309" s="23">
        <v>0</v>
      </c>
      <c r="BQ309" s="23">
        <v>0</v>
      </c>
      <c r="BR309" s="23">
        <v>0.02</v>
      </c>
      <c r="BS309"/>
      <c r="BT309">
        <v>0</v>
      </c>
      <c r="BU309">
        <v>0</v>
      </c>
      <c r="BV309">
        <v>0</v>
      </c>
    </row>
    <row r="310" spans="1:74" x14ac:dyDescent="0.25">
      <c r="C310" s="138">
        <f t="shared" si="7"/>
        <v>46508</v>
      </c>
      <c r="F310" s="24">
        <v>6.3956206571176302E-2</v>
      </c>
      <c r="V310" s="23">
        <v>0</v>
      </c>
      <c r="W310" s="27">
        <v>0.125</v>
      </c>
      <c r="X310" s="23">
        <v>0.13500000000000001</v>
      </c>
      <c r="AM310" s="23">
        <v>0.33</v>
      </c>
      <c r="AN310" s="23">
        <v>0.02</v>
      </c>
      <c r="AO310" s="23">
        <v>0</v>
      </c>
      <c r="AP310" s="23">
        <v>-7.0000000000000007E-2</v>
      </c>
      <c r="AQ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-0.01</v>
      </c>
      <c r="AX310" s="23">
        <v>-0.06</v>
      </c>
      <c r="BD310" s="23">
        <v>-0.01</v>
      </c>
      <c r="BF310" s="23">
        <v>0</v>
      </c>
      <c r="BJ310" s="23">
        <v>0.32500000000000001</v>
      </c>
      <c r="BL310" s="23">
        <v>0</v>
      </c>
      <c r="BM310" s="23">
        <v>0</v>
      </c>
      <c r="BO310" s="23">
        <v>0</v>
      </c>
      <c r="BP310" s="23">
        <v>0</v>
      </c>
      <c r="BQ310" s="23">
        <v>0</v>
      </c>
      <c r="BR310" s="23">
        <v>0.02</v>
      </c>
      <c r="BS310"/>
      <c r="BT310">
        <v>0</v>
      </c>
      <c r="BU310">
        <v>0</v>
      </c>
      <c r="BV310">
        <v>0</v>
      </c>
    </row>
    <row r="311" spans="1:74" x14ac:dyDescent="0.25">
      <c r="C311" s="138">
        <f t="shared" si="7"/>
        <v>46539</v>
      </c>
      <c r="F311" s="24">
        <v>6.3949364490764701E-2</v>
      </c>
      <c r="V311" s="23">
        <v>0</v>
      </c>
      <c r="W311" s="27">
        <v>0.14499999999999999</v>
      </c>
      <c r="X311" s="23">
        <v>0.16500000000000001</v>
      </c>
      <c r="AM311" s="23">
        <v>0.37</v>
      </c>
      <c r="AN311" s="23">
        <v>2.5000000000000001E-2</v>
      </c>
      <c r="AO311" s="23">
        <v>0</v>
      </c>
      <c r="AP311" s="23">
        <v>-7.0000000000000007E-2</v>
      </c>
      <c r="AQ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-5.0000000000000001E-3</v>
      </c>
      <c r="AX311" s="23">
        <v>-0.06</v>
      </c>
      <c r="BD311" s="23">
        <v>-5.0000000000000001E-3</v>
      </c>
      <c r="BF311" s="23">
        <v>0</v>
      </c>
      <c r="BJ311" s="23">
        <v>0.33500000000000002</v>
      </c>
      <c r="BL311" s="23">
        <v>0</v>
      </c>
      <c r="BM311" s="23">
        <v>0</v>
      </c>
      <c r="BO311" s="23">
        <v>0</v>
      </c>
      <c r="BP311" s="23">
        <v>0</v>
      </c>
      <c r="BQ311" s="23">
        <v>0</v>
      </c>
      <c r="BR311" s="23">
        <v>3.5000000000000003E-2</v>
      </c>
      <c r="BS311"/>
      <c r="BT311">
        <v>0</v>
      </c>
      <c r="BU311">
        <v>0</v>
      </c>
      <c r="BV311">
        <v>0</v>
      </c>
    </row>
    <row r="312" spans="1:74" x14ac:dyDescent="0.25">
      <c r="C312" s="138">
        <f t="shared" si="7"/>
        <v>46569</v>
      </c>
      <c r="F312" s="24">
        <v>6.3942743122638895E-2</v>
      </c>
      <c r="V312" s="23">
        <v>0</v>
      </c>
      <c r="W312" s="27">
        <v>0.15</v>
      </c>
      <c r="X312" s="23">
        <v>0.20499999999999999</v>
      </c>
      <c r="AM312" s="23">
        <v>0.41</v>
      </c>
      <c r="AN312" s="23">
        <v>2.75E-2</v>
      </c>
      <c r="AO312" s="23">
        <v>0</v>
      </c>
      <c r="AP312" s="23">
        <v>-7.0000000000000007E-2</v>
      </c>
      <c r="AQ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-2.5000000000000001E-3</v>
      </c>
      <c r="AX312" s="23">
        <v>-0.06</v>
      </c>
      <c r="BD312" s="23">
        <v>-2.5000000000000001E-3</v>
      </c>
      <c r="BF312" s="23">
        <v>0</v>
      </c>
      <c r="BJ312" s="23">
        <v>0.35</v>
      </c>
      <c r="BL312" s="23">
        <v>0</v>
      </c>
      <c r="BM312" s="23">
        <v>0</v>
      </c>
      <c r="BO312" s="23">
        <v>0</v>
      </c>
      <c r="BP312" s="23">
        <v>0</v>
      </c>
      <c r="BQ312" s="23">
        <v>0</v>
      </c>
      <c r="BR312" s="23">
        <v>3.5000000000000003E-2</v>
      </c>
      <c r="BS312"/>
      <c r="BT312">
        <v>0</v>
      </c>
      <c r="BU312">
        <v>0</v>
      </c>
      <c r="BV312">
        <v>0</v>
      </c>
    </row>
    <row r="313" spans="1:74" x14ac:dyDescent="0.25">
      <c r="C313" s="138">
        <f t="shared" si="7"/>
        <v>46600</v>
      </c>
      <c r="F313" s="24">
        <v>6.3935901042257604E-2</v>
      </c>
      <c r="V313" s="23">
        <v>0</v>
      </c>
      <c r="W313" s="27">
        <v>0.15</v>
      </c>
      <c r="X313" s="23">
        <v>0.20499999999999999</v>
      </c>
      <c r="AM313" s="23">
        <v>0.41</v>
      </c>
      <c r="AN313" s="23">
        <v>0.03</v>
      </c>
      <c r="AO313" s="23">
        <v>0</v>
      </c>
      <c r="AP313" s="23">
        <v>-7.0000000000000007E-2</v>
      </c>
      <c r="AQ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-0.06</v>
      </c>
      <c r="BD313" s="23">
        <v>0</v>
      </c>
      <c r="BF313" s="23">
        <v>0</v>
      </c>
      <c r="BJ313" s="23">
        <v>0.35</v>
      </c>
      <c r="BL313" s="23">
        <v>0</v>
      </c>
      <c r="BM313" s="23">
        <v>0</v>
      </c>
      <c r="BO313" s="23">
        <v>0</v>
      </c>
      <c r="BP313" s="23">
        <v>0</v>
      </c>
      <c r="BQ313" s="23">
        <v>0</v>
      </c>
      <c r="BR313" s="23">
        <v>0.01</v>
      </c>
      <c r="BS313"/>
      <c r="BT313">
        <v>0</v>
      </c>
      <c r="BU313">
        <v>0</v>
      </c>
      <c r="BV313">
        <v>0</v>
      </c>
    </row>
    <row r="314" spans="1:74" x14ac:dyDescent="0.25">
      <c r="C314" s="138">
        <f t="shared" si="7"/>
        <v>46631</v>
      </c>
      <c r="F314" s="24">
        <v>6.3929058961892202E-2</v>
      </c>
      <c r="V314" s="23">
        <v>0</v>
      </c>
      <c r="W314" s="27">
        <v>0.125</v>
      </c>
      <c r="X314" s="23">
        <v>0.14499999999999999</v>
      </c>
      <c r="AM314" s="23">
        <v>0.36</v>
      </c>
      <c r="AN314" s="23">
        <v>2.2499999999999999E-2</v>
      </c>
      <c r="AO314" s="23">
        <v>0</v>
      </c>
      <c r="AP314" s="23">
        <v>-7.0000000000000007E-2</v>
      </c>
      <c r="AQ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-7.4999999999999997E-3</v>
      </c>
      <c r="AX314" s="23">
        <v>-0.06</v>
      </c>
      <c r="BD314" s="23">
        <v>-7.4999999999999997E-3</v>
      </c>
      <c r="BF314" s="23">
        <v>0</v>
      </c>
      <c r="BJ314" s="23">
        <v>0.315</v>
      </c>
      <c r="BL314" s="23">
        <v>0</v>
      </c>
      <c r="BM314" s="23">
        <v>0</v>
      </c>
      <c r="BO314" s="23">
        <v>0</v>
      </c>
      <c r="BP314" s="23">
        <v>0</v>
      </c>
      <c r="BQ314" s="23">
        <v>0</v>
      </c>
      <c r="BR314" s="23">
        <v>0.01</v>
      </c>
      <c r="BS314"/>
      <c r="BT314">
        <v>0</v>
      </c>
      <c r="BU314">
        <v>0</v>
      </c>
      <c r="BV314">
        <v>0</v>
      </c>
    </row>
    <row r="315" spans="1:74" x14ac:dyDescent="0.25">
      <c r="C315" s="138">
        <f t="shared" si="7"/>
        <v>46661</v>
      </c>
      <c r="F315" s="24">
        <v>6.3922437593810805E-2</v>
      </c>
      <c r="V315" s="23">
        <v>0</v>
      </c>
      <c r="W315" s="27">
        <v>0.14499999999999999</v>
      </c>
      <c r="X315" s="23">
        <v>0.17499999999999999</v>
      </c>
      <c r="AM315" s="23">
        <v>0.4</v>
      </c>
      <c r="AN315" s="23">
        <v>1.2500000000000001E-2</v>
      </c>
      <c r="AO315" s="23">
        <v>0</v>
      </c>
      <c r="AP315" s="23">
        <v>-7.0000000000000007E-2</v>
      </c>
      <c r="AQ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-1.7500000000000002E-2</v>
      </c>
      <c r="AX315" s="23">
        <v>-0.06</v>
      </c>
      <c r="BD315" s="23">
        <v>-1.7500000000000002E-2</v>
      </c>
      <c r="BF315" s="23">
        <v>0</v>
      </c>
      <c r="BJ315" s="23">
        <v>0.36</v>
      </c>
      <c r="BL315" s="23">
        <v>0</v>
      </c>
      <c r="BM315" s="23">
        <v>0</v>
      </c>
      <c r="BO315" s="23">
        <v>0</v>
      </c>
      <c r="BP315" s="23">
        <v>0</v>
      </c>
      <c r="BQ315" s="23">
        <v>0</v>
      </c>
      <c r="BR315" s="23">
        <v>0.01</v>
      </c>
      <c r="BS315"/>
      <c r="BT315">
        <v>0</v>
      </c>
      <c r="BU315">
        <v>0</v>
      </c>
      <c r="BV315">
        <v>0</v>
      </c>
    </row>
    <row r="316" spans="1:74" x14ac:dyDescent="0.25">
      <c r="C316" s="138">
        <f t="shared" si="7"/>
        <v>46692</v>
      </c>
      <c r="F316" s="24">
        <v>6.3915595513475601E-2</v>
      </c>
      <c r="V316" s="23">
        <v>0</v>
      </c>
      <c r="W316" s="27">
        <v>0.19500000000000001</v>
      </c>
      <c r="X316" s="23">
        <v>0.21</v>
      </c>
      <c r="AM316" s="23">
        <v>0.65</v>
      </c>
      <c r="AN316" s="23">
        <v>-2.2499999999999999E-2</v>
      </c>
      <c r="AO316" s="23">
        <v>0</v>
      </c>
      <c r="AP316" s="23">
        <v>-7.0000000000000007E-2</v>
      </c>
      <c r="AQ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-5.2499999999999998E-2</v>
      </c>
      <c r="AX316" s="23">
        <v>-0.06</v>
      </c>
      <c r="BD316" s="23">
        <v>-5.2499999999999998E-2</v>
      </c>
      <c r="BF316" s="23">
        <v>0</v>
      </c>
      <c r="BJ316" s="23">
        <v>0.46</v>
      </c>
      <c r="BL316" s="23">
        <v>0</v>
      </c>
      <c r="BM316" s="23">
        <v>0</v>
      </c>
      <c r="BO316" s="23">
        <v>0</v>
      </c>
      <c r="BP316" s="23">
        <v>0</v>
      </c>
      <c r="BQ316" s="23">
        <v>0</v>
      </c>
      <c r="BR316" s="23">
        <v>5.5E-2</v>
      </c>
      <c r="BS316"/>
      <c r="BT316">
        <v>0</v>
      </c>
      <c r="BU316">
        <v>0</v>
      </c>
      <c r="BV316">
        <v>0</v>
      </c>
    </row>
    <row r="317" spans="1:74" x14ac:dyDescent="0.25">
      <c r="C317" s="138">
        <f t="shared" si="7"/>
        <v>46722</v>
      </c>
      <c r="F317" s="24">
        <v>6.3908974145424402E-2</v>
      </c>
      <c r="V317" s="23">
        <v>0</v>
      </c>
      <c r="W317" s="27">
        <v>0.215</v>
      </c>
      <c r="X317" s="23">
        <v>0.28999999999999998</v>
      </c>
      <c r="AM317" s="23">
        <v>0.98</v>
      </c>
      <c r="AN317" s="23">
        <v>-4.4999999999999998E-2</v>
      </c>
      <c r="AO317" s="23">
        <v>0</v>
      </c>
      <c r="AP317" s="23">
        <v>-7.0000000000000007E-2</v>
      </c>
      <c r="AQ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-7.4999999999999997E-2</v>
      </c>
      <c r="AX317" s="23">
        <v>-0.06</v>
      </c>
      <c r="BD317" s="23">
        <v>-7.4999999999999997E-2</v>
      </c>
      <c r="BF317" s="23">
        <v>0</v>
      </c>
      <c r="BJ317" s="23">
        <v>0.77</v>
      </c>
      <c r="BL317" s="23">
        <v>0</v>
      </c>
      <c r="BM317" s="23">
        <v>0</v>
      </c>
      <c r="BO317" s="23">
        <v>0</v>
      </c>
      <c r="BP317" s="23">
        <v>0</v>
      </c>
      <c r="BQ317" s="23">
        <v>0</v>
      </c>
      <c r="BR317" s="23">
        <v>0.25</v>
      </c>
      <c r="BS317"/>
      <c r="BT317">
        <v>0</v>
      </c>
      <c r="BU317">
        <v>0</v>
      </c>
      <c r="BV317">
        <v>0</v>
      </c>
    </row>
    <row r="318" spans="1:74" x14ac:dyDescent="0.25">
      <c r="C318" s="138">
        <f t="shared" si="7"/>
        <v>46753</v>
      </c>
      <c r="F318" s="24">
        <v>6.3902132065119799E-2</v>
      </c>
      <c r="V318" s="23">
        <v>0</v>
      </c>
      <c r="W318" s="27">
        <v>0.23499999999999999</v>
      </c>
      <c r="X318" s="23">
        <v>0.34</v>
      </c>
      <c r="AM318" s="23">
        <v>1.6</v>
      </c>
      <c r="AN318" s="23">
        <v>-4.7500000000000001E-2</v>
      </c>
      <c r="AO318" s="23">
        <v>0</v>
      </c>
      <c r="AP318" s="23">
        <v>-7.0000000000000007E-2</v>
      </c>
      <c r="AQ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-7.7499999999999999E-2</v>
      </c>
      <c r="AX318" s="23">
        <v>-0.06</v>
      </c>
      <c r="BD318" s="23">
        <v>-7.7499999999999999E-2</v>
      </c>
      <c r="BF318" s="23">
        <v>0</v>
      </c>
      <c r="BJ318" s="23">
        <v>1.04</v>
      </c>
      <c r="BL318" s="23">
        <v>0</v>
      </c>
      <c r="BM318" s="23">
        <v>0</v>
      </c>
      <c r="BO318" s="23">
        <v>0</v>
      </c>
      <c r="BP318" s="23">
        <v>0</v>
      </c>
      <c r="BQ318" s="23">
        <v>0</v>
      </c>
      <c r="BR318" s="23">
        <v>0.45</v>
      </c>
      <c r="BS318"/>
      <c r="BT318">
        <v>0</v>
      </c>
      <c r="BU318">
        <v>0</v>
      </c>
      <c r="BV318">
        <v>0</v>
      </c>
    </row>
    <row r="319" spans="1:74" x14ac:dyDescent="0.25">
      <c r="C319" s="138">
        <f t="shared" si="7"/>
        <v>46784</v>
      </c>
      <c r="F319" s="24">
        <v>6.3895289984830794E-2</v>
      </c>
      <c r="V319" s="23">
        <v>0</v>
      </c>
      <c r="W319" s="27">
        <v>0.23499999999999999</v>
      </c>
      <c r="X319" s="23">
        <v>0.34</v>
      </c>
      <c r="AM319" s="23">
        <v>1.6</v>
      </c>
      <c r="AN319" s="23">
        <v>-0.03</v>
      </c>
      <c r="AO319" s="23">
        <v>0</v>
      </c>
      <c r="AP319" s="23">
        <v>-7.0000000000000007E-2</v>
      </c>
      <c r="AQ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-0.06</v>
      </c>
      <c r="AX319" s="23">
        <v>-0.06</v>
      </c>
      <c r="BD319" s="23">
        <v>-0.06</v>
      </c>
      <c r="BF319" s="23">
        <v>0</v>
      </c>
      <c r="BJ319" s="23">
        <v>1.04</v>
      </c>
      <c r="BL319" s="23">
        <v>0</v>
      </c>
      <c r="BM319" s="23">
        <v>0</v>
      </c>
      <c r="BO319" s="23">
        <v>0</v>
      </c>
      <c r="BP319" s="23">
        <v>0</v>
      </c>
      <c r="BQ319" s="23">
        <v>0</v>
      </c>
      <c r="BR319" s="23">
        <v>0.45</v>
      </c>
      <c r="BS319"/>
      <c r="BT319">
        <v>0</v>
      </c>
      <c r="BU319">
        <v>0</v>
      </c>
      <c r="BV319">
        <v>0</v>
      </c>
    </row>
    <row r="320" spans="1:74" x14ac:dyDescent="0.25">
      <c r="C320" s="138">
        <f t="shared" si="7"/>
        <v>46813</v>
      </c>
      <c r="F320" s="24">
        <v>6.3888889329090801E-2</v>
      </c>
      <c r="V320" s="23">
        <v>0</v>
      </c>
      <c r="W320" s="27">
        <v>0.19500000000000001</v>
      </c>
      <c r="X320" s="23">
        <v>0.28999999999999998</v>
      </c>
      <c r="AM320" s="23">
        <v>0.64</v>
      </c>
      <c r="AN320" s="23">
        <v>-1.7500000000000002E-2</v>
      </c>
      <c r="AO320" s="23">
        <v>0</v>
      </c>
      <c r="AP320" s="23">
        <v>-7.0000000000000007E-2</v>
      </c>
      <c r="AQ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-4.7500000000000001E-2</v>
      </c>
      <c r="AX320" s="23">
        <v>-0.06</v>
      </c>
      <c r="BD320" s="23">
        <v>-4.7500000000000001E-2</v>
      </c>
      <c r="BF320" s="23">
        <v>0</v>
      </c>
      <c r="BJ320" s="23">
        <v>0.54</v>
      </c>
      <c r="BL320" s="23">
        <v>0</v>
      </c>
      <c r="BM320" s="23">
        <v>0</v>
      </c>
      <c r="BO320" s="23">
        <v>0</v>
      </c>
      <c r="BP320" s="23">
        <v>0</v>
      </c>
      <c r="BQ320" s="23">
        <v>0</v>
      </c>
      <c r="BR320" s="23">
        <v>0.1</v>
      </c>
      <c r="BS320"/>
      <c r="BT320">
        <v>0</v>
      </c>
      <c r="BU320">
        <v>0</v>
      </c>
      <c r="BV320">
        <v>0</v>
      </c>
    </row>
    <row r="321" spans="3:74" x14ac:dyDescent="0.25">
      <c r="C321" s="138">
        <f t="shared" si="7"/>
        <v>46844</v>
      </c>
      <c r="F321" s="24">
        <v>6.3882047248831494E-2</v>
      </c>
      <c r="V321" s="23">
        <v>0</v>
      </c>
      <c r="W321" s="27">
        <v>0.14499999999999999</v>
      </c>
      <c r="X321" s="23">
        <v>0.19500000000000001</v>
      </c>
      <c r="AM321" s="23">
        <v>0.38</v>
      </c>
      <c r="AN321" s="23">
        <v>0.02</v>
      </c>
      <c r="AO321" s="23">
        <v>0</v>
      </c>
      <c r="AP321" s="23">
        <v>-7.0000000000000007E-2</v>
      </c>
      <c r="AQ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-0.01</v>
      </c>
      <c r="AX321" s="23">
        <v>-0.06</v>
      </c>
      <c r="BD321" s="23">
        <v>-0.01</v>
      </c>
      <c r="BF321" s="23">
        <v>0</v>
      </c>
      <c r="BJ321" s="23">
        <v>0.36</v>
      </c>
      <c r="BL321" s="23">
        <v>0</v>
      </c>
      <c r="BM321" s="23">
        <v>0</v>
      </c>
      <c r="BO321" s="23">
        <v>0</v>
      </c>
      <c r="BP321" s="23">
        <v>0</v>
      </c>
      <c r="BQ321" s="23">
        <v>0</v>
      </c>
      <c r="BR321" s="23">
        <v>0.02</v>
      </c>
      <c r="BS321"/>
      <c r="BT321">
        <v>0</v>
      </c>
      <c r="BU321">
        <v>0</v>
      </c>
      <c r="BV321">
        <v>0</v>
      </c>
    </row>
    <row r="322" spans="3:74" x14ac:dyDescent="0.25">
      <c r="C322" s="138">
        <f t="shared" si="7"/>
        <v>46874</v>
      </c>
      <c r="F322" s="24">
        <v>6.3875425880853598E-2</v>
      </c>
      <c r="V322" s="23">
        <v>0</v>
      </c>
      <c r="W322" s="27">
        <v>0.125</v>
      </c>
      <c r="X322" s="23">
        <v>0.13500000000000001</v>
      </c>
      <c r="AM322" s="23">
        <v>0.33</v>
      </c>
      <c r="AN322" s="23">
        <v>0.02</v>
      </c>
      <c r="AO322" s="23">
        <v>0</v>
      </c>
      <c r="AP322" s="23">
        <v>-7.0000000000000007E-2</v>
      </c>
      <c r="AQ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-0.01</v>
      </c>
      <c r="AX322" s="23">
        <v>-0.06</v>
      </c>
      <c r="BD322" s="23">
        <v>-0.01</v>
      </c>
      <c r="BF322" s="23">
        <v>0</v>
      </c>
      <c r="BJ322" s="23">
        <v>0.32500000000000001</v>
      </c>
      <c r="BL322" s="23">
        <v>0</v>
      </c>
      <c r="BM322" s="23">
        <v>0</v>
      </c>
      <c r="BO322" s="23">
        <v>0</v>
      </c>
      <c r="BP322" s="23">
        <v>0</v>
      </c>
      <c r="BQ322" s="23">
        <v>0</v>
      </c>
      <c r="BR322" s="23">
        <v>0.02</v>
      </c>
      <c r="BS322"/>
      <c r="BT322">
        <v>0</v>
      </c>
      <c r="BU322">
        <v>0</v>
      </c>
      <c r="BV322">
        <v>0</v>
      </c>
    </row>
    <row r="323" spans="3:74" x14ac:dyDescent="0.25">
      <c r="C323" s="138">
        <f t="shared" si="7"/>
        <v>46905</v>
      </c>
      <c r="F323" s="24">
        <v>6.3868583800625406E-2</v>
      </c>
      <c r="V323" s="23">
        <v>0</v>
      </c>
      <c r="W323" s="27">
        <v>0.14499999999999999</v>
      </c>
      <c r="X323" s="23">
        <v>0.16500000000000001</v>
      </c>
      <c r="AM323" s="23">
        <v>0.37</v>
      </c>
      <c r="AN323" s="23">
        <v>2.5000000000000001E-2</v>
      </c>
      <c r="AO323" s="23">
        <v>0</v>
      </c>
      <c r="AP323" s="23">
        <v>-7.0000000000000007E-2</v>
      </c>
      <c r="AQ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-5.0000000000000001E-3</v>
      </c>
      <c r="AX323" s="23">
        <v>-0.06</v>
      </c>
      <c r="BD323" s="23">
        <v>-5.0000000000000001E-3</v>
      </c>
      <c r="BF323" s="23">
        <v>0</v>
      </c>
      <c r="BJ323" s="23">
        <v>0.33500000000000002</v>
      </c>
      <c r="BL323" s="23">
        <v>0</v>
      </c>
      <c r="BM323" s="23">
        <v>0</v>
      </c>
      <c r="BO323" s="23">
        <v>0</v>
      </c>
      <c r="BP323" s="23">
        <v>0</v>
      </c>
      <c r="BQ323" s="23">
        <v>0</v>
      </c>
      <c r="BR323" s="23">
        <v>3.5000000000000003E-2</v>
      </c>
      <c r="BS323"/>
      <c r="BT323">
        <v>0</v>
      </c>
      <c r="BU323">
        <v>0</v>
      </c>
      <c r="BV323">
        <v>0</v>
      </c>
    </row>
    <row r="324" spans="3:74" x14ac:dyDescent="0.25">
      <c r="C324" s="138">
        <f t="shared" si="7"/>
        <v>46935</v>
      </c>
      <c r="F324" s="24">
        <v>6.3861962432677305E-2</v>
      </c>
      <c r="V324" s="23">
        <v>0</v>
      </c>
      <c r="W324" s="27">
        <v>0.15</v>
      </c>
      <c r="X324" s="23">
        <v>0.20499999999999999</v>
      </c>
      <c r="AM324" s="23">
        <v>0.41</v>
      </c>
      <c r="AN324" s="23">
        <v>2.75E-2</v>
      </c>
      <c r="AO324" s="23">
        <v>0</v>
      </c>
      <c r="AP324" s="23">
        <v>-7.0000000000000007E-2</v>
      </c>
      <c r="AQ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-2.5000000000000001E-3</v>
      </c>
      <c r="AX324" s="23">
        <v>-0.06</v>
      </c>
      <c r="BD324" s="23">
        <v>-2.5000000000000001E-3</v>
      </c>
      <c r="BF324" s="23">
        <v>0</v>
      </c>
      <c r="BJ324" s="23">
        <v>0.35</v>
      </c>
      <c r="BL324" s="23">
        <v>0</v>
      </c>
      <c r="BM324" s="23">
        <v>0</v>
      </c>
      <c r="BO324" s="23">
        <v>0</v>
      </c>
      <c r="BP324" s="23">
        <v>0</v>
      </c>
      <c r="BQ324" s="23">
        <v>0</v>
      </c>
      <c r="BR324" s="23">
        <v>3.5000000000000003E-2</v>
      </c>
      <c r="BS324"/>
      <c r="BT324">
        <v>0</v>
      </c>
      <c r="BU324">
        <v>0</v>
      </c>
      <c r="BV324">
        <v>0</v>
      </c>
    </row>
    <row r="325" spans="3:74" x14ac:dyDescent="0.25">
      <c r="C325" s="138">
        <f t="shared" si="7"/>
        <v>46966</v>
      </c>
      <c r="F325" s="24">
        <v>6.3855120352479297E-2</v>
      </c>
      <c r="V325" s="23">
        <v>0</v>
      </c>
      <c r="W325" s="27">
        <v>0.15</v>
      </c>
      <c r="X325" s="23">
        <v>0.20499999999999999</v>
      </c>
      <c r="AM325" s="23">
        <v>0.41</v>
      </c>
      <c r="AN325" s="23">
        <v>0.03</v>
      </c>
      <c r="AO325" s="23">
        <v>0</v>
      </c>
      <c r="AP325" s="23">
        <v>-7.0000000000000007E-2</v>
      </c>
      <c r="AQ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-0.06</v>
      </c>
      <c r="BD325" s="23">
        <v>0</v>
      </c>
      <c r="BF325" s="23">
        <v>0</v>
      </c>
      <c r="BJ325" s="23">
        <v>0.35</v>
      </c>
      <c r="BL325" s="23">
        <v>0</v>
      </c>
      <c r="BM325" s="23">
        <v>0</v>
      </c>
      <c r="BO325" s="23">
        <v>0</v>
      </c>
      <c r="BP325" s="23">
        <v>0</v>
      </c>
      <c r="BQ325" s="23">
        <v>0</v>
      </c>
      <c r="BR325" s="23">
        <v>0.01</v>
      </c>
      <c r="BS325"/>
      <c r="BT325">
        <v>0</v>
      </c>
      <c r="BU325">
        <v>0</v>
      </c>
      <c r="BV325">
        <v>0</v>
      </c>
    </row>
    <row r="326" spans="3:74" x14ac:dyDescent="0.25">
      <c r="C326" s="138">
        <f t="shared" si="7"/>
        <v>46997</v>
      </c>
      <c r="F326" s="24">
        <v>6.3848278272296402E-2</v>
      </c>
      <c r="V326" s="23">
        <v>0</v>
      </c>
      <c r="W326" s="27">
        <v>0.125</v>
      </c>
      <c r="X326" s="23">
        <v>0.14499999999999999</v>
      </c>
      <c r="AM326" s="23">
        <v>0.36</v>
      </c>
      <c r="AN326" s="23">
        <v>2.2499999999999999E-2</v>
      </c>
      <c r="AO326" s="23">
        <v>0</v>
      </c>
      <c r="AP326" s="23">
        <v>-7.0000000000000007E-2</v>
      </c>
      <c r="AQ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-7.4999999999999997E-3</v>
      </c>
      <c r="AX326" s="23">
        <v>-0.06</v>
      </c>
      <c r="BD326" s="23">
        <v>-7.4999999999999997E-3</v>
      </c>
      <c r="BF326" s="23">
        <v>0</v>
      </c>
      <c r="BJ326" s="23">
        <v>0.315</v>
      </c>
      <c r="BL326" s="23">
        <v>0</v>
      </c>
      <c r="BM326" s="23">
        <v>0</v>
      </c>
      <c r="BO326" s="23">
        <v>0</v>
      </c>
      <c r="BP326" s="23">
        <v>0</v>
      </c>
      <c r="BQ326" s="23">
        <v>0</v>
      </c>
      <c r="BR326" s="23">
        <v>0.01</v>
      </c>
      <c r="BS326"/>
      <c r="BT326">
        <v>0</v>
      </c>
      <c r="BU326">
        <v>0</v>
      </c>
      <c r="BV326">
        <v>0</v>
      </c>
    </row>
    <row r="327" spans="3:74" x14ac:dyDescent="0.25">
      <c r="C327" s="138">
        <f t="shared" ref="C327:C364" si="8">EOMONTH(C326,0)+1</f>
        <v>47027</v>
      </c>
      <c r="F327" s="24">
        <v>6.3841656904393099E-2</v>
      </c>
      <c r="V327" s="23">
        <v>0</v>
      </c>
      <c r="W327" s="27">
        <v>0.14499999999999999</v>
      </c>
      <c r="X327" s="23">
        <v>0.17499999999999999</v>
      </c>
      <c r="AM327" s="23">
        <v>0.4</v>
      </c>
      <c r="AN327" s="23">
        <v>1.2500000000000001E-2</v>
      </c>
      <c r="AO327" s="23">
        <v>0</v>
      </c>
      <c r="AP327" s="23">
        <v>-7.0000000000000007E-2</v>
      </c>
      <c r="AQ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-1.7500000000000002E-2</v>
      </c>
      <c r="AX327" s="23">
        <v>-0.06</v>
      </c>
      <c r="BD327" s="23">
        <v>-1.7500000000000002E-2</v>
      </c>
      <c r="BF327" s="23">
        <v>0</v>
      </c>
      <c r="BJ327" s="23">
        <v>0.36</v>
      </c>
      <c r="BL327" s="23">
        <v>0</v>
      </c>
      <c r="BM327" s="23">
        <v>0</v>
      </c>
      <c r="BO327" s="23">
        <v>0</v>
      </c>
      <c r="BP327" s="23">
        <v>0</v>
      </c>
      <c r="BQ327" s="23">
        <v>0</v>
      </c>
      <c r="BR327" s="23">
        <v>0.01</v>
      </c>
      <c r="BS327"/>
      <c r="BT327">
        <v>0</v>
      </c>
      <c r="BU327">
        <v>0</v>
      </c>
      <c r="BV327">
        <v>0</v>
      </c>
    </row>
    <row r="328" spans="3:74" x14ac:dyDescent="0.25">
      <c r="C328" s="138">
        <f t="shared" si="8"/>
        <v>47058</v>
      </c>
      <c r="F328" s="24">
        <v>6.3834814824241401E-2</v>
      </c>
      <c r="V328" s="23">
        <v>0</v>
      </c>
      <c r="W328" s="27">
        <v>0.19500000000000001</v>
      </c>
      <c r="X328" s="23">
        <v>0.21</v>
      </c>
      <c r="AM328" s="23">
        <v>0.65</v>
      </c>
      <c r="AN328" s="23">
        <v>-2.2499999999999999E-2</v>
      </c>
      <c r="AO328" s="23">
        <v>0</v>
      </c>
      <c r="AP328" s="23">
        <v>-7.0000000000000007E-2</v>
      </c>
      <c r="AQ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-5.2499999999999998E-2</v>
      </c>
      <c r="AX328" s="23">
        <v>-0.06</v>
      </c>
      <c r="BD328" s="23">
        <v>-5.2499999999999998E-2</v>
      </c>
      <c r="BF328" s="23">
        <v>0</v>
      </c>
      <c r="BJ328" s="23">
        <v>0.46</v>
      </c>
      <c r="BL328" s="23">
        <v>0</v>
      </c>
      <c r="BM328" s="23">
        <v>0</v>
      </c>
      <c r="BO328" s="23">
        <v>0</v>
      </c>
      <c r="BP328" s="23">
        <v>0</v>
      </c>
      <c r="BQ328" s="23">
        <v>0</v>
      </c>
      <c r="BR328" s="23">
        <v>5.5E-2</v>
      </c>
      <c r="BS328"/>
      <c r="BT328">
        <v>0</v>
      </c>
      <c r="BU328">
        <v>0</v>
      </c>
      <c r="BV328">
        <v>0</v>
      </c>
    </row>
    <row r="329" spans="3:74" x14ac:dyDescent="0.25">
      <c r="C329" s="138">
        <f t="shared" si="8"/>
        <v>47088</v>
      </c>
      <c r="F329" s="24">
        <v>6.3828193456366894E-2</v>
      </c>
      <c r="V329" s="23">
        <v>0</v>
      </c>
      <c r="W329" s="27">
        <v>0.215</v>
      </c>
      <c r="X329" s="23">
        <v>0.28999999999999998</v>
      </c>
      <c r="AM329" s="23">
        <v>0.98</v>
      </c>
      <c r="AN329" s="23">
        <v>-4.4999999999999998E-2</v>
      </c>
      <c r="AO329" s="23">
        <v>0</v>
      </c>
      <c r="AP329" s="23">
        <v>-7.0000000000000007E-2</v>
      </c>
      <c r="AQ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-7.4999999999999997E-2</v>
      </c>
      <c r="AX329" s="23">
        <v>-0.06</v>
      </c>
      <c r="BD329" s="23">
        <v>-7.4999999999999997E-2</v>
      </c>
      <c r="BF329" s="23">
        <v>0</v>
      </c>
      <c r="BJ329" s="23">
        <v>0.77</v>
      </c>
      <c r="BL329" s="23">
        <v>0</v>
      </c>
      <c r="BM329" s="23">
        <v>0</v>
      </c>
      <c r="BO329" s="23">
        <v>0</v>
      </c>
      <c r="BP329" s="23">
        <v>0</v>
      </c>
      <c r="BQ329" s="23">
        <v>0</v>
      </c>
      <c r="BR329" s="23">
        <v>0.25</v>
      </c>
      <c r="BS329"/>
      <c r="BT329">
        <v>0</v>
      </c>
      <c r="BU329">
        <v>0</v>
      </c>
      <c r="BV329">
        <v>0</v>
      </c>
    </row>
    <row r="330" spans="3:74" x14ac:dyDescent="0.25">
      <c r="C330" s="138">
        <f t="shared" si="8"/>
        <v>47119</v>
      </c>
      <c r="F330" s="24">
        <v>6.3821351376245797E-2</v>
      </c>
      <c r="V330" s="23">
        <v>0</v>
      </c>
      <c r="W330" s="27">
        <v>0.23499999999999999</v>
      </c>
      <c r="X330" s="23">
        <v>0.34</v>
      </c>
      <c r="AM330" s="23">
        <v>1.6</v>
      </c>
      <c r="AN330" s="23">
        <v>-4.7500000000000001E-2</v>
      </c>
      <c r="AO330" s="23">
        <v>0</v>
      </c>
      <c r="AP330" s="23">
        <v>-7.0000000000000007E-2</v>
      </c>
      <c r="AQ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-7.7499999999999999E-2</v>
      </c>
      <c r="AX330" s="23">
        <v>-0.06</v>
      </c>
      <c r="BD330" s="23">
        <v>-7.7499999999999999E-2</v>
      </c>
      <c r="BF330" s="23">
        <v>0</v>
      </c>
      <c r="BJ330" s="23">
        <v>1.04</v>
      </c>
      <c r="BL330" s="23">
        <v>0</v>
      </c>
      <c r="BM330" s="23">
        <v>0</v>
      </c>
      <c r="BO330" s="23">
        <v>0</v>
      </c>
      <c r="BP330" s="23">
        <v>0</v>
      </c>
      <c r="BQ330" s="23">
        <v>0</v>
      </c>
      <c r="BR330" s="23">
        <v>0.45</v>
      </c>
      <c r="BS330"/>
      <c r="BT330">
        <v>0</v>
      </c>
      <c r="BU330">
        <v>0</v>
      </c>
      <c r="BV330">
        <v>0</v>
      </c>
    </row>
    <row r="331" spans="3:74" x14ac:dyDescent="0.25">
      <c r="C331" s="138">
        <f t="shared" si="8"/>
        <v>47150</v>
      </c>
      <c r="F331" s="24">
        <v>6.3814509296140201E-2</v>
      </c>
      <c r="V331" s="23">
        <v>0</v>
      </c>
      <c r="W331" s="27">
        <v>0.23499999999999999</v>
      </c>
      <c r="X331" s="23">
        <v>0.34</v>
      </c>
      <c r="AM331" s="23">
        <v>1.6</v>
      </c>
      <c r="AN331" s="23">
        <v>-0.03</v>
      </c>
      <c r="AO331" s="23">
        <v>0</v>
      </c>
      <c r="AP331" s="23">
        <v>-7.0000000000000007E-2</v>
      </c>
      <c r="AQ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-0.06</v>
      </c>
      <c r="AX331" s="23">
        <v>-0.06</v>
      </c>
      <c r="BD331" s="23">
        <v>-0.06</v>
      </c>
      <c r="BF331" s="23">
        <v>0</v>
      </c>
      <c r="BJ331" s="23">
        <v>1.04</v>
      </c>
      <c r="BL331" s="23">
        <v>0</v>
      </c>
      <c r="BM331" s="23">
        <v>0</v>
      </c>
      <c r="BO331" s="23">
        <v>0</v>
      </c>
      <c r="BP331" s="23">
        <v>0</v>
      </c>
      <c r="BQ331" s="23">
        <v>0</v>
      </c>
      <c r="BR331" s="23">
        <v>0.45</v>
      </c>
      <c r="BS331"/>
      <c r="BT331">
        <v>0</v>
      </c>
      <c r="BU331">
        <v>0</v>
      </c>
      <c r="BV331">
        <v>0</v>
      </c>
    </row>
    <row r="332" spans="3:74" x14ac:dyDescent="0.25">
      <c r="C332" s="138">
        <f t="shared" si="8"/>
        <v>47178</v>
      </c>
      <c r="F332" s="24">
        <v>6.3808329352832399E-2</v>
      </c>
      <c r="V332" s="23">
        <v>0</v>
      </c>
      <c r="W332" s="27">
        <v>0.19500000000000001</v>
      </c>
      <c r="X332" s="23">
        <v>0.28999999999999998</v>
      </c>
      <c r="AM332" s="23">
        <v>0.64</v>
      </c>
      <c r="AN332" s="23">
        <v>-1.7500000000000002E-2</v>
      </c>
      <c r="AO332" s="23">
        <v>0</v>
      </c>
      <c r="AP332" s="23">
        <v>-7.0000000000000007E-2</v>
      </c>
      <c r="AQ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-4.7500000000000001E-2</v>
      </c>
      <c r="AX332" s="23">
        <v>-0.06</v>
      </c>
      <c r="BD332" s="23">
        <v>-4.7500000000000001E-2</v>
      </c>
      <c r="BF332" s="23">
        <v>0</v>
      </c>
      <c r="BJ332" s="23">
        <v>0.54</v>
      </c>
      <c r="BL332" s="23">
        <v>0</v>
      </c>
      <c r="BM332" s="23">
        <v>0</v>
      </c>
      <c r="BO332" s="23">
        <v>0</v>
      </c>
      <c r="BP332" s="23">
        <v>0</v>
      </c>
      <c r="BQ332" s="23">
        <v>0</v>
      </c>
      <c r="BR332" s="23">
        <v>0.1</v>
      </c>
      <c r="BS332"/>
      <c r="BT332">
        <v>0</v>
      </c>
      <c r="BU332">
        <v>0</v>
      </c>
      <c r="BV332">
        <v>0</v>
      </c>
    </row>
    <row r="333" spans="3:74" x14ac:dyDescent="0.25">
      <c r="C333" s="138">
        <f t="shared" si="8"/>
        <v>47209</v>
      </c>
      <c r="F333" s="24">
        <v>6.3801487272756099E-2</v>
      </c>
      <c r="V333" s="23">
        <v>0</v>
      </c>
      <c r="W333" s="27">
        <v>0.14499999999999999</v>
      </c>
      <c r="X333" s="23">
        <v>0.19500000000000001</v>
      </c>
      <c r="AM333" s="23">
        <v>0.38</v>
      </c>
      <c r="AN333" s="23">
        <v>0.02</v>
      </c>
      <c r="AO333" s="23">
        <v>0</v>
      </c>
      <c r="AP333" s="23">
        <v>-7.0000000000000007E-2</v>
      </c>
      <c r="AQ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-0.01</v>
      </c>
      <c r="AX333" s="23">
        <v>-0.06</v>
      </c>
      <c r="BD333" s="23">
        <v>-0.01</v>
      </c>
      <c r="BF333" s="23">
        <v>0</v>
      </c>
      <c r="BJ333" s="23">
        <v>0.36</v>
      </c>
      <c r="BL333" s="23">
        <v>0</v>
      </c>
      <c r="BM333" s="23">
        <v>0</v>
      </c>
      <c r="BO333" s="23">
        <v>0</v>
      </c>
      <c r="BP333" s="23">
        <v>0</v>
      </c>
      <c r="BQ333" s="23">
        <v>0</v>
      </c>
      <c r="BR333" s="23">
        <v>0.02</v>
      </c>
      <c r="BS333"/>
      <c r="BT333">
        <v>0</v>
      </c>
      <c r="BU333">
        <v>0</v>
      </c>
      <c r="BV333">
        <v>0</v>
      </c>
    </row>
    <row r="334" spans="3:74" x14ac:dyDescent="0.25">
      <c r="C334" s="138">
        <f t="shared" si="8"/>
        <v>47239</v>
      </c>
      <c r="F334" s="24">
        <v>6.3794865904955006E-2</v>
      </c>
      <c r="V334" s="23">
        <v>0</v>
      </c>
      <c r="W334" s="27">
        <v>0.125</v>
      </c>
      <c r="X334" s="23">
        <v>0.13500000000000001</v>
      </c>
      <c r="AM334" s="23">
        <v>0.33</v>
      </c>
      <c r="AN334" s="23">
        <v>0.02</v>
      </c>
      <c r="AO334" s="23">
        <v>0</v>
      </c>
      <c r="AP334" s="23">
        <v>-7.0000000000000007E-2</v>
      </c>
      <c r="AQ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-0.01</v>
      </c>
      <c r="AX334" s="23">
        <v>-0.06</v>
      </c>
      <c r="BD334" s="23">
        <v>-0.01</v>
      </c>
      <c r="BF334" s="23">
        <v>0</v>
      </c>
      <c r="BJ334" s="23">
        <v>0.32500000000000001</v>
      </c>
      <c r="BL334" s="23">
        <v>0</v>
      </c>
      <c r="BM334" s="23">
        <v>0</v>
      </c>
      <c r="BO334" s="23">
        <v>0</v>
      </c>
      <c r="BP334" s="23">
        <v>0</v>
      </c>
      <c r="BQ334" s="23">
        <v>0</v>
      </c>
      <c r="BR334" s="23">
        <v>0.02</v>
      </c>
      <c r="BS334"/>
      <c r="BT334">
        <v>0</v>
      </c>
      <c r="BU334">
        <v>0</v>
      </c>
      <c r="BV334">
        <v>0</v>
      </c>
    </row>
    <row r="335" spans="3:74" x14ac:dyDescent="0.25">
      <c r="C335" s="138">
        <f t="shared" si="8"/>
        <v>47270</v>
      </c>
      <c r="F335" s="24">
        <v>6.3788023824909307E-2</v>
      </c>
      <c r="V335" s="23">
        <v>0</v>
      </c>
      <c r="W335" s="27">
        <v>0.14499999999999999</v>
      </c>
      <c r="X335" s="23">
        <v>0.16500000000000001</v>
      </c>
      <c r="AM335" s="23">
        <v>0.37</v>
      </c>
      <c r="AN335" s="23">
        <v>2.5000000000000001E-2</v>
      </c>
      <c r="AO335" s="23">
        <v>0</v>
      </c>
      <c r="AP335" s="23">
        <v>-7.0000000000000007E-2</v>
      </c>
      <c r="AQ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-5.0000000000000001E-3</v>
      </c>
      <c r="AX335" s="23">
        <v>-0.06</v>
      </c>
      <c r="BD335" s="23">
        <v>-5.0000000000000001E-3</v>
      </c>
      <c r="BF335" s="23">
        <v>0</v>
      </c>
      <c r="BJ335" s="23">
        <v>0.33500000000000002</v>
      </c>
      <c r="BL335" s="23">
        <v>0</v>
      </c>
      <c r="BM335" s="23">
        <v>0</v>
      </c>
      <c r="BO335" s="23">
        <v>0</v>
      </c>
      <c r="BP335" s="23">
        <v>0</v>
      </c>
      <c r="BQ335" s="23">
        <v>0</v>
      </c>
      <c r="BR335" s="23">
        <v>3.5000000000000003E-2</v>
      </c>
      <c r="BS335"/>
      <c r="BT335">
        <v>0</v>
      </c>
      <c r="BU335">
        <v>0</v>
      </c>
      <c r="BV335">
        <v>0</v>
      </c>
    </row>
    <row r="336" spans="3:74" x14ac:dyDescent="0.25">
      <c r="C336" s="138">
        <f t="shared" si="8"/>
        <v>47300</v>
      </c>
      <c r="F336" s="24">
        <v>6.3781402457138398E-2</v>
      </c>
      <c r="V336" s="23">
        <v>0</v>
      </c>
      <c r="W336" s="27">
        <v>0.15</v>
      </c>
      <c r="X336" s="23">
        <v>0.20499999999999999</v>
      </c>
      <c r="AM336" s="23">
        <v>0.41</v>
      </c>
      <c r="AN336" s="23">
        <v>2.75E-2</v>
      </c>
      <c r="AO336" s="23">
        <v>0</v>
      </c>
      <c r="AP336" s="23">
        <v>-7.0000000000000007E-2</v>
      </c>
      <c r="AQ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-2.5000000000000001E-3</v>
      </c>
      <c r="AX336" s="23">
        <v>-0.06</v>
      </c>
      <c r="BD336" s="23">
        <v>-2.5000000000000001E-3</v>
      </c>
      <c r="BF336" s="23">
        <v>0</v>
      </c>
      <c r="BJ336" s="23">
        <v>0.35</v>
      </c>
      <c r="BL336" s="23">
        <v>0</v>
      </c>
      <c r="BM336" s="23">
        <v>0</v>
      </c>
      <c r="BO336" s="23">
        <v>0</v>
      </c>
      <c r="BP336" s="23">
        <v>0</v>
      </c>
      <c r="BQ336" s="23">
        <v>0</v>
      </c>
      <c r="BR336" s="23">
        <v>3.5000000000000003E-2</v>
      </c>
      <c r="BS336"/>
      <c r="BT336">
        <v>0</v>
      </c>
      <c r="BU336">
        <v>0</v>
      </c>
      <c r="BV336">
        <v>0</v>
      </c>
    </row>
    <row r="337" spans="3:74" x14ac:dyDescent="0.25">
      <c r="C337" s="138">
        <f t="shared" si="8"/>
        <v>47331</v>
      </c>
      <c r="F337" s="24">
        <v>6.3774560377123396E-2</v>
      </c>
      <c r="V337" s="23">
        <v>0</v>
      </c>
      <c r="W337" s="27">
        <v>0.15</v>
      </c>
      <c r="X337" s="23">
        <v>0.20499999999999999</v>
      </c>
      <c r="AM337" s="23">
        <v>0.41</v>
      </c>
      <c r="AN337" s="23">
        <v>0.03</v>
      </c>
      <c r="AO337" s="23">
        <v>0</v>
      </c>
      <c r="AP337" s="23">
        <v>-7.0000000000000007E-2</v>
      </c>
      <c r="AQ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-0.06</v>
      </c>
      <c r="BD337" s="23">
        <v>0</v>
      </c>
      <c r="BF337" s="23">
        <v>0</v>
      </c>
      <c r="BJ337" s="23">
        <v>0.35</v>
      </c>
      <c r="BL337" s="23">
        <v>0</v>
      </c>
      <c r="BM337" s="23">
        <v>0</v>
      </c>
      <c r="BO337" s="23">
        <v>0</v>
      </c>
      <c r="BP337" s="23">
        <v>0</v>
      </c>
      <c r="BQ337" s="23">
        <v>0</v>
      </c>
      <c r="BR337" s="23">
        <v>0.01</v>
      </c>
      <c r="BS337"/>
      <c r="BT337">
        <v>0</v>
      </c>
      <c r="BU337">
        <v>0</v>
      </c>
      <c r="BV337">
        <v>0</v>
      </c>
    </row>
    <row r="338" spans="3:74" x14ac:dyDescent="0.25">
      <c r="C338" s="138">
        <f t="shared" si="8"/>
        <v>47362</v>
      </c>
      <c r="F338" s="24">
        <v>6.3767718297123896E-2</v>
      </c>
      <c r="V338" s="23">
        <v>0</v>
      </c>
      <c r="W338" s="27">
        <v>0.125</v>
      </c>
      <c r="X338" s="23">
        <v>0.14499999999999999</v>
      </c>
      <c r="AM338" s="23">
        <v>0.36</v>
      </c>
      <c r="AN338" s="23">
        <v>2.2499999999999999E-2</v>
      </c>
      <c r="AO338" s="23">
        <v>0</v>
      </c>
      <c r="AP338" s="23">
        <v>-7.0000000000000007E-2</v>
      </c>
      <c r="AQ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-7.4999999999999997E-3</v>
      </c>
      <c r="AX338" s="23">
        <v>-0.06</v>
      </c>
      <c r="BD338" s="23">
        <v>-7.4999999999999997E-3</v>
      </c>
      <c r="BF338" s="23">
        <v>0</v>
      </c>
      <c r="BJ338" s="23">
        <v>0.315</v>
      </c>
      <c r="BL338" s="23">
        <v>0</v>
      </c>
      <c r="BM338" s="23">
        <v>0</v>
      </c>
      <c r="BO338" s="23">
        <v>0</v>
      </c>
      <c r="BP338" s="23">
        <v>0</v>
      </c>
      <c r="BQ338" s="23">
        <v>0</v>
      </c>
      <c r="BR338" s="23">
        <v>0.01</v>
      </c>
      <c r="BS338"/>
      <c r="BT338">
        <v>0</v>
      </c>
      <c r="BU338">
        <v>0</v>
      </c>
      <c r="BV338">
        <v>0</v>
      </c>
    </row>
    <row r="339" spans="3:74" x14ac:dyDescent="0.25">
      <c r="C339" s="138">
        <f t="shared" si="8"/>
        <v>47392</v>
      </c>
      <c r="F339" s="24">
        <v>6.3761096929396896E-2</v>
      </c>
      <c r="V339" s="23">
        <v>0</v>
      </c>
      <c r="W339" s="27">
        <v>0.14499999999999999</v>
      </c>
      <c r="X339" s="23">
        <v>0.17499999999999999</v>
      </c>
      <c r="AM339" s="23">
        <v>0.4</v>
      </c>
      <c r="AN339" s="23">
        <v>1.2500000000000001E-2</v>
      </c>
      <c r="AO339" s="23">
        <v>0</v>
      </c>
      <c r="AP339" s="23">
        <v>-7.0000000000000007E-2</v>
      </c>
      <c r="AQ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-1.7500000000000002E-2</v>
      </c>
      <c r="AX339" s="23">
        <v>-0.06</v>
      </c>
      <c r="BD339" s="23">
        <v>-1.7500000000000002E-2</v>
      </c>
      <c r="BF339" s="23">
        <v>0</v>
      </c>
      <c r="BJ339" s="23">
        <v>0.36</v>
      </c>
      <c r="BL339" s="23">
        <v>0</v>
      </c>
      <c r="BM339" s="23">
        <v>0</v>
      </c>
      <c r="BO339" s="23">
        <v>0</v>
      </c>
      <c r="BP339" s="23">
        <v>0</v>
      </c>
      <c r="BQ339" s="23">
        <v>0</v>
      </c>
      <c r="BR339" s="23">
        <v>0.01</v>
      </c>
      <c r="BS339"/>
      <c r="BT339">
        <v>0</v>
      </c>
      <c r="BU339">
        <v>0</v>
      </c>
      <c r="BV339">
        <v>0</v>
      </c>
    </row>
    <row r="340" spans="3:74" x14ac:dyDescent="0.25">
      <c r="C340" s="138">
        <f t="shared" si="8"/>
        <v>47423</v>
      </c>
      <c r="F340" s="24">
        <v>6.3754254849427594E-2</v>
      </c>
      <c r="V340" s="23">
        <v>0</v>
      </c>
      <c r="W340" s="27">
        <v>0.19500000000000001</v>
      </c>
      <c r="X340" s="23">
        <v>0.21</v>
      </c>
      <c r="AM340" s="23">
        <v>0.65</v>
      </c>
      <c r="AN340" s="23">
        <v>-2.2499999999999999E-2</v>
      </c>
      <c r="AO340" s="23">
        <v>0</v>
      </c>
      <c r="AP340" s="23">
        <v>-7.0000000000000007E-2</v>
      </c>
      <c r="AQ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-5.2499999999999998E-2</v>
      </c>
      <c r="AX340" s="23">
        <v>-0.06</v>
      </c>
      <c r="BD340" s="23">
        <v>-5.2499999999999998E-2</v>
      </c>
      <c r="BF340" s="23">
        <v>0</v>
      </c>
      <c r="BJ340" s="23">
        <v>0.46</v>
      </c>
      <c r="BL340" s="23">
        <v>0</v>
      </c>
      <c r="BM340" s="23">
        <v>0</v>
      </c>
      <c r="BO340" s="23">
        <v>0</v>
      </c>
      <c r="BP340" s="23">
        <v>0</v>
      </c>
      <c r="BQ340" s="23">
        <v>0</v>
      </c>
      <c r="BR340" s="23">
        <v>5.5E-2</v>
      </c>
      <c r="BS340"/>
      <c r="BT340">
        <v>0</v>
      </c>
      <c r="BU340">
        <v>0</v>
      </c>
      <c r="BV340">
        <v>0</v>
      </c>
    </row>
    <row r="341" spans="3:74" x14ac:dyDescent="0.25">
      <c r="C341" s="138">
        <f t="shared" si="8"/>
        <v>47453</v>
      </c>
      <c r="F341" s="24">
        <v>6.3747633481730806E-2</v>
      </c>
      <c r="V341" s="23">
        <v>0</v>
      </c>
      <c r="W341" s="27">
        <v>0.215</v>
      </c>
      <c r="X341" s="23">
        <v>0.28999999999999998</v>
      </c>
      <c r="AM341" s="23">
        <v>0.98</v>
      </c>
      <c r="AN341" s="23">
        <v>-4.4999999999999998E-2</v>
      </c>
      <c r="AO341" s="23">
        <v>0</v>
      </c>
      <c r="AP341" s="23">
        <v>-7.0000000000000007E-2</v>
      </c>
      <c r="AQ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-7.4999999999999997E-2</v>
      </c>
      <c r="AX341" s="23">
        <v>-0.06</v>
      </c>
      <c r="BD341" s="23">
        <v>-7.4999999999999997E-2</v>
      </c>
      <c r="BF341" s="23">
        <v>0</v>
      </c>
      <c r="BJ341" s="23">
        <v>0.77</v>
      </c>
      <c r="BL341" s="23">
        <v>0</v>
      </c>
      <c r="BM341" s="23">
        <v>0</v>
      </c>
      <c r="BO341" s="23">
        <v>0</v>
      </c>
      <c r="BP341" s="23">
        <v>0</v>
      </c>
      <c r="BQ341" s="23">
        <v>0</v>
      </c>
      <c r="BR341" s="23">
        <v>0.25</v>
      </c>
      <c r="BS341"/>
      <c r="BT341">
        <v>0</v>
      </c>
      <c r="BU341">
        <v>0</v>
      </c>
      <c r="BV341">
        <v>0</v>
      </c>
    </row>
    <row r="342" spans="3:74" x14ac:dyDescent="0.25">
      <c r="C342" s="138">
        <f t="shared" si="8"/>
        <v>47484</v>
      </c>
      <c r="F342" s="24">
        <v>6.3740791401791799E-2</v>
      </c>
      <c r="W342" s="27"/>
      <c r="BS342"/>
      <c r="BT342"/>
      <c r="BU342"/>
      <c r="BV342"/>
    </row>
    <row r="343" spans="3:74" x14ac:dyDescent="0.25">
      <c r="C343" s="138">
        <f t="shared" si="8"/>
        <v>47515</v>
      </c>
      <c r="F343" s="24">
        <v>6.3733949321869196E-2</v>
      </c>
      <c r="W343" s="27"/>
      <c r="BS343"/>
      <c r="BT343"/>
      <c r="BU343"/>
      <c r="BV343"/>
    </row>
    <row r="344" spans="3:74" x14ac:dyDescent="0.25">
      <c r="C344" s="138">
        <f t="shared" si="8"/>
        <v>47543</v>
      </c>
      <c r="F344" s="24">
        <v>6.3727769378726207E-2</v>
      </c>
      <c r="W344" s="27"/>
      <c r="BS344"/>
      <c r="BT344"/>
      <c r="BU344"/>
      <c r="BV344"/>
    </row>
    <row r="345" spans="3:74" x14ac:dyDescent="0.25">
      <c r="C345" s="138">
        <f t="shared" si="8"/>
        <v>47574</v>
      </c>
      <c r="F345" s="24">
        <v>6.3720927298832802E-2</v>
      </c>
      <c r="W345" s="27"/>
      <c r="BS345"/>
      <c r="BT345"/>
      <c r="BU345"/>
      <c r="BV345"/>
    </row>
    <row r="346" spans="3:74" x14ac:dyDescent="0.25">
      <c r="C346" s="138">
        <f t="shared" si="8"/>
        <v>47604</v>
      </c>
      <c r="F346" s="24">
        <v>6.3714305931209303E-2</v>
      </c>
      <c r="W346" s="27"/>
      <c r="BS346"/>
      <c r="BT346"/>
      <c r="BU346"/>
      <c r="BV346"/>
    </row>
    <row r="347" spans="3:74" x14ac:dyDescent="0.25">
      <c r="C347" s="138">
        <f t="shared" si="8"/>
        <v>47635</v>
      </c>
      <c r="F347" s="24">
        <v>6.3707463851346194E-2</v>
      </c>
      <c r="W347" s="27"/>
      <c r="BS347"/>
      <c r="BT347"/>
      <c r="BU347"/>
      <c r="BV347"/>
    </row>
    <row r="348" spans="3:74" x14ac:dyDescent="0.25">
      <c r="C348" s="138">
        <f t="shared" si="8"/>
        <v>47665</v>
      </c>
      <c r="F348" s="24">
        <v>6.3700842483751505E-2</v>
      </c>
      <c r="W348" s="27"/>
      <c r="BS348"/>
      <c r="BT348"/>
      <c r="BU348"/>
      <c r="BV348"/>
    </row>
    <row r="349" spans="3:74" x14ac:dyDescent="0.25">
      <c r="C349" s="138">
        <f t="shared" si="8"/>
        <v>47696</v>
      </c>
      <c r="F349" s="24">
        <v>6.3694000403919496E-2</v>
      </c>
      <c r="W349" s="27"/>
      <c r="BS349"/>
      <c r="BT349"/>
      <c r="BU349"/>
      <c r="BV349"/>
    </row>
    <row r="350" spans="3:74" x14ac:dyDescent="0.25">
      <c r="C350" s="138">
        <f t="shared" si="8"/>
        <v>47727</v>
      </c>
      <c r="F350" s="24">
        <v>6.3687158324103002E-2</v>
      </c>
      <c r="W350" s="27"/>
      <c r="BS350"/>
      <c r="BT350"/>
      <c r="BU350"/>
      <c r="BV350"/>
    </row>
    <row r="351" spans="3:74" x14ac:dyDescent="0.25">
      <c r="C351" s="138">
        <f t="shared" si="8"/>
        <v>47757</v>
      </c>
      <c r="F351" s="24">
        <v>6.3680536956552694E-2</v>
      </c>
      <c r="W351" s="27"/>
      <c r="BS351"/>
      <c r="BT351"/>
      <c r="BU351"/>
      <c r="BV351"/>
    </row>
    <row r="352" spans="3:74" x14ac:dyDescent="0.25">
      <c r="C352" s="138">
        <f t="shared" si="8"/>
        <v>47788</v>
      </c>
      <c r="F352" s="24">
        <v>6.3673694876766398E-2</v>
      </c>
      <c r="W352" s="27"/>
      <c r="BS352"/>
      <c r="BT352"/>
      <c r="BU352"/>
      <c r="BV352"/>
    </row>
    <row r="353" spans="3:74" x14ac:dyDescent="0.25">
      <c r="C353" s="138">
        <f t="shared" si="8"/>
        <v>47818</v>
      </c>
      <c r="D353"/>
      <c r="E353"/>
      <c r="F353" s="24">
        <v>6.36670735092464E-2</v>
      </c>
      <c r="W353" s="27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3:74" x14ac:dyDescent="0.25">
      <c r="C354" s="138">
        <f t="shared" si="8"/>
        <v>47849</v>
      </c>
      <c r="D354"/>
      <c r="E354"/>
      <c r="F354" s="24">
        <v>6.3660231429490705E-2</v>
      </c>
      <c r="W354" s="27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3:74" x14ac:dyDescent="0.25">
      <c r="C355" s="138">
        <f t="shared" si="8"/>
        <v>47880</v>
      </c>
      <c r="D355"/>
      <c r="E355"/>
      <c r="F355" s="24">
        <v>6.3653389349750594E-2</v>
      </c>
      <c r="W355" s="27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3:74" x14ac:dyDescent="0.25">
      <c r="C356" s="138">
        <f t="shared" si="8"/>
        <v>47908</v>
      </c>
      <c r="D356"/>
      <c r="E356"/>
      <c r="F356" s="24">
        <v>6.3647209406772806E-2</v>
      </c>
      <c r="W356" s="27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3:74" x14ac:dyDescent="0.25">
      <c r="C357" s="138">
        <f t="shared" si="8"/>
        <v>47939</v>
      </c>
      <c r="D357"/>
      <c r="E357"/>
      <c r="F357" s="24">
        <v>6.3640367327062006E-2</v>
      </c>
      <c r="W357" s="2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3:74" x14ac:dyDescent="0.25">
      <c r="C358" s="138">
        <f t="shared" si="8"/>
        <v>47969</v>
      </c>
      <c r="D358"/>
      <c r="E358"/>
      <c r="F358" s="24">
        <v>6.3633745959615198E-2</v>
      </c>
      <c r="W358" s="27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3:74" x14ac:dyDescent="0.25">
      <c r="C359" s="138">
        <f t="shared" si="8"/>
        <v>48000</v>
      </c>
      <c r="D359"/>
      <c r="E359"/>
      <c r="F359" s="24">
        <v>6.3626903879935498E-2</v>
      </c>
      <c r="W359" s="27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3:74" x14ac:dyDescent="0.25">
      <c r="C360" s="138">
        <f t="shared" si="8"/>
        <v>48030</v>
      </c>
      <c r="D360"/>
      <c r="E360"/>
      <c r="F360" s="24">
        <v>6.3620282512517598E-2</v>
      </c>
      <c r="W360" s="27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3:74" x14ac:dyDescent="0.25">
      <c r="C361" s="138">
        <f t="shared" si="8"/>
        <v>48061</v>
      </c>
      <c r="D361"/>
      <c r="E361"/>
      <c r="F361" s="24">
        <v>6.3613440432868096E-2</v>
      </c>
      <c r="W361" s="27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3:74" x14ac:dyDescent="0.25">
      <c r="C362" s="138">
        <f t="shared" si="8"/>
        <v>48092</v>
      </c>
      <c r="D362"/>
      <c r="E362"/>
      <c r="F362" s="24">
        <v>6.3606598353234095E-2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3:74" x14ac:dyDescent="0.25">
      <c r="C363" s="138">
        <f t="shared" si="8"/>
        <v>48122</v>
      </c>
      <c r="D363"/>
      <c r="E363"/>
      <c r="F363" s="24">
        <v>6.3599976985861506E-2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3:74" x14ac:dyDescent="0.25">
      <c r="C364" s="138">
        <f t="shared" si="8"/>
        <v>48153</v>
      </c>
      <c r="D364"/>
      <c r="E364"/>
      <c r="F364" s="24">
        <v>6.3593134906257703E-2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3:74" x14ac:dyDescent="0.25">
      <c r="D365"/>
      <c r="E365"/>
      <c r="F365" s="24">
        <v>6.3586513538914896E-2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53" workbookViewId="0">
      <selection activeCell="H70" sqref="H70"/>
    </sheetView>
  </sheetViews>
  <sheetFormatPr defaultColWidth="9.109375" defaultRowHeight="10.199999999999999" x14ac:dyDescent="0.2"/>
  <cols>
    <col min="1" max="16384" width="9.109375" style="3"/>
  </cols>
  <sheetData>
    <row r="1" spans="1:13" ht="10.8" thickBot="1" x14ac:dyDescent="0.25">
      <c r="A1" s="1"/>
      <c r="B1" s="35"/>
      <c r="C1" s="36"/>
      <c r="D1" s="36"/>
      <c r="E1" s="36"/>
      <c r="F1" s="36"/>
      <c r="G1" s="2"/>
      <c r="H1" s="2"/>
      <c r="I1" s="2"/>
      <c r="J1" s="2"/>
      <c r="K1" s="2"/>
      <c r="L1" s="2"/>
      <c r="M1" s="2"/>
    </row>
    <row r="2" spans="1:13" x14ac:dyDescent="0.2">
      <c r="A2" s="36"/>
      <c r="B2" s="36"/>
      <c r="C2" s="36"/>
      <c r="D2" s="36"/>
      <c r="E2" s="36"/>
      <c r="F2" s="36"/>
      <c r="G2" s="28" t="s">
        <v>0</v>
      </c>
      <c r="H2" s="4"/>
      <c r="I2" s="5"/>
    </row>
    <row r="3" spans="1:13" x14ac:dyDescent="0.2">
      <c r="A3" s="45"/>
      <c r="B3" s="46"/>
      <c r="C3" s="45"/>
      <c r="D3" s="36"/>
      <c r="E3" s="36"/>
      <c r="F3" s="36"/>
      <c r="G3" s="29" t="s">
        <v>1</v>
      </c>
      <c r="H3" s="6"/>
      <c r="I3" s="7"/>
    </row>
    <row r="4" spans="1:13" x14ac:dyDescent="0.2">
      <c r="A4" s="45"/>
      <c r="B4" s="47"/>
      <c r="C4" s="14"/>
      <c r="D4" s="36"/>
      <c r="E4" s="36"/>
      <c r="F4" s="36"/>
      <c r="G4" s="30"/>
      <c r="H4" s="8" t="s">
        <v>2</v>
      </c>
      <c r="I4" s="9" t="s">
        <v>3</v>
      </c>
    </row>
    <row r="5" spans="1:13" x14ac:dyDescent="0.2">
      <c r="A5" s="45"/>
      <c r="B5" s="47"/>
      <c r="C5" s="14"/>
      <c r="D5" s="36"/>
      <c r="E5" s="36"/>
      <c r="F5" s="36"/>
      <c r="G5" s="31" t="s">
        <v>4</v>
      </c>
      <c r="H5" s="10" t="s">
        <v>5</v>
      </c>
      <c r="I5" s="11" t="s">
        <v>5</v>
      </c>
    </row>
    <row r="6" spans="1:13" ht="10.8" thickBot="1" x14ac:dyDescent="0.25">
      <c r="A6" s="45"/>
      <c r="B6" s="47"/>
      <c r="C6" s="14"/>
      <c r="D6" s="36"/>
      <c r="E6" s="36"/>
      <c r="F6" s="36"/>
      <c r="G6" s="32" t="s">
        <v>6</v>
      </c>
      <c r="H6" s="12" t="s">
        <v>7</v>
      </c>
      <c r="I6" s="13" t="s">
        <v>7</v>
      </c>
    </row>
    <row r="7" spans="1:13" x14ac:dyDescent="0.2">
      <c r="A7" s="45"/>
      <c r="B7" s="46"/>
      <c r="C7" s="14"/>
      <c r="D7" s="36"/>
      <c r="E7" s="36"/>
      <c r="F7" s="36"/>
      <c r="G7" s="33">
        <v>35431</v>
      </c>
      <c r="H7" s="17">
        <v>35423</v>
      </c>
      <c r="I7" s="18">
        <v>35422</v>
      </c>
    </row>
    <row r="8" spans="1:13" x14ac:dyDescent="0.2">
      <c r="A8" s="45"/>
      <c r="B8" s="47"/>
      <c r="C8" s="48"/>
      <c r="D8" s="38"/>
      <c r="E8" s="38"/>
      <c r="F8" s="36"/>
      <c r="G8" s="34">
        <v>35462</v>
      </c>
      <c r="H8" s="19">
        <v>35457</v>
      </c>
      <c r="I8" s="20">
        <v>35454</v>
      </c>
    </row>
    <row r="9" spans="1:13" x14ac:dyDescent="0.2">
      <c r="A9" s="45"/>
      <c r="B9" s="47"/>
      <c r="C9" s="49"/>
      <c r="D9" s="39"/>
      <c r="E9" s="39"/>
      <c r="F9" s="36"/>
      <c r="G9" s="34">
        <v>35490</v>
      </c>
      <c r="H9" s="19">
        <v>35485</v>
      </c>
      <c r="I9" s="20">
        <v>35482</v>
      </c>
    </row>
    <row r="10" spans="1:13" x14ac:dyDescent="0.2">
      <c r="A10" s="45"/>
      <c r="B10" s="47"/>
      <c r="C10" s="14"/>
      <c r="D10" s="37"/>
      <c r="E10" s="37"/>
      <c r="F10" s="36"/>
      <c r="G10" s="34">
        <v>35521</v>
      </c>
      <c r="H10" s="19">
        <v>35513</v>
      </c>
      <c r="I10" s="20">
        <v>35510</v>
      </c>
    </row>
    <row r="11" spans="1:13" x14ac:dyDescent="0.2">
      <c r="A11" s="45"/>
      <c r="B11" s="47"/>
      <c r="C11" s="14"/>
      <c r="D11" s="37"/>
      <c r="E11" s="37"/>
      <c r="F11" s="36"/>
      <c r="G11" s="34">
        <v>35551</v>
      </c>
      <c r="H11" s="19">
        <v>35544</v>
      </c>
      <c r="I11" s="20">
        <v>35543</v>
      </c>
    </row>
    <row r="12" spans="1:13" x14ac:dyDescent="0.2">
      <c r="A12" s="45"/>
      <c r="B12" s="47"/>
      <c r="C12" s="14"/>
      <c r="D12" s="37"/>
      <c r="E12" s="37"/>
      <c r="F12" s="36"/>
      <c r="G12" s="34">
        <v>35582</v>
      </c>
      <c r="H12" s="19">
        <v>35578</v>
      </c>
      <c r="I12" s="20">
        <v>35577</v>
      </c>
    </row>
    <row r="13" spans="1:13" ht="10.8" x14ac:dyDescent="0.25">
      <c r="A13" s="45"/>
      <c r="B13" s="50"/>
      <c r="C13" s="51"/>
      <c r="D13" s="42"/>
      <c r="E13" s="42"/>
      <c r="F13" s="36"/>
      <c r="G13" s="34">
        <v>35612</v>
      </c>
      <c r="H13" s="19">
        <v>35607</v>
      </c>
      <c r="I13" s="20">
        <v>35606</v>
      </c>
    </row>
    <row r="14" spans="1:13" ht="10.8" x14ac:dyDescent="0.25">
      <c r="A14" s="36"/>
      <c r="B14" s="40"/>
      <c r="C14" s="41"/>
      <c r="D14" s="42"/>
      <c r="E14" s="42"/>
      <c r="F14" s="36"/>
      <c r="G14" s="34">
        <v>35643</v>
      </c>
      <c r="H14" s="19">
        <v>35640</v>
      </c>
      <c r="I14" s="20">
        <v>35639</v>
      </c>
    </row>
    <row r="15" spans="1:13" ht="10.8" x14ac:dyDescent="0.25">
      <c r="A15" s="36"/>
      <c r="B15" s="40"/>
      <c r="C15" s="41"/>
      <c r="D15" s="42"/>
      <c r="E15" s="42"/>
      <c r="F15" s="36"/>
      <c r="G15" s="34">
        <v>35674</v>
      </c>
      <c r="H15" s="19">
        <v>35669</v>
      </c>
      <c r="I15" s="20">
        <v>35668</v>
      </c>
    </row>
    <row r="16" spans="1:13" ht="10.8" x14ac:dyDescent="0.25">
      <c r="A16" s="36"/>
      <c r="B16" s="40"/>
      <c r="C16" s="41"/>
      <c r="D16" s="42"/>
      <c r="E16" s="42"/>
      <c r="F16" s="36"/>
      <c r="G16" s="34">
        <v>35704</v>
      </c>
      <c r="H16" s="19">
        <v>35699</v>
      </c>
      <c r="I16" s="20">
        <v>35698</v>
      </c>
    </row>
    <row r="17" spans="1:9" ht="10.8" x14ac:dyDescent="0.25">
      <c r="A17" s="43"/>
      <c r="B17" s="40"/>
      <c r="C17" s="41"/>
      <c r="D17" s="42"/>
      <c r="E17" s="42"/>
      <c r="F17" s="36"/>
      <c r="G17" s="34">
        <v>35735</v>
      </c>
      <c r="H17" s="19">
        <v>35732</v>
      </c>
      <c r="I17" s="20">
        <v>35731</v>
      </c>
    </row>
    <row r="18" spans="1:9" ht="10.8" x14ac:dyDescent="0.25">
      <c r="A18" s="43"/>
      <c r="B18" s="40"/>
      <c r="C18" s="41"/>
      <c r="D18" s="42"/>
      <c r="E18" s="42"/>
      <c r="F18" s="36"/>
      <c r="G18" s="34">
        <v>35765</v>
      </c>
      <c r="H18" s="19">
        <v>35758</v>
      </c>
      <c r="I18" s="20">
        <v>35755</v>
      </c>
    </row>
    <row r="19" spans="1:9" ht="10.8" x14ac:dyDescent="0.25">
      <c r="A19" s="43"/>
      <c r="B19" s="40"/>
      <c r="C19" s="41"/>
      <c r="D19" s="42"/>
      <c r="E19" s="42"/>
      <c r="F19" s="36"/>
      <c r="G19" s="34">
        <v>35796</v>
      </c>
      <c r="H19" s="19">
        <v>35793</v>
      </c>
      <c r="I19" s="20">
        <v>35790</v>
      </c>
    </row>
    <row r="20" spans="1:9" ht="10.8" x14ac:dyDescent="0.25">
      <c r="A20" s="43"/>
      <c r="B20" s="40"/>
      <c r="C20" s="41"/>
      <c r="D20" s="42"/>
      <c r="E20" s="42"/>
      <c r="F20" s="36"/>
      <c r="G20" s="34">
        <v>35827</v>
      </c>
      <c r="H20" s="19">
        <v>35823</v>
      </c>
      <c r="I20" s="20">
        <v>35822</v>
      </c>
    </row>
    <row r="21" spans="1:9" ht="10.8" x14ac:dyDescent="0.25">
      <c r="A21" s="43"/>
      <c r="B21" s="40"/>
      <c r="C21" s="41"/>
      <c r="D21" s="42"/>
      <c r="E21" s="42"/>
      <c r="F21" s="36"/>
      <c r="G21" s="34">
        <v>35855</v>
      </c>
      <c r="H21" s="19">
        <v>35851</v>
      </c>
      <c r="I21" s="20">
        <v>35850</v>
      </c>
    </row>
    <row r="22" spans="1:9" ht="10.8" x14ac:dyDescent="0.25">
      <c r="A22" s="43"/>
      <c r="B22" s="40"/>
      <c r="C22" s="41"/>
      <c r="D22" s="42"/>
      <c r="E22" s="42"/>
      <c r="F22" s="36"/>
      <c r="G22" s="34">
        <v>35886</v>
      </c>
      <c r="H22" s="19">
        <v>35881</v>
      </c>
      <c r="I22" s="20">
        <v>35880</v>
      </c>
    </row>
    <row r="23" spans="1:9" ht="10.8" x14ac:dyDescent="0.25">
      <c r="A23" s="43"/>
      <c r="B23" s="40"/>
      <c r="C23" s="41"/>
      <c r="D23" s="42"/>
      <c r="E23" s="42"/>
      <c r="F23" s="36"/>
      <c r="G23" s="34">
        <v>35916</v>
      </c>
      <c r="H23" s="19">
        <v>35913</v>
      </c>
      <c r="I23" s="20">
        <v>35912</v>
      </c>
    </row>
    <row r="24" spans="1:9" ht="10.8" x14ac:dyDescent="0.25">
      <c r="A24" s="43"/>
      <c r="B24" s="40"/>
      <c r="C24" s="41"/>
      <c r="D24" s="42"/>
      <c r="E24" s="42"/>
      <c r="F24" s="36"/>
      <c r="G24" s="34">
        <v>35947</v>
      </c>
      <c r="H24" s="19">
        <v>35942</v>
      </c>
      <c r="I24" s="20">
        <v>35941</v>
      </c>
    </row>
    <row r="25" spans="1:9" ht="10.8" x14ac:dyDescent="0.25">
      <c r="A25" s="43"/>
      <c r="B25" s="40"/>
      <c r="C25" s="41"/>
      <c r="D25" s="42"/>
      <c r="E25" s="42"/>
      <c r="F25" s="36"/>
      <c r="G25" s="34">
        <v>35977</v>
      </c>
      <c r="H25" s="19">
        <v>35972</v>
      </c>
      <c r="I25" s="20">
        <v>35971</v>
      </c>
    </row>
    <row r="26" spans="1:9" ht="10.8" x14ac:dyDescent="0.25">
      <c r="A26" s="43"/>
      <c r="B26" s="40"/>
      <c r="C26" s="41"/>
      <c r="D26" s="42"/>
      <c r="E26" s="42"/>
      <c r="F26" s="36"/>
      <c r="G26" s="34">
        <v>36008</v>
      </c>
      <c r="H26" s="19">
        <v>36005</v>
      </c>
      <c r="I26" s="20">
        <v>36004</v>
      </c>
    </row>
    <row r="27" spans="1:9" ht="10.8" x14ac:dyDescent="0.25">
      <c r="A27" s="43"/>
      <c r="B27" s="40"/>
      <c r="C27" s="41"/>
      <c r="D27" s="42"/>
      <c r="E27" s="42"/>
      <c r="F27" s="36"/>
      <c r="G27" s="34">
        <v>36039</v>
      </c>
      <c r="H27" s="19">
        <v>36034</v>
      </c>
      <c r="I27" s="20">
        <v>36033</v>
      </c>
    </row>
    <row r="28" spans="1:9" ht="10.8" x14ac:dyDescent="0.25">
      <c r="A28" s="43"/>
      <c r="B28" s="40"/>
      <c r="C28" s="41"/>
      <c r="D28" s="42"/>
      <c r="E28" s="42"/>
      <c r="F28" s="36"/>
      <c r="G28" s="34">
        <v>36069</v>
      </c>
      <c r="H28" s="19">
        <v>36066</v>
      </c>
      <c r="I28" s="20">
        <v>36063</v>
      </c>
    </row>
    <row r="29" spans="1:9" ht="10.8" x14ac:dyDescent="0.25">
      <c r="A29" s="43"/>
      <c r="B29" s="40"/>
      <c r="C29" s="41"/>
      <c r="D29" s="42"/>
      <c r="E29" s="42"/>
      <c r="F29" s="36"/>
      <c r="G29" s="34">
        <v>36100</v>
      </c>
      <c r="H29" s="19">
        <v>36096</v>
      </c>
      <c r="I29" s="20">
        <v>36095</v>
      </c>
    </row>
    <row r="30" spans="1:9" ht="10.8" x14ac:dyDescent="0.25">
      <c r="A30" s="43"/>
      <c r="B30" s="40"/>
      <c r="C30" s="41"/>
      <c r="D30" s="42"/>
      <c r="E30" s="42"/>
      <c r="F30" s="36"/>
      <c r="G30" s="34">
        <v>36130</v>
      </c>
      <c r="H30" s="19">
        <v>36124</v>
      </c>
      <c r="I30" s="20">
        <v>36123</v>
      </c>
    </row>
    <row r="31" spans="1:9" ht="10.8" x14ac:dyDescent="0.25">
      <c r="A31" s="43"/>
      <c r="B31" s="40"/>
      <c r="C31" s="41"/>
      <c r="D31" s="42"/>
      <c r="E31" s="42"/>
      <c r="F31" s="36"/>
      <c r="G31" s="34">
        <v>36161</v>
      </c>
      <c r="H31" s="19">
        <v>36158</v>
      </c>
      <c r="I31" s="20">
        <v>36157</v>
      </c>
    </row>
    <row r="32" spans="1:9" ht="10.8" x14ac:dyDescent="0.25">
      <c r="A32" s="43"/>
      <c r="B32" s="40"/>
      <c r="C32" s="41"/>
      <c r="D32" s="42"/>
      <c r="E32" s="42"/>
      <c r="F32" s="36"/>
      <c r="G32" s="34">
        <v>36192</v>
      </c>
      <c r="H32" s="19">
        <v>36187</v>
      </c>
      <c r="I32" s="20">
        <v>36186</v>
      </c>
    </row>
    <row r="33" spans="1:9" ht="10.8" x14ac:dyDescent="0.25">
      <c r="A33" s="43"/>
      <c r="B33" s="40"/>
      <c r="C33" s="41"/>
      <c r="D33" s="42"/>
      <c r="E33" s="42"/>
      <c r="F33" s="36"/>
      <c r="G33" s="34">
        <v>36220</v>
      </c>
      <c r="H33" s="19">
        <v>36215</v>
      </c>
      <c r="I33" s="20">
        <v>36214</v>
      </c>
    </row>
    <row r="34" spans="1:9" ht="10.8" x14ac:dyDescent="0.25">
      <c r="A34" s="43"/>
      <c r="B34" s="40"/>
      <c r="C34" s="41"/>
      <c r="D34" s="42"/>
      <c r="E34" s="42"/>
      <c r="F34" s="36"/>
      <c r="G34" s="34">
        <v>36251</v>
      </c>
      <c r="H34" s="19">
        <v>36248</v>
      </c>
      <c r="I34" s="20">
        <v>36245</v>
      </c>
    </row>
    <row r="35" spans="1:9" ht="10.8" x14ac:dyDescent="0.25">
      <c r="A35" s="43"/>
      <c r="B35" s="40"/>
      <c r="C35" s="41"/>
      <c r="D35" s="42"/>
      <c r="E35" s="42"/>
      <c r="F35" s="36"/>
      <c r="G35" s="34">
        <v>36281</v>
      </c>
      <c r="H35" s="19">
        <v>36278</v>
      </c>
      <c r="I35" s="20">
        <v>36277</v>
      </c>
    </row>
    <row r="36" spans="1:9" ht="10.8" x14ac:dyDescent="0.25">
      <c r="A36" s="43"/>
      <c r="B36" s="40"/>
      <c r="C36" s="41"/>
      <c r="D36" s="42"/>
      <c r="E36" s="42"/>
      <c r="F36" s="36"/>
      <c r="G36" s="34">
        <v>36312</v>
      </c>
      <c r="H36" s="19">
        <v>36306</v>
      </c>
      <c r="I36" s="20">
        <v>36305</v>
      </c>
    </row>
    <row r="37" spans="1:9" ht="10.8" x14ac:dyDescent="0.25">
      <c r="A37" s="43"/>
      <c r="B37" s="40"/>
      <c r="C37" s="41"/>
      <c r="D37" s="42"/>
      <c r="E37" s="42"/>
      <c r="F37" s="36"/>
      <c r="G37" s="34">
        <v>36342</v>
      </c>
      <c r="H37" s="19">
        <v>36339</v>
      </c>
      <c r="I37" s="20">
        <v>36336</v>
      </c>
    </row>
    <row r="38" spans="1:9" ht="10.8" x14ac:dyDescent="0.25">
      <c r="A38" s="43"/>
      <c r="B38" s="40"/>
      <c r="C38" s="41"/>
      <c r="D38" s="42"/>
      <c r="E38" s="42"/>
      <c r="F38" s="36"/>
      <c r="G38" s="34">
        <v>36373</v>
      </c>
      <c r="H38" s="19">
        <v>36369</v>
      </c>
      <c r="I38" s="20">
        <v>36368</v>
      </c>
    </row>
    <row r="39" spans="1:9" ht="10.8" x14ac:dyDescent="0.25">
      <c r="A39" s="43"/>
      <c r="B39" s="40"/>
      <c r="C39" s="41"/>
      <c r="D39" s="42"/>
      <c r="E39" s="42"/>
      <c r="F39" s="36"/>
      <c r="G39" s="34">
        <v>36404</v>
      </c>
      <c r="H39" s="19">
        <v>36399</v>
      </c>
      <c r="I39" s="20">
        <v>36398</v>
      </c>
    </row>
    <row r="40" spans="1:9" ht="10.8" x14ac:dyDescent="0.25">
      <c r="A40" s="43"/>
      <c r="B40" s="40"/>
      <c r="C40" s="41"/>
      <c r="D40" s="42"/>
      <c r="E40" s="42"/>
      <c r="F40" s="36"/>
      <c r="G40" s="34">
        <v>36434</v>
      </c>
      <c r="H40" s="19">
        <v>36431</v>
      </c>
      <c r="I40" s="20">
        <v>36430</v>
      </c>
    </row>
    <row r="41" spans="1:9" ht="10.8" x14ac:dyDescent="0.25">
      <c r="A41" s="43"/>
      <c r="B41" s="40"/>
      <c r="C41" s="41"/>
      <c r="D41" s="42"/>
      <c r="E41" s="42"/>
      <c r="F41" s="36"/>
      <c r="G41" s="34">
        <v>36465</v>
      </c>
      <c r="H41" s="19">
        <v>36460</v>
      </c>
      <c r="I41" s="20">
        <v>36459</v>
      </c>
    </row>
    <row r="42" spans="1:9" ht="10.8" x14ac:dyDescent="0.25">
      <c r="A42" s="43"/>
      <c r="B42" s="40"/>
      <c r="C42" s="41"/>
      <c r="D42" s="42"/>
      <c r="E42" s="42"/>
      <c r="F42" s="36"/>
      <c r="G42" s="34">
        <v>36495</v>
      </c>
      <c r="H42" s="19">
        <v>36488</v>
      </c>
      <c r="I42" s="20">
        <v>36487</v>
      </c>
    </row>
    <row r="43" spans="1:9" ht="10.8" x14ac:dyDescent="0.25">
      <c r="A43" s="43"/>
      <c r="B43" s="40"/>
      <c r="C43" s="41"/>
      <c r="D43" s="42"/>
      <c r="E43" s="42"/>
      <c r="F43" s="36"/>
      <c r="G43" s="34">
        <v>36526</v>
      </c>
      <c r="H43" s="19">
        <v>36522</v>
      </c>
      <c r="I43" s="20">
        <v>36522</v>
      </c>
    </row>
    <row r="44" spans="1:9" ht="10.8" x14ac:dyDescent="0.25">
      <c r="A44" s="43"/>
      <c r="B44" s="40"/>
      <c r="C44" s="41"/>
      <c r="D44" s="42"/>
      <c r="E44" s="42"/>
      <c r="F44" s="36"/>
      <c r="G44" s="34">
        <v>36557</v>
      </c>
      <c r="H44" s="19">
        <v>36552</v>
      </c>
      <c r="I44" s="20">
        <v>36551</v>
      </c>
    </row>
    <row r="45" spans="1:9" ht="10.8" x14ac:dyDescent="0.25">
      <c r="A45" s="43"/>
      <c r="B45" s="40"/>
      <c r="C45" s="41"/>
      <c r="D45" s="42"/>
      <c r="E45" s="42"/>
      <c r="F45" s="36"/>
      <c r="G45" s="34">
        <v>36586</v>
      </c>
      <c r="H45" s="19">
        <v>36581</v>
      </c>
      <c r="I45" s="20">
        <v>36580</v>
      </c>
    </row>
    <row r="46" spans="1:9" ht="10.8" x14ac:dyDescent="0.25">
      <c r="A46" s="43"/>
      <c r="B46" s="40"/>
      <c r="C46" s="41"/>
      <c r="D46" s="42"/>
      <c r="E46" s="42"/>
      <c r="F46" s="36"/>
      <c r="G46" s="34">
        <v>36617</v>
      </c>
      <c r="H46" s="19">
        <v>36614</v>
      </c>
      <c r="I46" s="20">
        <v>36613</v>
      </c>
    </row>
    <row r="47" spans="1:9" ht="10.8" x14ac:dyDescent="0.25">
      <c r="A47" s="43"/>
      <c r="B47" s="40"/>
      <c r="C47" s="41"/>
      <c r="D47" s="42"/>
      <c r="E47" s="42"/>
      <c r="F47" s="36"/>
      <c r="G47" s="34">
        <v>36647</v>
      </c>
      <c r="H47" s="19">
        <v>36642</v>
      </c>
      <c r="I47" s="20">
        <v>36641</v>
      </c>
    </row>
    <row r="48" spans="1:9" ht="10.8" x14ac:dyDescent="0.25">
      <c r="A48" s="43"/>
      <c r="B48" s="40"/>
      <c r="C48" s="41"/>
      <c r="D48" s="42"/>
      <c r="E48" s="42"/>
      <c r="F48" s="36"/>
      <c r="G48" s="34">
        <v>36678</v>
      </c>
      <c r="H48" s="19">
        <v>36672</v>
      </c>
      <c r="I48" s="20">
        <v>36671</v>
      </c>
    </row>
    <row r="49" spans="1:10" ht="10.8" x14ac:dyDescent="0.25">
      <c r="A49" s="43"/>
      <c r="B49" s="40"/>
      <c r="C49" s="41"/>
      <c r="D49" s="42"/>
      <c r="E49" s="42"/>
      <c r="F49" s="36"/>
      <c r="G49" s="34">
        <v>36708</v>
      </c>
      <c r="H49" s="19">
        <v>36705</v>
      </c>
      <c r="I49" s="20">
        <v>36704</v>
      </c>
    </row>
    <row r="50" spans="1:10" ht="10.8" x14ac:dyDescent="0.25">
      <c r="A50" s="43"/>
      <c r="B50" s="40"/>
      <c r="C50" s="41"/>
      <c r="D50" s="42"/>
      <c r="E50" s="42"/>
      <c r="F50" s="36"/>
      <c r="G50" s="34">
        <v>36739</v>
      </c>
      <c r="H50" s="19">
        <v>36735</v>
      </c>
      <c r="I50" s="20">
        <v>36733</v>
      </c>
    </row>
    <row r="51" spans="1:10" ht="10.8" x14ac:dyDescent="0.25">
      <c r="A51" s="43"/>
      <c r="B51" s="40"/>
      <c r="C51" s="41"/>
      <c r="D51" s="42"/>
      <c r="E51" s="42"/>
      <c r="F51" s="36"/>
      <c r="G51" s="34">
        <v>36770</v>
      </c>
      <c r="H51" s="19">
        <v>36768</v>
      </c>
      <c r="I51" s="20">
        <v>36766</v>
      </c>
    </row>
    <row r="52" spans="1:10" ht="10.8" x14ac:dyDescent="0.25">
      <c r="A52" s="43"/>
      <c r="B52" s="40"/>
      <c r="C52" s="41"/>
      <c r="D52" s="42"/>
      <c r="E52" s="42"/>
      <c r="F52" s="36"/>
      <c r="G52" s="34">
        <v>36800</v>
      </c>
      <c r="H52" s="19">
        <v>36797</v>
      </c>
      <c r="I52" s="20">
        <v>36795</v>
      </c>
    </row>
    <row r="53" spans="1:10" ht="10.8" x14ac:dyDescent="0.25">
      <c r="A53" s="43"/>
      <c r="B53" s="40"/>
      <c r="C53" s="41"/>
      <c r="D53" s="42"/>
      <c r="E53" s="42"/>
      <c r="F53" s="36"/>
      <c r="G53" s="34">
        <v>36831</v>
      </c>
      <c r="H53" s="19">
        <v>36827</v>
      </c>
      <c r="I53" s="20">
        <v>36827</v>
      </c>
    </row>
    <row r="54" spans="1:10" ht="10.8" x14ac:dyDescent="0.25">
      <c r="A54" s="43"/>
      <c r="B54" s="40"/>
      <c r="C54" s="41"/>
      <c r="D54" s="42"/>
      <c r="E54" s="42"/>
      <c r="F54" s="36"/>
      <c r="G54" s="34">
        <v>36861</v>
      </c>
      <c r="H54" s="19">
        <v>36858</v>
      </c>
      <c r="I54" s="20">
        <v>36857</v>
      </c>
    </row>
    <row r="55" spans="1:10" ht="10.8" x14ac:dyDescent="0.25">
      <c r="A55" s="43"/>
      <c r="B55" s="40"/>
      <c r="C55" s="41"/>
      <c r="D55" s="42"/>
      <c r="E55" s="42"/>
      <c r="F55" s="36"/>
      <c r="G55" s="34">
        <v>36892</v>
      </c>
      <c r="H55" s="19">
        <v>36888</v>
      </c>
      <c r="I55" s="20">
        <v>36888</v>
      </c>
    </row>
    <row r="56" spans="1:10" ht="10.8" x14ac:dyDescent="0.25">
      <c r="A56" s="43"/>
      <c r="B56" s="40"/>
      <c r="C56" s="41"/>
      <c r="D56" s="42"/>
      <c r="E56" s="42"/>
      <c r="F56" s="36"/>
      <c r="G56" s="34">
        <v>36923</v>
      </c>
      <c r="H56" s="19">
        <v>36921</v>
      </c>
      <c r="I56" s="20">
        <v>36917</v>
      </c>
      <c r="J56" s="204">
        <f t="shared" ref="J56:J119" si="0">WORKDAY(H56,1)</f>
        <v>36922</v>
      </c>
    </row>
    <row r="57" spans="1:10" ht="10.8" x14ac:dyDescent="0.25">
      <c r="A57" s="43"/>
      <c r="B57" s="40"/>
      <c r="C57" s="41"/>
      <c r="D57" s="42"/>
      <c r="E57" s="42"/>
      <c r="F57" s="36"/>
      <c r="G57" s="34">
        <v>36951</v>
      </c>
      <c r="H57" s="19">
        <v>36948</v>
      </c>
      <c r="I57" s="20">
        <v>36945</v>
      </c>
      <c r="J57" s="204">
        <f t="shared" si="0"/>
        <v>36949</v>
      </c>
    </row>
    <row r="58" spans="1:10" ht="10.8" x14ac:dyDescent="0.25">
      <c r="A58" s="43"/>
      <c r="B58" s="40"/>
      <c r="C58" s="41"/>
      <c r="D58" s="42"/>
      <c r="E58" s="42"/>
      <c r="F58" s="36"/>
      <c r="G58" s="34">
        <v>36982</v>
      </c>
      <c r="H58" s="19">
        <v>36978</v>
      </c>
      <c r="I58" s="20">
        <v>36977</v>
      </c>
      <c r="J58" s="204">
        <f t="shared" si="0"/>
        <v>36979</v>
      </c>
    </row>
    <row r="59" spans="1:10" ht="10.8" x14ac:dyDescent="0.25">
      <c r="A59" s="43"/>
      <c r="B59" s="40"/>
      <c r="C59" s="41"/>
      <c r="D59" s="42"/>
      <c r="E59" s="42"/>
      <c r="F59" s="36"/>
      <c r="G59" s="34">
        <v>37012</v>
      </c>
      <c r="H59" s="19">
        <v>37008</v>
      </c>
      <c r="I59" s="20">
        <v>37006</v>
      </c>
      <c r="J59" s="204">
        <f t="shared" si="0"/>
        <v>37011</v>
      </c>
    </row>
    <row r="60" spans="1:10" ht="10.8" x14ac:dyDescent="0.25">
      <c r="A60" s="43"/>
      <c r="B60" s="40"/>
      <c r="C60" s="41"/>
      <c r="D60" s="42"/>
      <c r="E60" s="42"/>
      <c r="F60" s="36"/>
      <c r="G60" s="34">
        <v>37043</v>
      </c>
      <c r="H60" s="19">
        <v>37041</v>
      </c>
      <c r="I60" s="20">
        <v>37036</v>
      </c>
      <c r="J60" s="204">
        <f t="shared" si="0"/>
        <v>37042</v>
      </c>
    </row>
    <row r="61" spans="1:10" ht="10.8" x14ac:dyDescent="0.25">
      <c r="A61" s="43"/>
      <c r="B61" s="40"/>
      <c r="C61" s="41"/>
      <c r="D61" s="42"/>
      <c r="E61" s="42"/>
      <c r="F61" s="36"/>
      <c r="G61" s="34">
        <v>37073</v>
      </c>
      <c r="H61" s="19">
        <v>37069</v>
      </c>
      <c r="I61" s="20">
        <v>37068</v>
      </c>
      <c r="J61" s="204">
        <f t="shared" si="0"/>
        <v>37070</v>
      </c>
    </row>
    <row r="62" spans="1:10" ht="10.8" x14ac:dyDescent="0.25">
      <c r="A62" s="43"/>
      <c r="B62" s="40"/>
      <c r="C62" s="41"/>
      <c r="D62" s="42"/>
      <c r="E62" s="42"/>
      <c r="F62" s="36"/>
      <c r="G62" s="34">
        <v>37104</v>
      </c>
      <c r="H62" s="19">
        <v>37100</v>
      </c>
      <c r="I62" s="20">
        <v>37098</v>
      </c>
      <c r="J62" s="204">
        <f t="shared" si="0"/>
        <v>37102</v>
      </c>
    </row>
    <row r="63" spans="1:10" ht="10.8" x14ac:dyDescent="0.25">
      <c r="A63" s="43"/>
      <c r="B63" s="40"/>
      <c r="C63" s="41"/>
      <c r="D63" s="42"/>
      <c r="E63" s="42"/>
      <c r="F63" s="36"/>
      <c r="G63" s="34">
        <v>37135</v>
      </c>
      <c r="H63" s="19">
        <v>37132</v>
      </c>
      <c r="I63" s="20">
        <v>37131</v>
      </c>
      <c r="J63" s="204">
        <f t="shared" si="0"/>
        <v>37133</v>
      </c>
    </row>
    <row r="64" spans="1:10" ht="10.8" x14ac:dyDescent="0.25">
      <c r="A64" s="43"/>
      <c r="B64" s="40"/>
      <c r="C64" s="41"/>
      <c r="D64" s="42"/>
      <c r="E64" s="42"/>
      <c r="F64" s="36"/>
      <c r="G64" s="34">
        <v>37165</v>
      </c>
      <c r="H64" s="19">
        <v>37160</v>
      </c>
      <c r="I64" s="20">
        <v>37159</v>
      </c>
      <c r="J64" s="204">
        <f t="shared" si="0"/>
        <v>37161</v>
      </c>
    </row>
    <row r="65" spans="1:10" ht="10.8" x14ac:dyDescent="0.25">
      <c r="A65" s="43"/>
      <c r="B65" s="40"/>
      <c r="C65" s="41"/>
      <c r="D65" s="42"/>
      <c r="E65" s="42"/>
      <c r="F65" s="36"/>
      <c r="G65" s="34">
        <v>37196</v>
      </c>
      <c r="H65" s="19">
        <v>37193</v>
      </c>
      <c r="I65" s="20">
        <v>37190</v>
      </c>
      <c r="J65" s="204">
        <f t="shared" si="0"/>
        <v>37194</v>
      </c>
    </row>
    <row r="66" spans="1:10" ht="10.8" x14ac:dyDescent="0.25">
      <c r="A66" s="43"/>
      <c r="B66" s="40"/>
      <c r="C66" s="41"/>
      <c r="D66" s="42"/>
      <c r="E66" s="42"/>
      <c r="F66" s="36"/>
      <c r="G66" s="34">
        <v>37226</v>
      </c>
      <c r="H66" s="19">
        <v>37223</v>
      </c>
      <c r="I66" s="20">
        <v>37222</v>
      </c>
      <c r="J66" s="204">
        <f t="shared" si="0"/>
        <v>37224</v>
      </c>
    </row>
    <row r="67" spans="1:10" ht="10.8" x14ac:dyDescent="0.25">
      <c r="A67" s="43"/>
      <c r="B67" s="40"/>
      <c r="C67" s="41"/>
      <c r="D67" s="42"/>
      <c r="E67" s="42"/>
      <c r="F67" s="36"/>
      <c r="G67" s="34">
        <v>37257</v>
      </c>
      <c r="H67" s="19">
        <v>37252</v>
      </c>
      <c r="I67" s="20">
        <v>37251</v>
      </c>
      <c r="J67" s="204">
        <f t="shared" si="0"/>
        <v>37253</v>
      </c>
    </row>
    <row r="68" spans="1:10" ht="10.8" x14ac:dyDescent="0.25">
      <c r="A68" s="43"/>
      <c r="B68" s="40"/>
      <c r="C68" s="41"/>
      <c r="D68" s="42"/>
      <c r="E68" s="42"/>
      <c r="F68" s="36"/>
      <c r="G68" s="34">
        <v>37288</v>
      </c>
      <c r="H68" s="19">
        <v>37285</v>
      </c>
      <c r="I68" s="20">
        <v>37284</v>
      </c>
      <c r="J68" s="204">
        <f t="shared" si="0"/>
        <v>37286</v>
      </c>
    </row>
    <row r="69" spans="1:10" ht="10.8" x14ac:dyDescent="0.25">
      <c r="A69" s="43"/>
      <c r="B69" s="40"/>
      <c r="C69" s="41"/>
      <c r="D69" s="42"/>
      <c r="E69" s="42"/>
      <c r="F69" s="36"/>
      <c r="G69" s="34">
        <v>37316</v>
      </c>
      <c r="H69" s="19">
        <v>37313</v>
      </c>
      <c r="I69" s="20">
        <v>37312</v>
      </c>
      <c r="J69" s="204">
        <f t="shared" si="0"/>
        <v>37314</v>
      </c>
    </row>
    <row r="70" spans="1:10" ht="10.8" x14ac:dyDescent="0.25">
      <c r="A70" s="43"/>
      <c r="B70" s="40"/>
      <c r="C70" s="41"/>
      <c r="D70" s="42"/>
      <c r="E70" s="42"/>
      <c r="F70" s="36"/>
      <c r="G70" s="34">
        <v>37347</v>
      </c>
      <c r="H70" s="19">
        <v>37341</v>
      </c>
      <c r="I70" s="20">
        <v>37340</v>
      </c>
      <c r="J70" s="204">
        <f t="shared" si="0"/>
        <v>37342</v>
      </c>
    </row>
    <row r="71" spans="1:10" ht="10.8" x14ac:dyDescent="0.25">
      <c r="A71" s="43"/>
      <c r="B71" s="40"/>
      <c r="C71" s="41"/>
      <c r="D71" s="42"/>
      <c r="E71" s="42"/>
      <c r="F71" s="36"/>
      <c r="G71" s="34">
        <v>37377</v>
      </c>
      <c r="H71" s="19">
        <v>37372</v>
      </c>
      <c r="I71" s="20">
        <v>37371</v>
      </c>
      <c r="J71" s="204">
        <f t="shared" si="0"/>
        <v>37375</v>
      </c>
    </row>
    <row r="72" spans="1:10" ht="10.8" x14ac:dyDescent="0.25">
      <c r="A72" s="43"/>
      <c r="B72" s="40"/>
      <c r="C72" s="41"/>
      <c r="D72" s="42"/>
      <c r="E72" s="42"/>
      <c r="F72" s="36"/>
      <c r="G72" s="34">
        <v>37408</v>
      </c>
      <c r="H72" s="19">
        <v>37405</v>
      </c>
      <c r="I72" s="20">
        <v>37404</v>
      </c>
      <c r="J72" s="204">
        <f t="shared" si="0"/>
        <v>37406</v>
      </c>
    </row>
    <row r="73" spans="1:10" ht="10.8" x14ac:dyDescent="0.25">
      <c r="A73" s="43"/>
      <c r="B73" s="40"/>
      <c r="C73" s="41"/>
      <c r="D73" s="42"/>
      <c r="E73" s="42"/>
      <c r="F73" s="36"/>
      <c r="G73" s="34">
        <v>37438</v>
      </c>
      <c r="H73" s="19">
        <v>37433</v>
      </c>
      <c r="I73" s="20">
        <v>37432</v>
      </c>
      <c r="J73" s="204">
        <f t="shared" si="0"/>
        <v>37434</v>
      </c>
    </row>
    <row r="74" spans="1:10" ht="10.8" x14ac:dyDescent="0.25">
      <c r="A74" s="43"/>
      <c r="B74" s="40"/>
      <c r="C74" s="41"/>
      <c r="D74" s="42"/>
      <c r="E74" s="42"/>
      <c r="F74" s="36"/>
      <c r="G74" s="34">
        <v>37469</v>
      </c>
      <c r="H74" s="19">
        <v>37466</v>
      </c>
      <c r="I74" s="20">
        <v>37463</v>
      </c>
      <c r="J74" s="204">
        <f t="shared" si="0"/>
        <v>37467</v>
      </c>
    </row>
    <row r="75" spans="1:10" ht="10.8" x14ac:dyDescent="0.25">
      <c r="A75" s="43"/>
      <c r="B75" s="40"/>
      <c r="C75" s="41"/>
      <c r="D75" s="42"/>
      <c r="E75" s="42"/>
      <c r="F75" s="36"/>
      <c r="G75" s="34">
        <v>37500</v>
      </c>
      <c r="H75" s="19">
        <v>37496</v>
      </c>
      <c r="I75" s="20">
        <v>37495</v>
      </c>
      <c r="J75" s="204">
        <f t="shared" si="0"/>
        <v>37497</v>
      </c>
    </row>
    <row r="76" spans="1:10" ht="10.8" x14ac:dyDescent="0.25">
      <c r="A76" s="43"/>
      <c r="B76" s="40"/>
      <c r="C76" s="41"/>
      <c r="D76" s="42"/>
      <c r="E76" s="42"/>
      <c r="F76" s="36"/>
      <c r="G76" s="34">
        <v>37530</v>
      </c>
      <c r="H76" s="19">
        <v>37525</v>
      </c>
      <c r="I76" s="20">
        <v>37524</v>
      </c>
      <c r="J76" s="204">
        <f t="shared" si="0"/>
        <v>37526</v>
      </c>
    </row>
    <row r="77" spans="1:10" ht="10.8" x14ac:dyDescent="0.25">
      <c r="A77" s="43"/>
      <c r="B77" s="40"/>
      <c r="C77" s="41"/>
      <c r="D77" s="42"/>
      <c r="E77" s="42"/>
      <c r="F77" s="36"/>
      <c r="G77" s="34">
        <v>37561</v>
      </c>
      <c r="H77" s="19">
        <v>37558</v>
      </c>
      <c r="I77" s="20">
        <v>37557</v>
      </c>
      <c r="J77" s="204">
        <f t="shared" si="0"/>
        <v>37559</v>
      </c>
    </row>
    <row r="78" spans="1:10" ht="10.8" x14ac:dyDescent="0.25">
      <c r="A78" s="43"/>
      <c r="B78" s="40"/>
      <c r="C78" s="41"/>
      <c r="D78" s="42"/>
      <c r="E78" s="42"/>
      <c r="F78" s="36"/>
      <c r="G78" s="34">
        <v>37591</v>
      </c>
      <c r="H78" s="19">
        <v>37586</v>
      </c>
      <c r="I78" s="20">
        <v>37585</v>
      </c>
      <c r="J78" s="204">
        <f t="shared" si="0"/>
        <v>37587</v>
      </c>
    </row>
    <row r="79" spans="1:10" ht="10.8" x14ac:dyDescent="0.25">
      <c r="A79" s="43"/>
      <c r="B79" s="40"/>
      <c r="C79" s="41"/>
      <c r="D79" s="42"/>
      <c r="E79" s="42"/>
      <c r="F79" s="36"/>
      <c r="G79" s="34">
        <v>37622</v>
      </c>
      <c r="H79" s="19">
        <v>37617</v>
      </c>
      <c r="I79" s="20">
        <v>37616</v>
      </c>
      <c r="J79" s="204">
        <f t="shared" si="0"/>
        <v>37620</v>
      </c>
    </row>
    <row r="80" spans="1:10" ht="10.8" x14ac:dyDescent="0.25">
      <c r="A80" s="43"/>
      <c r="B80" s="40"/>
      <c r="C80" s="41"/>
      <c r="D80" s="42"/>
      <c r="E80" s="42"/>
      <c r="F80" s="36"/>
      <c r="G80" s="34">
        <v>37653</v>
      </c>
      <c r="H80" s="19">
        <v>37650</v>
      </c>
      <c r="I80" s="20">
        <v>37649</v>
      </c>
      <c r="J80" s="204">
        <f t="shared" si="0"/>
        <v>37651</v>
      </c>
    </row>
    <row r="81" spans="1:10" ht="10.8" x14ac:dyDescent="0.25">
      <c r="A81" s="43"/>
      <c r="B81" s="40"/>
      <c r="C81" s="41"/>
      <c r="D81" s="42"/>
      <c r="E81" s="42"/>
      <c r="F81" s="36"/>
      <c r="G81" s="34">
        <v>37681</v>
      </c>
      <c r="H81" s="19">
        <v>37678</v>
      </c>
      <c r="I81" s="20">
        <v>37677</v>
      </c>
      <c r="J81" s="204">
        <f t="shared" si="0"/>
        <v>37679</v>
      </c>
    </row>
    <row r="82" spans="1:10" ht="10.8" x14ac:dyDescent="0.25">
      <c r="A82" s="43"/>
      <c r="B82" s="40"/>
      <c r="C82" s="41"/>
      <c r="D82" s="42"/>
      <c r="E82" s="42"/>
      <c r="F82" s="36"/>
      <c r="G82" s="34">
        <v>37712</v>
      </c>
      <c r="H82" s="19">
        <v>37707</v>
      </c>
      <c r="I82" s="20">
        <v>37706</v>
      </c>
      <c r="J82" s="204">
        <f t="shared" si="0"/>
        <v>37708</v>
      </c>
    </row>
    <row r="83" spans="1:10" ht="10.8" x14ac:dyDescent="0.25">
      <c r="A83" s="43"/>
      <c r="B83" s="40"/>
      <c r="C83" s="41"/>
      <c r="D83" s="42"/>
      <c r="E83" s="42"/>
      <c r="F83" s="36"/>
      <c r="G83" s="34">
        <v>37742</v>
      </c>
      <c r="H83" s="19">
        <v>37739</v>
      </c>
      <c r="I83" s="20">
        <v>37736</v>
      </c>
      <c r="J83" s="204">
        <f t="shared" si="0"/>
        <v>37740</v>
      </c>
    </row>
    <row r="84" spans="1:10" ht="10.8" x14ac:dyDescent="0.25">
      <c r="A84" s="43"/>
      <c r="B84" s="40"/>
      <c r="C84" s="41"/>
      <c r="D84" s="42"/>
      <c r="E84" s="42"/>
      <c r="F84" s="36"/>
      <c r="G84" s="34">
        <v>37773</v>
      </c>
      <c r="H84" s="19">
        <v>37769</v>
      </c>
      <c r="I84" s="20">
        <v>37768</v>
      </c>
      <c r="J84" s="204">
        <f t="shared" si="0"/>
        <v>37770</v>
      </c>
    </row>
    <row r="85" spans="1:10" ht="10.8" x14ac:dyDescent="0.25">
      <c r="A85" s="43"/>
      <c r="B85" s="40"/>
      <c r="C85" s="41"/>
      <c r="D85" s="42"/>
      <c r="E85" s="42"/>
      <c r="F85" s="36"/>
      <c r="G85" s="34">
        <v>37803</v>
      </c>
      <c r="H85" s="19">
        <v>37798</v>
      </c>
      <c r="I85" s="20">
        <v>37797</v>
      </c>
      <c r="J85" s="204">
        <f t="shared" si="0"/>
        <v>37799</v>
      </c>
    </row>
    <row r="86" spans="1:10" ht="10.8" x14ac:dyDescent="0.25">
      <c r="A86" s="43"/>
      <c r="B86" s="40"/>
      <c r="C86" s="41"/>
      <c r="D86" s="42"/>
      <c r="E86" s="42"/>
      <c r="F86" s="36"/>
      <c r="G86" s="34">
        <v>37834</v>
      </c>
      <c r="H86" s="19">
        <v>37831</v>
      </c>
      <c r="I86" s="20">
        <v>37830</v>
      </c>
      <c r="J86" s="204">
        <f t="shared" si="0"/>
        <v>37832</v>
      </c>
    </row>
    <row r="87" spans="1:10" ht="10.8" x14ac:dyDescent="0.25">
      <c r="A87" s="43"/>
      <c r="B87" s="40"/>
      <c r="C87" s="41"/>
      <c r="D87" s="42"/>
      <c r="E87" s="42"/>
      <c r="F87" s="36"/>
      <c r="G87" s="34">
        <v>37865</v>
      </c>
      <c r="H87" s="19">
        <v>37860</v>
      </c>
      <c r="I87" s="20">
        <v>37859</v>
      </c>
      <c r="J87" s="204">
        <f t="shared" si="0"/>
        <v>37861</v>
      </c>
    </row>
    <row r="88" spans="1:10" ht="10.8" x14ac:dyDescent="0.25">
      <c r="A88" s="43"/>
      <c r="B88" s="40"/>
      <c r="C88" s="41"/>
      <c r="D88" s="42"/>
      <c r="E88" s="42"/>
      <c r="F88" s="36"/>
      <c r="G88" s="34">
        <v>37895</v>
      </c>
      <c r="H88" s="19">
        <v>37890</v>
      </c>
      <c r="I88" s="20">
        <v>37889</v>
      </c>
      <c r="J88" s="204">
        <f t="shared" si="0"/>
        <v>37893</v>
      </c>
    </row>
    <row r="89" spans="1:10" ht="10.8" x14ac:dyDescent="0.25">
      <c r="A89" s="43"/>
      <c r="B89" s="40"/>
      <c r="C89" s="41"/>
      <c r="D89" s="42"/>
      <c r="E89" s="42"/>
      <c r="F89" s="36"/>
      <c r="G89" s="34">
        <v>37926</v>
      </c>
      <c r="H89" s="19">
        <v>37923</v>
      </c>
      <c r="I89" s="20">
        <v>37922</v>
      </c>
      <c r="J89" s="204">
        <f t="shared" si="0"/>
        <v>37924</v>
      </c>
    </row>
    <row r="90" spans="1:10" ht="10.8" x14ac:dyDescent="0.25">
      <c r="A90" s="43"/>
      <c r="B90" s="40"/>
      <c r="C90" s="41"/>
      <c r="D90" s="42"/>
      <c r="E90" s="42"/>
      <c r="F90" s="36"/>
      <c r="G90" s="34">
        <v>37956</v>
      </c>
      <c r="H90" s="19">
        <v>37950</v>
      </c>
      <c r="I90" s="20">
        <v>37949</v>
      </c>
      <c r="J90" s="204">
        <f t="shared" si="0"/>
        <v>37951</v>
      </c>
    </row>
    <row r="91" spans="1:10" ht="10.8" x14ac:dyDescent="0.25">
      <c r="A91" s="43"/>
      <c r="B91" s="40"/>
      <c r="C91" s="41"/>
      <c r="D91" s="42"/>
      <c r="E91" s="42"/>
      <c r="F91" s="36"/>
      <c r="G91" s="34">
        <v>37987</v>
      </c>
      <c r="H91" s="19">
        <v>37984</v>
      </c>
      <c r="I91" s="20">
        <v>37981</v>
      </c>
      <c r="J91" s="204">
        <f t="shared" si="0"/>
        <v>37985</v>
      </c>
    </row>
    <row r="92" spans="1:10" ht="10.8" x14ac:dyDescent="0.25">
      <c r="A92" s="43"/>
      <c r="B92" s="40"/>
      <c r="C92" s="41"/>
      <c r="D92" s="42"/>
      <c r="E92" s="42"/>
      <c r="F92" s="36"/>
      <c r="G92" s="34">
        <v>38018</v>
      </c>
      <c r="H92" s="19">
        <v>38014</v>
      </c>
      <c r="I92" s="20">
        <v>38013</v>
      </c>
      <c r="J92" s="204">
        <f t="shared" si="0"/>
        <v>38015</v>
      </c>
    </row>
    <row r="93" spans="1:10" ht="10.8" x14ac:dyDescent="0.25">
      <c r="A93" s="43"/>
      <c r="B93" s="40"/>
      <c r="C93" s="41"/>
      <c r="D93" s="42"/>
      <c r="E93" s="42"/>
      <c r="F93" s="36"/>
      <c r="G93" s="34">
        <v>38047</v>
      </c>
      <c r="H93" s="19">
        <v>38042</v>
      </c>
      <c r="I93" s="20">
        <v>38041</v>
      </c>
      <c r="J93" s="204">
        <f t="shared" si="0"/>
        <v>38043</v>
      </c>
    </row>
    <row r="94" spans="1:10" ht="10.8" x14ac:dyDescent="0.25">
      <c r="A94" s="43"/>
      <c r="B94" s="40"/>
      <c r="C94" s="41"/>
      <c r="D94" s="42"/>
      <c r="E94" s="42"/>
      <c r="F94" s="36"/>
      <c r="G94" s="34">
        <v>38078</v>
      </c>
      <c r="H94" s="19">
        <v>38075</v>
      </c>
      <c r="I94" s="20">
        <v>38072</v>
      </c>
      <c r="J94" s="204">
        <f t="shared" si="0"/>
        <v>38076</v>
      </c>
    </row>
    <row r="95" spans="1:10" ht="10.8" x14ac:dyDescent="0.25">
      <c r="A95" s="43"/>
      <c r="B95" s="40"/>
      <c r="C95" s="41"/>
      <c r="D95" s="42"/>
      <c r="E95" s="42"/>
      <c r="F95" s="36"/>
      <c r="G95" s="34">
        <v>38108</v>
      </c>
      <c r="H95" s="19">
        <v>38105</v>
      </c>
      <c r="I95" s="20">
        <v>38104</v>
      </c>
      <c r="J95" s="204">
        <f t="shared" si="0"/>
        <v>38106</v>
      </c>
    </row>
    <row r="96" spans="1:10" ht="10.8" x14ac:dyDescent="0.25">
      <c r="A96" s="43"/>
      <c r="B96" s="40"/>
      <c r="C96" s="41"/>
      <c r="D96" s="42"/>
      <c r="E96" s="42"/>
      <c r="F96" s="36"/>
      <c r="G96" s="34">
        <v>38139</v>
      </c>
      <c r="H96" s="19">
        <v>38133</v>
      </c>
      <c r="I96" s="20">
        <v>38132</v>
      </c>
      <c r="J96" s="204">
        <f t="shared" si="0"/>
        <v>38134</v>
      </c>
    </row>
    <row r="97" spans="1:10" ht="10.8" x14ac:dyDescent="0.25">
      <c r="A97" s="43"/>
      <c r="B97" s="40"/>
      <c r="C97" s="41"/>
      <c r="D97" s="42"/>
      <c r="E97" s="42"/>
      <c r="F97" s="36"/>
      <c r="G97" s="34">
        <v>38169</v>
      </c>
      <c r="H97" s="19">
        <v>38166</v>
      </c>
      <c r="I97" s="20">
        <v>38163</v>
      </c>
      <c r="J97" s="204">
        <f t="shared" si="0"/>
        <v>38167</v>
      </c>
    </row>
    <row r="98" spans="1:10" ht="10.8" x14ac:dyDescent="0.25">
      <c r="A98" s="43"/>
      <c r="B98" s="40"/>
      <c r="C98" s="41"/>
      <c r="D98" s="42"/>
      <c r="E98" s="42"/>
      <c r="F98" s="36"/>
      <c r="G98" s="34">
        <v>38200</v>
      </c>
      <c r="H98" s="19">
        <v>38196</v>
      </c>
      <c r="I98" s="20">
        <v>38195</v>
      </c>
      <c r="J98" s="204">
        <f t="shared" si="0"/>
        <v>38197</v>
      </c>
    </row>
    <row r="99" spans="1:10" ht="10.8" x14ac:dyDescent="0.25">
      <c r="A99" s="43"/>
      <c r="B99" s="40"/>
      <c r="C99" s="41"/>
      <c r="D99" s="42"/>
      <c r="E99" s="42"/>
      <c r="F99" s="36"/>
      <c r="G99" s="34">
        <v>38231</v>
      </c>
      <c r="H99" s="19">
        <v>38226</v>
      </c>
      <c r="I99" s="20">
        <v>38225</v>
      </c>
      <c r="J99" s="204">
        <f t="shared" si="0"/>
        <v>38229</v>
      </c>
    </row>
    <row r="100" spans="1:10" ht="10.8" x14ac:dyDescent="0.25">
      <c r="A100" s="43"/>
      <c r="B100" s="40"/>
      <c r="C100" s="41"/>
      <c r="D100" s="42"/>
      <c r="E100" s="42"/>
      <c r="F100" s="36"/>
      <c r="G100" s="34">
        <v>38261</v>
      </c>
      <c r="H100" s="19">
        <v>38258</v>
      </c>
      <c r="I100" s="20">
        <v>38257</v>
      </c>
      <c r="J100" s="204">
        <f t="shared" si="0"/>
        <v>38259</v>
      </c>
    </row>
    <row r="101" spans="1:10" ht="10.8" x14ac:dyDescent="0.25">
      <c r="A101" s="43"/>
      <c r="B101" s="40"/>
      <c r="C101" s="41"/>
      <c r="D101" s="42"/>
      <c r="E101" s="42"/>
      <c r="F101" s="36"/>
      <c r="G101" s="34">
        <v>38292</v>
      </c>
      <c r="H101" s="19">
        <v>38287</v>
      </c>
      <c r="I101" s="20">
        <v>38286</v>
      </c>
      <c r="J101" s="204">
        <f t="shared" si="0"/>
        <v>38288</v>
      </c>
    </row>
    <row r="102" spans="1:10" ht="10.8" x14ac:dyDescent="0.25">
      <c r="A102" s="43"/>
      <c r="B102" s="40"/>
      <c r="C102" s="41"/>
      <c r="D102" s="42"/>
      <c r="E102" s="42"/>
      <c r="F102" s="36"/>
      <c r="G102" s="34">
        <v>38322</v>
      </c>
      <c r="H102" s="19">
        <v>38317</v>
      </c>
      <c r="I102" s="20">
        <v>38315</v>
      </c>
      <c r="J102" s="204">
        <f t="shared" si="0"/>
        <v>38320</v>
      </c>
    </row>
    <row r="103" spans="1:10" ht="10.8" x14ac:dyDescent="0.25">
      <c r="A103" s="43"/>
      <c r="B103" s="40"/>
      <c r="C103" s="41"/>
      <c r="D103" s="42"/>
      <c r="E103" s="42"/>
      <c r="F103" s="36"/>
      <c r="G103" s="34">
        <v>38353</v>
      </c>
      <c r="H103" s="19">
        <v>38349</v>
      </c>
      <c r="I103" s="20">
        <v>38348</v>
      </c>
      <c r="J103" s="204">
        <f t="shared" si="0"/>
        <v>38350</v>
      </c>
    </row>
    <row r="104" spans="1:10" ht="10.8" x14ac:dyDescent="0.25">
      <c r="A104" s="43"/>
      <c r="B104" s="40"/>
      <c r="C104" s="41"/>
      <c r="D104" s="42"/>
      <c r="E104" s="42"/>
      <c r="F104" s="36"/>
      <c r="G104" s="34">
        <v>38384</v>
      </c>
      <c r="H104" s="19">
        <v>38379</v>
      </c>
      <c r="I104" s="20">
        <v>38378</v>
      </c>
      <c r="J104" s="204">
        <f t="shared" si="0"/>
        <v>38380</v>
      </c>
    </row>
    <row r="105" spans="1:10" ht="10.8" x14ac:dyDescent="0.25">
      <c r="A105" s="43"/>
      <c r="B105" s="40"/>
      <c r="C105" s="41"/>
      <c r="D105" s="42"/>
      <c r="E105" s="42"/>
      <c r="F105" s="36"/>
      <c r="G105" s="34">
        <v>38412</v>
      </c>
      <c r="H105" s="19">
        <v>38407</v>
      </c>
      <c r="I105" s="20">
        <v>38406</v>
      </c>
      <c r="J105" s="204">
        <f t="shared" si="0"/>
        <v>38408</v>
      </c>
    </row>
    <row r="106" spans="1:10" ht="10.8" x14ac:dyDescent="0.25">
      <c r="A106" s="43"/>
      <c r="B106" s="40"/>
      <c r="C106" s="41"/>
      <c r="D106" s="42"/>
      <c r="E106" s="42"/>
      <c r="F106" s="36"/>
      <c r="G106" s="34">
        <v>38443</v>
      </c>
      <c r="H106" s="19">
        <v>38440</v>
      </c>
      <c r="I106" s="20">
        <v>38439</v>
      </c>
      <c r="J106" s="204">
        <f t="shared" si="0"/>
        <v>38441</v>
      </c>
    </row>
    <row r="107" spans="1:10" ht="10.8" x14ac:dyDescent="0.25">
      <c r="A107" s="43"/>
      <c r="B107" s="40"/>
      <c r="C107" s="41"/>
      <c r="D107" s="42"/>
      <c r="E107" s="42"/>
      <c r="F107" s="36"/>
      <c r="G107" s="34">
        <v>38473</v>
      </c>
      <c r="H107" s="19">
        <v>38469</v>
      </c>
      <c r="I107" s="20">
        <v>38468</v>
      </c>
      <c r="J107" s="204">
        <f t="shared" si="0"/>
        <v>38470</v>
      </c>
    </row>
    <row r="108" spans="1:10" ht="10.8" x14ac:dyDescent="0.25">
      <c r="A108" s="43"/>
      <c r="B108" s="40"/>
      <c r="C108" s="41"/>
      <c r="D108" s="42"/>
      <c r="E108" s="42"/>
      <c r="F108" s="36"/>
      <c r="G108" s="34">
        <v>38504</v>
      </c>
      <c r="H108" s="19">
        <v>38498</v>
      </c>
      <c r="I108" s="20">
        <v>38497</v>
      </c>
      <c r="J108" s="204">
        <f t="shared" si="0"/>
        <v>38499</v>
      </c>
    </row>
    <row r="109" spans="1:10" ht="10.8" x14ac:dyDescent="0.25">
      <c r="A109" s="43"/>
      <c r="B109" s="40"/>
      <c r="C109" s="41"/>
      <c r="D109" s="42"/>
      <c r="E109" s="42"/>
      <c r="F109" s="36"/>
      <c r="G109" s="34">
        <v>38534</v>
      </c>
      <c r="H109" s="19">
        <v>38531</v>
      </c>
      <c r="I109" s="20">
        <v>38530</v>
      </c>
      <c r="J109" s="204">
        <f t="shared" si="0"/>
        <v>38532</v>
      </c>
    </row>
    <row r="110" spans="1:10" ht="10.8" x14ac:dyDescent="0.25">
      <c r="A110" s="43"/>
      <c r="B110" s="40"/>
      <c r="C110" s="41"/>
      <c r="D110" s="42"/>
      <c r="E110" s="42"/>
      <c r="F110" s="36"/>
      <c r="G110" s="34">
        <v>38565</v>
      </c>
      <c r="H110" s="19">
        <v>38560</v>
      </c>
      <c r="I110" s="20">
        <v>38559</v>
      </c>
      <c r="J110" s="204">
        <f t="shared" si="0"/>
        <v>38561</v>
      </c>
    </row>
    <row r="111" spans="1:10" ht="10.8" x14ac:dyDescent="0.25">
      <c r="A111" s="43"/>
      <c r="B111" s="40"/>
      <c r="C111" s="41"/>
      <c r="D111" s="42"/>
      <c r="E111" s="42"/>
      <c r="F111" s="36"/>
      <c r="G111" s="34">
        <v>38596</v>
      </c>
      <c r="H111" s="19">
        <v>38593</v>
      </c>
      <c r="I111" s="20">
        <v>38590</v>
      </c>
      <c r="J111" s="204">
        <f t="shared" si="0"/>
        <v>38594</v>
      </c>
    </row>
    <row r="112" spans="1:10" ht="10.8" x14ac:dyDescent="0.25">
      <c r="A112" s="43"/>
      <c r="B112" s="40"/>
      <c r="C112" s="41"/>
      <c r="D112" s="42"/>
      <c r="E112" s="42"/>
      <c r="F112" s="36"/>
      <c r="G112" s="34">
        <v>38626</v>
      </c>
      <c r="H112" s="19">
        <v>38623</v>
      </c>
      <c r="I112" s="20">
        <v>38622</v>
      </c>
      <c r="J112" s="204">
        <f t="shared" si="0"/>
        <v>38624</v>
      </c>
    </row>
    <row r="113" spans="1:10" ht="10.8" x14ac:dyDescent="0.25">
      <c r="A113" s="43"/>
      <c r="B113" s="40"/>
      <c r="C113" s="41"/>
      <c r="D113" s="42"/>
      <c r="E113" s="42"/>
      <c r="F113" s="36"/>
      <c r="G113" s="34">
        <v>38657</v>
      </c>
      <c r="H113" s="19">
        <v>38652</v>
      </c>
      <c r="I113" s="20">
        <v>38651</v>
      </c>
      <c r="J113" s="204">
        <f t="shared" si="0"/>
        <v>38653</v>
      </c>
    </row>
    <row r="114" spans="1:10" ht="10.8" x14ac:dyDescent="0.25">
      <c r="A114" s="43"/>
      <c r="B114" s="40"/>
      <c r="C114" s="41"/>
      <c r="D114" s="42"/>
      <c r="E114" s="42"/>
      <c r="F114" s="36"/>
      <c r="G114" s="34">
        <v>38687</v>
      </c>
      <c r="H114" s="19">
        <v>38684</v>
      </c>
      <c r="I114" s="20">
        <v>38681</v>
      </c>
      <c r="J114" s="204">
        <f t="shared" si="0"/>
        <v>38685</v>
      </c>
    </row>
    <row r="115" spans="1:10" ht="10.8" x14ac:dyDescent="0.25">
      <c r="A115" s="43"/>
      <c r="B115" s="40"/>
      <c r="C115" s="41"/>
      <c r="D115" s="42"/>
      <c r="E115" s="42"/>
      <c r="F115" s="36"/>
      <c r="G115" s="34">
        <v>38718</v>
      </c>
      <c r="H115" s="19">
        <v>38714</v>
      </c>
      <c r="I115" s="20">
        <v>38713</v>
      </c>
      <c r="J115" s="204">
        <f t="shared" si="0"/>
        <v>38715</v>
      </c>
    </row>
    <row r="116" spans="1:10" ht="10.8" x14ac:dyDescent="0.25">
      <c r="A116" s="43"/>
      <c r="B116" s="40"/>
      <c r="C116" s="41"/>
      <c r="D116" s="42"/>
      <c r="E116" s="42"/>
      <c r="F116" s="36"/>
      <c r="G116" s="34">
        <v>38749</v>
      </c>
      <c r="H116" s="19">
        <v>38744</v>
      </c>
      <c r="I116" s="20">
        <v>38743</v>
      </c>
      <c r="J116" s="204">
        <f t="shared" si="0"/>
        <v>38747</v>
      </c>
    </row>
    <row r="117" spans="1:10" ht="10.8" x14ac:dyDescent="0.25">
      <c r="A117" s="43"/>
      <c r="B117" s="40"/>
      <c r="C117" s="41"/>
      <c r="D117" s="42"/>
      <c r="E117" s="42"/>
      <c r="F117" s="36"/>
      <c r="G117" s="34">
        <v>38777</v>
      </c>
      <c r="H117" s="19">
        <v>38772</v>
      </c>
      <c r="I117" s="20">
        <v>38771</v>
      </c>
      <c r="J117" s="204">
        <f t="shared" si="0"/>
        <v>38775</v>
      </c>
    </row>
    <row r="118" spans="1:10" ht="10.8" x14ac:dyDescent="0.25">
      <c r="A118" s="43"/>
      <c r="B118" s="40"/>
      <c r="C118" s="41"/>
      <c r="D118" s="42"/>
      <c r="E118" s="42"/>
      <c r="F118" s="36"/>
      <c r="G118" s="34">
        <v>38808</v>
      </c>
      <c r="H118" s="19">
        <v>38805</v>
      </c>
      <c r="I118" s="20">
        <v>38804</v>
      </c>
      <c r="J118" s="204">
        <f t="shared" si="0"/>
        <v>38806</v>
      </c>
    </row>
    <row r="119" spans="1:10" ht="10.8" x14ac:dyDescent="0.25">
      <c r="A119" s="43"/>
      <c r="B119" s="40"/>
      <c r="C119" s="41"/>
      <c r="D119" s="42"/>
      <c r="E119" s="42"/>
      <c r="F119" s="36"/>
      <c r="G119" s="34">
        <v>38838</v>
      </c>
      <c r="H119" s="19">
        <v>38833</v>
      </c>
      <c r="I119" s="20">
        <v>38832</v>
      </c>
      <c r="J119" s="204">
        <f t="shared" si="0"/>
        <v>38834</v>
      </c>
    </row>
    <row r="120" spans="1:10" ht="10.8" x14ac:dyDescent="0.25">
      <c r="A120" s="43"/>
      <c r="B120" s="40"/>
      <c r="C120" s="41"/>
      <c r="D120" s="42"/>
      <c r="E120" s="42"/>
      <c r="F120" s="36"/>
      <c r="G120" s="34">
        <v>38869</v>
      </c>
      <c r="H120" s="19">
        <v>38863</v>
      </c>
      <c r="I120" s="20">
        <v>38862</v>
      </c>
      <c r="J120" s="204">
        <f t="shared" ref="J120:J183" si="1">WORKDAY(H120,1)</f>
        <v>38866</v>
      </c>
    </row>
    <row r="121" spans="1:10" ht="10.8" x14ac:dyDescent="0.25">
      <c r="A121" s="43"/>
      <c r="B121" s="40"/>
      <c r="C121" s="41"/>
      <c r="D121" s="42"/>
      <c r="E121" s="42"/>
      <c r="F121" s="36"/>
      <c r="G121" s="34">
        <v>38899</v>
      </c>
      <c r="H121" s="19">
        <v>38896</v>
      </c>
      <c r="I121" s="20">
        <v>38895</v>
      </c>
      <c r="J121" s="204">
        <f t="shared" si="1"/>
        <v>38897</v>
      </c>
    </row>
    <row r="122" spans="1:10" ht="10.8" x14ac:dyDescent="0.25">
      <c r="A122" s="43"/>
      <c r="B122" s="40"/>
      <c r="C122" s="41"/>
      <c r="D122" s="42"/>
      <c r="E122" s="42"/>
      <c r="F122" s="36"/>
      <c r="G122" s="34">
        <v>38930</v>
      </c>
      <c r="H122" s="19">
        <v>38925</v>
      </c>
      <c r="I122" s="20">
        <v>38924</v>
      </c>
      <c r="J122" s="204">
        <f t="shared" si="1"/>
        <v>38926</v>
      </c>
    </row>
    <row r="123" spans="1:10" ht="10.8" x14ac:dyDescent="0.25">
      <c r="A123" s="43"/>
      <c r="B123" s="40"/>
      <c r="C123" s="41"/>
      <c r="D123" s="42"/>
      <c r="E123" s="42"/>
      <c r="F123" s="36"/>
      <c r="G123" s="34">
        <v>38961</v>
      </c>
      <c r="H123" s="19">
        <v>38958</v>
      </c>
      <c r="I123" s="20">
        <v>38957</v>
      </c>
      <c r="J123" s="204">
        <f t="shared" si="1"/>
        <v>38959</v>
      </c>
    </row>
    <row r="124" spans="1:10" ht="10.8" x14ac:dyDescent="0.25">
      <c r="A124" s="43"/>
      <c r="B124" s="40"/>
      <c r="C124" s="41"/>
      <c r="D124" s="42"/>
      <c r="E124" s="42"/>
      <c r="F124" s="36"/>
      <c r="G124" s="34">
        <v>38991</v>
      </c>
      <c r="H124" s="19">
        <v>38987</v>
      </c>
      <c r="I124" s="20">
        <v>38986</v>
      </c>
      <c r="J124" s="204">
        <f t="shared" si="1"/>
        <v>38988</v>
      </c>
    </row>
    <row r="125" spans="1:10" ht="10.8" x14ac:dyDescent="0.25">
      <c r="A125" s="43"/>
      <c r="B125" s="40"/>
      <c r="C125" s="41"/>
      <c r="D125" s="42"/>
      <c r="E125" s="42"/>
      <c r="F125" s="36"/>
      <c r="G125" s="34">
        <v>39022</v>
      </c>
      <c r="H125" s="19">
        <v>39017</v>
      </c>
      <c r="I125" s="20">
        <v>39016</v>
      </c>
      <c r="J125" s="204">
        <f t="shared" si="1"/>
        <v>39020</v>
      </c>
    </row>
    <row r="126" spans="1:10" ht="10.8" x14ac:dyDescent="0.25">
      <c r="A126" s="43"/>
      <c r="B126" s="40"/>
      <c r="C126" s="41"/>
      <c r="D126" s="42"/>
      <c r="E126" s="42"/>
      <c r="F126" s="36"/>
      <c r="G126" s="34">
        <v>39052</v>
      </c>
      <c r="H126" s="19">
        <v>39049</v>
      </c>
      <c r="I126" s="20">
        <v>39048</v>
      </c>
      <c r="J126" s="204">
        <f t="shared" si="1"/>
        <v>39050</v>
      </c>
    </row>
    <row r="127" spans="1:10" ht="10.8" x14ac:dyDescent="0.25">
      <c r="A127" s="43"/>
      <c r="B127" s="40"/>
      <c r="C127" s="41"/>
      <c r="D127" s="42"/>
      <c r="E127" s="42"/>
      <c r="F127" s="36"/>
      <c r="G127" s="34">
        <v>39083</v>
      </c>
      <c r="H127" s="19">
        <v>39078</v>
      </c>
      <c r="I127" s="20">
        <v>39077</v>
      </c>
      <c r="J127" s="204">
        <f t="shared" si="1"/>
        <v>39079</v>
      </c>
    </row>
    <row r="128" spans="1:10" ht="10.8" x14ac:dyDescent="0.25">
      <c r="A128" s="43"/>
      <c r="B128" s="40"/>
      <c r="C128" s="41"/>
      <c r="D128" s="42"/>
      <c r="E128" s="42"/>
      <c r="F128" s="36"/>
      <c r="G128" s="34">
        <v>39114</v>
      </c>
      <c r="H128" s="19">
        <v>39111</v>
      </c>
      <c r="I128" s="20">
        <v>39108</v>
      </c>
      <c r="J128" s="204">
        <f t="shared" si="1"/>
        <v>39112</v>
      </c>
    </row>
    <row r="129" spans="1:10" ht="10.8" x14ac:dyDescent="0.25">
      <c r="A129" s="43"/>
      <c r="B129" s="40"/>
      <c r="C129" s="41"/>
      <c r="D129" s="42"/>
      <c r="E129" s="42"/>
      <c r="F129" s="36"/>
      <c r="G129" s="34">
        <v>39142</v>
      </c>
      <c r="H129" s="19">
        <v>39139</v>
      </c>
      <c r="I129" s="20">
        <v>39136</v>
      </c>
      <c r="J129" s="204">
        <f t="shared" si="1"/>
        <v>39140</v>
      </c>
    </row>
    <row r="130" spans="1:10" ht="10.8" x14ac:dyDescent="0.25">
      <c r="A130" s="43"/>
      <c r="B130" s="40"/>
      <c r="C130" s="41"/>
      <c r="D130" s="42"/>
      <c r="E130" s="42"/>
      <c r="F130" s="36"/>
      <c r="G130" s="34">
        <v>39173</v>
      </c>
      <c r="H130" s="19">
        <v>39169</v>
      </c>
      <c r="I130" s="20">
        <v>39168</v>
      </c>
      <c r="J130" s="204">
        <f t="shared" si="1"/>
        <v>39170</v>
      </c>
    </row>
    <row r="131" spans="1:10" ht="10.8" x14ac:dyDescent="0.25">
      <c r="A131" s="43"/>
      <c r="B131" s="40"/>
      <c r="C131" s="41"/>
      <c r="D131" s="42"/>
      <c r="E131" s="42"/>
      <c r="F131" s="36"/>
      <c r="G131" s="34">
        <v>39203</v>
      </c>
      <c r="H131" s="19">
        <v>39198</v>
      </c>
      <c r="I131" s="20">
        <v>39197</v>
      </c>
      <c r="J131" s="204">
        <f t="shared" si="1"/>
        <v>39199</v>
      </c>
    </row>
    <row r="132" spans="1:10" ht="10.8" x14ac:dyDescent="0.25">
      <c r="A132" s="43"/>
      <c r="B132" s="40"/>
      <c r="C132" s="41"/>
      <c r="D132" s="42"/>
      <c r="E132" s="42"/>
      <c r="F132" s="36"/>
      <c r="G132" s="34">
        <v>39234</v>
      </c>
      <c r="H132" s="19">
        <v>39231</v>
      </c>
      <c r="I132" s="20">
        <v>39227</v>
      </c>
      <c r="J132" s="204">
        <f t="shared" si="1"/>
        <v>39232</v>
      </c>
    </row>
    <row r="133" spans="1:10" ht="10.8" x14ac:dyDescent="0.25">
      <c r="A133" s="43"/>
      <c r="B133" s="40"/>
      <c r="C133" s="41"/>
      <c r="D133" s="42"/>
      <c r="E133" s="42"/>
      <c r="F133" s="36"/>
      <c r="G133" s="34">
        <v>39264</v>
      </c>
      <c r="H133" s="19">
        <v>39260</v>
      </c>
      <c r="I133" s="20">
        <v>39259</v>
      </c>
      <c r="J133" s="204">
        <f t="shared" si="1"/>
        <v>39261</v>
      </c>
    </row>
    <row r="134" spans="1:10" ht="10.8" x14ac:dyDescent="0.25">
      <c r="A134" s="43"/>
      <c r="B134" s="40"/>
      <c r="C134" s="41"/>
      <c r="D134" s="42"/>
      <c r="E134" s="42"/>
      <c r="F134" s="36"/>
      <c r="G134" s="34">
        <v>39295</v>
      </c>
      <c r="H134" s="19">
        <v>39290</v>
      </c>
      <c r="I134" s="20">
        <v>39289</v>
      </c>
      <c r="J134" s="204">
        <f t="shared" si="1"/>
        <v>39293</v>
      </c>
    </row>
    <row r="135" spans="1:10" ht="10.8" x14ac:dyDescent="0.25">
      <c r="A135" s="43"/>
      <c r="B135" s="40"/>
      <c r="C135" s="41"/>
      <c r="D135" s="42"/>
      <c r="E135" s="42"/>
      <c r="F135" s="36"/>
      <c r="G135" s="34">
        <v>39326</v>
      </c>
      <c r="H135" s="19">
        <v>39323</v>
      </c>
      <c r="I135" s="20">
        <v>39322</v>
      </c>
      <c r="J135" s="204">
        <f t="shared" si="1"/>
        <v>39324</v>
      </c>
    </row>
    <row r="136" spans="1:10" ht="10.8" x14ac:dyDescent="0.25">
      <c r="A136" s="43"/>
      <c r="B136" s="40"/>
      <c r="C136" s="41"/>
      <c r="D136" s="42"/>
      <c r="E136" s="42"/>
      <c r="F136" s="36"/>
      <c r="G136" s="34">
        <v>39356</v>
      </c>
      <c r="H136" s="19">
        <v>39351</v>
      </c>
      <c r="I136" s="20">
        <v>39350</v>
      </c>
      <c r="J136" s="204">
        <f t="shared" si="1"/>
        <v>39352</v>
      </c>
    </row>
    <row r="137" spans="1:10" ht="10.8" x14ac:dyDescent="0.25">
      <c r="A137" s="43"/>
      <c r="B137" s="40"/>
      <c r="C137" s="41"/>
      <c r="D137" s="42"/>
      <c r="E137" s="42"/>
      <c r="F137" s="36"/>
      <c r="G137" s="34">
        <v>39387</v>
      </c>
      <c r="H137" s="19">
        <v>39384</v>
      </c>
      <c r="I137" s="20">
        <v>39381</v>
      </c>
      <c r="J137" s="204">
        <f t="shared" si="1"/>
        <v>39385</v>
      </c>
    </row>
    <row r="138" spans="1:10" ht="10.8" x14ac:dyDescent="0.25">
      <c r="A138" s="43"/>
      <c r="B138" s="40"/>
      <c r="C138" s="41"/>
      <c r="D138" s="42"/>
      <c r="E138" s="42"/>
      <c r="F138" s="36"/>
      <c r="G138" s="34">
        <v>39417</v>
      </c>
      <c r="H138" s="19">
        <v>39414</v>
      </c>
      <c r="I138" s="20">
        <v>39413</v>
      </c>
      <c r="J138" s="204">
        <f t="shared" si="1"/>
        <v>39415</v>
      </c>
    </row>
    <row r="139" spans="1:10" ht="10.8" x14ac:dyDescent="0.25">
      <c r="A139" s="43"/>
      <c r="B139" s="40"/>
      <c r="C139" s="41"/>
      <c r="D139" s="42"/>
      <c r="E139" s="42"/>
      <c r="F139" s="36"/>
      <c r="G139" s="34">
        <v>39448</v>
      </c>
      <c r="H139" s="19">
        <v>39443</v>
      </c>
      <c r="I139" s="20">
        <v>39442</v>
      </c>
      <c r="J139" s="204">
        <f t="shared" si="1"/>
        <v>39444</v>
      </c>
    </row>
    <row r="140" spans="1:10" ht="10.8" x14ac:dyDescent="0.25">
      <c r="A140" s="43"/>
      <c r="B140" s="40"/>
      <c r="C140" s="41"/>
      <c r="D140" s="42"/>
      <c r="E140" s="42"/>
      <c r="F140" s="36"/>
      <c r="G140" s="34">
        <v>39479</v>
      </c>
      <c r="H140" s="19">
        <v>39476</v>
      </c>
      <c r="I140" s="20">
        <v>39475</v>
      </c>
      <c r="J140" s="204">
        <f t="shared" si="1"/>
        <v>39477</v>
      </c>
    </row>
    <row r="141" spans="1:10" ht="10.8" x14ac:dyDescent="0.25">
      <c r="A141" s="43"/>
      <c r="B141" s="40"/>
      <c r="C141" s="41"/>
      <c r="D141" s="42"/>
      <c r="E141" s="42"/>
      <c r="F141" s="36"/>
      <c r="G141" s="34">
        <v>39508</v>
      </c>
      <c r="H141" s="19">
        <v>39505</v>
      </c>
      <c r="I141" s="20">
        <v>39504</v>
      </c>
      <c r="J141" s="204">
        <f t="shared" si="1"/>
        <v>39506</v>
      </c>
    </row>
    <row r="142" spans="1:10" ht="10.8" x14ac:dyDescent="0.25">
      <c r="A142" s="43"/>
      <c r="B142" s="40"/>
      <c r="C142" s="41"/>
      <c r="D142" s="42"/>
      <c r="E142" s="42"/>
      <c r="F142" s="36"/>
      <c r="G142" s="34">
        <v>39539</v>
      </c>
      <c r="H142" s="19">
        <v>39534</v>
      </c>
      <c r="I142" s="20">
        <v>39533</v>
      </c>
      <c r="J142" s="204">
        <f t="shared" si="1"/>
        <v>39535</v>
      </c>
    </row>
    <row r="143" spans="1:10" ht="10.8" x14ac:dyDescent="0.25">
      <c r="A143" s="43"/>
      <c r="B143" s="40"/>
      <c r="C143" s="41"/>
      <c r="D143" s="42"/>
      <c r="E143" s="42"/>
      <c r="F143" s="36"/>
      <c r="G143" s="34">
        <v>39569</v>
      </c>
      <c r="H143" s="19">
        <v>39566</v>
      </c>
      <c r="I143" s="20">
        <v>39563</v>
      </c>
      <c r="J143" s="204">
        <f t="shared" si="1"/>
        <v>39567</v>
      </c>
    </row>
    <row r="144" spans="1:10" ht="10.8" x14ac:dyDescent="0.25">
      <c r="A144" s="43"/>
      <c r="B144" s="40"/>
      <c r="C144" s="41"/>
      <c r="D144" s="42"/>
      <c r="E144" s="42"/>
      <c r="F144" s="36"/>
      <c r="G144" s="34">
        <v>39600</v>
      </c>
      <c r="H144" s="19">
        <v>39596</v>
      </c>
      <c r="I144" s="20">
        <v>39595</v>
      </c>
      <c r="J144" s="204">
        <f t="shared" si="1"/>
        <v>39597</v>
      </c>
    </row>
    <row r="145" spans="1:10" ht="10.8" x14ac:dyDescent="0.25">
      <c r="A145" s="43"/>
      <c r="B145" s="40"/>
      <c r="C145" s="41"/>
      <c r="D145" s="42"/>
      <c r="E145" s="42"/>
      <c r="F145" s="36"/>
      <c r="G145" s="34">
        <v>39630</v>
      </c>
      <c r="H145" s="19">
        <v>39625</v>
      </c>
      <c r="I145" s="20">
        <v>39624</v>
      </c>
      <c r="J145" s="204">
        <f t="shared" si="1"/>
        <v>39626</v>
      </c>
    </row>
    <row r="146" spans="1:10" ht="10.8" x14ac:dyDescent="0.25">
      <c r="A146" s="43"/>
      <c r="B146" s="40"/>
      <c r="C146" s="41"/>
      <c r="D146" s="42"/>
      <c r="E146" s="42"/>
      <c r="F146" s="36"/>
      <c r="G146" s="34">
        <v>39661</v>
      </c>
      <c r="H146" s="19">
        <v>39658</v>
      </c>
      <c r="I146" s="20">
        <v>39657</v>
      </c>
      <c r="J146" s="204">
        <f t="shared" si="1"/>
        <v>39659</v>
      </c>
    </row>
    <row r="147" spans="1:10" ht="10.8" x14ac:dyDescent="0.25">
      <c r="A147" s="43"/>
      <c r="B147" s="40"/>
      <c r="C147" s="41"/>
      <c r="D147" s="42"/>
      <c r="E147" s="42"/>
      <c r="F147" s="36"/>
      <c r="G147" s="34">
        <v>39692</v>
      </c>
      <c r="H147" s="19">
        <v>39687</v>
      </c>
      <c r="I147" s="20">
        <v>39686</v>
      </c>
      <c r="J147" s="204">
        <f t="shared" si="1"/>
        <v>39688</v>
      </c>
    </row>
    <row r="148" spans="1:10" ht="10.8" x14ac:dyDescent="0.25">
      <c r="A148" s="43"/>
      <c r="B148" s="40"/>
      <c r="C148" s="41"/>
      <c r="D148" s="42"/>
      <c r="E148" s="42"/>
      <c r="F148" s="36"/>
      <c r="G148" s="34">
        <v>39722</v>
      </c>
      <c r="H148" s="19">
        <v>39717</v>
      </c>
      <c r="I148" s="20">
        <v>39716</v>
      </c>
      <c r="J148" s="204">
        <f t="shared" si="1"/>
        <v>39720</v>
      </c>
    </row>
    <row r="149" spans="1:10" ht="10.8" x14ac:dyDescent="0.25">
      <c r="A149" s="43"/>
      <c r="B149" s="40"/>
      <c r="C149" s="41"/>
      <c r="D149" s="42"/>
      <c r="E149" s="42"/>
      <c r="F149" s="36"/>
      <c r="G149" s="34">
        <v>39753</v>
      </c>
      <c r="H149" s="19">
        <v>39750</v>
      </c>
      <c r="I149" s="20">
        <v>39749</v>
      </c>
      <c r="J149" s="204">
        <f t="shared" si="1"/>
        <v>39751</v>
      </c>
    </row>
    <row r="150" spans="1:10" ht="10.8" x14ac:dyDescent="0.25">
      <c r="A150" s="43"/>
      <c r="B150" s="40"/>
      <c r="C150" s="41"/>
      <c r="D150" s="42"/>
      <c r="E150" s="42"/>
      <c r="F150" s="36"/>
      <c r="G150" s="34">
        <v>39783</v>
      </c>
      <c r="H150" s="19">
        <v>39777</v>
      </c>
      <c r="I150" s="20">
        <v>39776</v>
      </c>
      <c r="J150" s="204">
        <f t="shared" si="1"/>
        <v>39778</v>
      </c>
    </row>
    <row r="151" spans="1:10" ht="10.8" x14ac:dyDescent="0.25">
      <c r="A151" s="43"/>
      <c r="B151" s="40"/>
      <c r="C151" s="41"/>
      <c r="D151" s="42"/>
      <c r="E151" s="42"/>
      <c r="F151" s="36"/>
      <c r="G151" s="34">
        <v>39814</v>
      </c>
      <c r="H151" s="19">
        <v>39811</v>
      </c>
      <c r="I151" s="20">
        <v>39808</v>
      </c>
      <c r="J151" s="204">
        <f t="shared" si="1"/>
        <v>39812</v>
      </c>
    </row>
    <row r="152" spans="1:10" ht="10.8" x14ac:dyDescent="0.25">
      <c r="A152" s="43"/>
      <c r="B152" s="40"/>
      <c r="C152" s="41"/>
      <c r="D152" s="42"/>
      <c r="E152" s="42"/>
      <c r="F152" s="36"/>
      <c r="G152" s="34">
        <v>39845</v>
      </c>
      <c r="H152" s="19">
        <v>39841</v>
      </c>
      <c r="I152" s="20">
        <v>39840</v>
      </c>
      <c r="J152" s="204">
        <f t="shared" si="1"/>
        <v>39842</v>
      </c>
    </row>
    <row r="153" spans="1:10" ht="10.8" x14ac:dyDescent="0.25">
      <c r="A153" s="43"/>
      <c r="B153" s="40"/>
      <c r="C153" s="41"/>
      <c r="D153" s="42"/>
      <c r="E153" s="42"/>
      <c r="F153" s="36"/>
      <c r="G153" s="34">
        <v>39873</v>
      </c>
      <c r="H153" s="19">
        <v>39869</v>
      </c>
      <c r="I153" s="20">
        <v>39868</v>
      </c>
      <c r="J153" s="204">
        <f t="shared" si="1"/>
        <v>39870</v>
      </c>
    </row>
    <row r="154" spans="1:10" ht="10.8" x14ac:dyDescent="0.25">
      <c r="A154" s="43"/>
      <c r="B154" s="40"/>
      <c r="C154" s="41"/>
      <c r="D154" s="42"/>
      <c r="E154" s="42"/>
      <c r="F154" s="36"/>
      <c r="G154" s="34">
        <v>39904</v>
      </c>
      <c r="H154" s="19">
        <v>39899</v>
      </c>
      <c r="I154" s="20">
        <v>39898</v>
      </c>
      <c r="J154" s="204">
        <f t="shared" si="1"/>
        <v>39902</v>
      </c>
    </row>
    <row r="155" spans="1:10" ht="10.8" x14ac:dyDescent="0.25">
      <c r="A155" s="43"/>
      <c r="B155" s="40"/>
      <c r="C155" s="41"/>
      <c r="D155" s="42"/>
      <c r="E155" s="42"/>
      <c r="F155" s="36"/>
      <c r="G155" s="34">
        <v>39934</v>
      </c>
      <c r="H155" s="19">
        <v>39931</v>
      </c>
      <c r="I155" s="20">
        <v>39930</v>
      </c>
      <c r="J155" s="204">
        <f t="shared" si="1"/>
        <v>39932</v>
      </c>
    </row>
    <row r="156" spans="1:10" ht="10.8" x14ac:dyDescent="0.25">
      <c r="A156" s="43"/>
      <c r="B156" s="40"/>
      <c r="C156" s="41"/>
      <c r="D156" s="42"/>
      <c r="E156" s="42"/>
      <c r="F156" s="36"/>
      <c r="G156" s="34">
        <v>39965</v>
      </c>
      <c r="H156" s="19">
        <v>39960</v>
      </c>
      <c r="I156" s="20">
        <v>39959</v>
      </c>
      <c r="J156" s="204">
        <f t="shared" si="1"/>
        <v>39961</v>
      </c>
    </row>
    <row r="157" spans="1:10" ht="10.8" x14ac:dyDescent="0.25">
      <c r="A157" s="43"/>
      <c r="B157" s="40"/>
      <c r="C157" s="41"/>
      <c r="D157" s="42"/>
      <c r="E157" s="42"/>
      <c r="F157" s="36"/>
      <c r="G157" s="34">
        <v>39995</v>
      </c>
      <c r="H157" s="19">
        <v>39990</v>
      </c>
      <c r="I157" s="20">
        <v>39989</v>
      </c>
      <c r="J157" s="204">
        <f t="shared" si="1"/>
        <v>39993</v>
      </c>
    </row>
    <row r="158" spans="1:10" ht="10.8" x14ac:dyDescent="0.25">
      <c r="A158" s="43"/>
      <c r="B158" s="40"/>
      <c r="C158" s="41"/>
      <c r="D158" s="42"/>
      <c r="E158" s="42"/>
      <c r="F158" s="36"/>
      <c r="G158" s="34">
        <v>40026</v>
      </c>
      <c r="H158" s="19">
        <v>40023</v>
      </c>
      <c r="I158" s="20">
        <v>40022</v>
      </c>
      <c r="J158" s="204">
        <f t="shared" si="1"/>
        <v>40024</v>
      </c>
    </row>
    <row r="159" spans="1:10" ht="10.8" x14ac:dyDescent="0.25">
      <c r="A159" s="43"/>
      <c r="B159" s="40"/>
      <c r="C159" s="41"/>
      <c r="D159" s="42"/>
      <c r="E159" s="42"/>
      <c r="F159" s="36"/>
      <c r="G159" s="34">
        <v>40057</v>
      </c>
      <c r="H159" s="19">
        <v>40052</v>
      </c>
      <c r="I159" s="20">
        <v>40051</v>
      </c>
      <c r="J159" s="204">
        <f t="shared" si="1"/>
        <v>40053</v>
      </c>
    </row>
    <row r="160" spans="1:10" ht="10.8" x14ac:dyDescent="0.25">
      <c r="A160" s="43"/>
      <c r="B160" s="40"/>
      <c r="C160" s="41"/>
      <c r="D160" s="42"/>
      <c r="E160" s="42"/>
      <c r="F160" s="36"/>
      <c r="G160" s="34">
        <v>40087</v>
      </c>
      <c r="H160" s="19">
        <v>40084</v>
      </c>
      <c r="I160" s="20">
        <v>40081</v>
      </c>
      <c r="J160" s="204">
        <f t="shared" si="1"/>
        <v>40085</v>
      </c>
    </row>
    <row r="161" spans="1:10" ht="10.8" x14ac:dyDescent="0.25">
      <c r="A161" s="43"/>
      <c r="B161" s="40"/>
      <c r="C161" s="41"/>
      <c r="D161" s="42"/>
      <c r="E161" s="42"/>
      <c r="F161" s="36"/>
      <c r="G161" s="34">
        <v>40118</v>
      </c>
      <c r="H161" s="19">
        <v>40114</v>
      </c>
      <c r="I161" s="20">
        <v>40113</v>
      </c>
      <c r="J161" s="204">
        <f t="shared" si="1"/>
        <v>40115</v>
      </c>
    </row>
    <row r="162" spans="1:10" ht="10.8" x14ac:dyDescent="0.25">
      <c r="A162" s="43"/>
      <c r="B162" s="40"/>
      <c r="C162" s="41"/>
      <c r="D162" s="42"/>
      <c r="E162" s="42"/>
      <c r="F162" s="36"/>
      <c r="G162" s="34">
        <v>40148</v>
      </c>
      <c r="H162" s="19">
        <v>40142</v>
      </c>
      <c r="I162" s="20">
        <v>40141</v>
      </c>
      <c r="J162" s="204">
        <f t="shared" si="1"/>
        <v>40143</v>
      </c>
    </row>
    <row r="163" spans="1:10" ht="10.8" x14ac:dyDescent="0.25">
      <c r="A163" s="43"/>
      <c r="B163" s="40"/>
      <c r="C163" s="41"/>
      <c r="D163" s="42"/>
      <c r="E163" s="42"/>
      <c r="F163" s="36"/>
      <c r="G163" s="34">
        <v>40179</v>
      </c>
      <c r="H163" s="19">
        <v>40176</v>
      </c>
      <c r="I163" s="20">
        <v>40175</v>
      </c>
      <c r="J163" s="204">
        <f t="shared" si="1"/>
        <v>40177</v>
      </c>
    </row>
    <row r="164" spans="1:10" ht="10.8" x14ac:dyDescent="0.25">
      <c r="A164" s="43"/>
      <c r="B164" s="40"/>
      <c r="C164" s="41"/>
      <c r="D164" s="42"/>
      <c r="E164" s="42"/>
      <c r="F164" s="36"/>
      <c r="G164" s="34">
        <v>40210</v>
      </c>
      <c r="H164" s="19">
        <v>40205</v>
      </c>
      <c r="I164" s="20">
        <v>40204</v>
      </c>
      <c r="J164" s="204">
        <f t="shared" si="1"/>
        <v>40206</v>
      </c>
    </row>
    <row r="165" spans="1:10" ht="10.8" x14ac:dyDescent="0.25">
      <c r="A165" s="43"/>
      <c r="B165" s="40"/>
      <c r="C165" s="41"/>
      <c r="D165" s="42"/>
      <c r="E165" s="42"/>
      <c r="F165" s="36"/>
      <c r="G165" s="34">
        <v>40238</v>
      </c>
      <c r="H165" s="19">
        <v>40233</v>
      </c>
      <c r="I165" s="20">
        <v>40232</v>
      </c>
      <c r="J165" s="204">
        <f t="shared" si="1"/>
        <v>40234</v>
      </c>
    </row>
    <row r="166" spans="1:10" ht="10.8" x14ac:dyDescent="0.25">
      <c r="A166" s="43"/>
      <c r="B166" s="40"/>
      <c r="C166" s="41"/>
      <c r="D166" s="42"/>
      <c r="E166" s="42"/>
      <c r="F166" s="36"/>
      <c r="G166" s="34">
        <v>40269</v>
      </c>
      <c r="H166" s="19">
        <v>40266</v>
      </c>
      <c r="I166" s="20">
        <v>40263</v>
      </c>
      <c r="J166" s="204">
        <f t="shared" si="1"/>
        <v>40267</v>
      </c>
    </row>
    <row r="167" spans="1:10" ht="10.8" x14ac:dyDescent="0.25">
      <c r="A167" s="43"/>
      <c r="B167" s="40"/>
      <c r="C167" s="41"/>
      <c r="D167" s="42"/>
      <c r="E167" s="42"/>
      <c r="F167" s="36"/>
      <c r="G167" s="34">
        <v>40299</v>
      </c>
      <c r="H167" s="19">
        <v>40296</v>
      </c>
      <c r="I167" s="20">
        <v>40295</v>
      </c>
      <c r="J167" s="204">
        <f t="shared" si="1"/>
        <v>40297</v>
      </c>
    </row>
    <row r="168" spans="1:10" ht="10.8" x14ac:dyDescent="0.25">
      <c r="A168" s="43"/>
      <c r="B168" s="40"/>
      <c r="C168" s="41"/>
      <c r="D168" s="42"/>
      <c r="E168" s="42"/>
      <c r="F168" s="36"/>
      <c r="G168" s="34">
        <v>40330</v>
      </c>
      <c r="H168" s="19">
        <v>40324</v>
      </c>
      <c r="I168" s="20">
        <v>40323</v>
      </c>
      <c r="J168" s="204">
        <f t="shared" si="1"/>
        <v>40325</v>
      </c>
    </row>
    <row r="169" spans="1:10" ht="10.8" x14ac:dyDescent="0.25">
      <c r="A169" s="43"/>
      <c r="B169" s="40"/>
      <c r="C169" s="41"/>
      <c r="D169" s="42"/>
      <c r="E169" s="42"/>
      <c r="F169" s="36"/>
      <c r="G169" s="34">
        <v>40360</v>
      </c>
      <c r="H169" s="19">
        <v>40357</v>
      </c>
      <c r="I169" s="20">
        <v>40354</v>
      </c>
      <c r="J169" s="204">
        <f t="shared" si="1"/>
        <v>40358</v>
      </c>
    </row>
    <row r="170" spans="1:10" ht="10.8" x14ac:dyDescent="0.25">
      <c r="A170" s="43"/>
      <c r="B170" s="40"/>
      <c r="C170" s="41"/>
      <c r="D170" s="42"/>
      <c r="E170" s="42"/>
      <c r="F170" s="36"/>
      <c r="G170" s="34">
        <v>40391</v>
      </c>
      <c r="H170" s="19">
        <v>40387</v>
      </c>
      <c r="I170" s="20">
        <v>40386</v>
      </c>
      <c r="J170" s="204">
        <f t="shared" si="1"/>
        <v>40388</v>
      </c>
    </row>
    <row r="171" spans="1:10" ht="10.8" x14ac:dyDescent="0.25">
      <c r="A171" s="43"/>
      <c r="B171" s="40"/>
      <c r="C171" s="41"/>
      <c r="D171" s="42"/>
      <c r="E171" s="42"/>
      <c r="F171" s="36"/>
      <c r="G171" s="34">
        <v>40422</v>
      </c>
      <c r="H171" s="19">
        <v>40417</v>
      </c>
      <c r="I171" s="20">
        <v>40416</v>
      </c>
      <c r="J171" s="204">
        <f t="shared" si="1"/>
        <v>40420</v>
      </c>
    </row>
    <row r="172" spans="1:10" ht="10.8" x14ac:dyDescent="0.25">
      <c r="A172" s="43"/>
      <c r="B172" s="40"/>
      <c r="C172" s="41"/>
      <c r="D172" s="42"/>
      <c r="E172" s="42"/>
      <c r="F172" s="36"/>
      <c r="G172" s="34">
        <v>40452</v>
      </c>
      <c r="H172" s="19">
        <v>40449</v>
      </c>
      <c r="I172" s="20">
        <v>40448</v>
      </c>
      <c r="J172" s="204">
        <f t="shared" si="1"/>
        <v>40450</v>
      </c>
    </row>
    <row r="173" spans="1:10" ht="10.8" x14ac:dyDescent="0.25">
      <c r="A173" s="43"/>
      <c r="B173" s="40"/>
      <c r="C173" s="41"/>
      <c r="D173" s="42"/>
      <c r="E173" s="42"/>
      <c r="F173" s="36"/>
      <c r="G173" s="34">
        <v>40483</v>
      </c>
      <c r="H173" s="19">
        <v>40478</v>
      </c>
      <c r="I173" s="20">
        <v>40477</v>
      </c>
      <c r="J173" s="204">
        <f t="shared" si="1"/>
        <v>40479</v>
      </c>
    </row>
    <row r="174" spans="1:10" ht="10.8" x14ac:dyDescent="0.25">
      <c r="A174" s="43"/>
      <c r="B174" s="40"/>
      <c r="C174" s="41"/>
      <c r="D174" s="42"/>
      <c r="E174" s="42"/>
      <c r="F174" s="36"/>
      <c r="G174" s="34">
        <v>40513</v>
      </c>
      <c r="H174" s="19">
        <v>40508</v>
      </c>
      <c r="I174" s="20">
        <v>40506</v>
      </c>
      <c r="J174" s="204">
        <f t="shared" si="1"/>
        <v>40511</v>
      </c>
    </row>
    <row r="175" spans="1:10" ht="10.8" x14ac:dyDescent="0.25">
      <c r="A175" s="43"/>
      <c r="B175" s="40"/>
      <c r="C175" s="41"/>
      <c r="D175" s="42"/>
      <c r="E175" s="42"/>
      <c r="F175" s="36"/>
      <c r="G175" s="34">
        <v>40544</v>
      </c>
      <c r="H175" s="19">
        <v>40540</v>
      </c>
      <c r="I175" s="20">
        <v>40539</v>
      </c>
      <c r="J175" s="204">
        <f t="shared" si="1"/>
        <v>40541</v>
      </c>
    </row>
    <row r="176" spans="1:10" ht="10.8" x14ac:dyDescent="0.25">
      <c r="A176" s="43"/>
      <c r="B176" s="40"/>
      <c r="C176" s="41"/>
      <c r="D176" s="42"/>
      <c r="E176" s="42"/>
      <c r="F176" s="36"/>
      <c r="G176" s="34">
        <v>40575</v>
      </c>
      <c r="H176" s="19">
        <v>40570</v>
      </c>
      <c r="I176" s="20">
        <v>40569</v>
      </c>
      <c r="J176" s="204">
        <f t="shared" si="1"/>
        <v>40571</v>
      </c>
    </row>
    <row r="177" spans="1:10" ht="10.8" x14ac:dyDescent="0.25">
      <c r="A177" s="43"/>
      <c r="B177" s="40"/>
      <c r="C177" s="41"/>
      <c r="D177" s="42"/>
      <c r="E177" s="42"/>
      <c r="F177" s="36"/>
      <c r="G177" s="34">
        <v>40603</v>
      </c>
      <c r="H177" s="19">
        <v>40598</v>
      </c>
      <c r="I177" s="20">
        <v>40597</v>
      </c>
      <c r="J177" s="204">
        <f t="shared" si="1"/>
        <v>40599</v>
      </c>
    </row>
    <row r="178" spans="1:10" ht="10.8" x14ac:dyDescent="0.25">
      <c r="A178" s="43"/>
      <c r="B178" s="40"/>
      <c r="C178" s="41"/>
      <c r="D178" s="42"/>
      <c r="E178" s="42"/>
      <c r="F178" s="36"/>
      <c r="G178" s="34">
        <v>40634</v>
      </c>
      <c r="H178" s="19">
        <v>40631</v>
      </c>
      <c r="I178" s="20">
        <v>40630</v>
      </c>
      <c r="J178" s="204">
        <f t="shared" si="1"/>
        <v>40632</v>
      </c>
    </row>
    <row r="179" spans="1:10" ht="10.8" x14ac:dyDescent="0.25">
      <c r="A179" s="43"/>
      <c r="B179" s="40"/>
      <c r="C179" s="41"/>
      <c r="D179" s="42"/>
      <c r="E179" s="42"/>
      <c r="F179" s="36"/>
      <c r="G179" s="34">
        <v>40664</v>
      </c>
      <c r="H179" s="19">
        <v>40660</v>
      </c>
      <c r="I179" s="20">
        <v>40659</v>
      </c>
      <c r="J179" s="204">
        <f t="shared" si="1"/>
        <v>40661</v>
      </c>
    </row>
    <row r="180" spans="1:10" ht="10.8" x14ac:dyDescent="0.25">
      <c r="A180" s="43"/>
      <c r="B180" s="40"/>
      <c r="C180" s="41"/>
      <c r="D180" s="42"/>
      <c r="E180" s="42"/>
      <c r="F180" s="36"/>
      <c r="G180" s="34">
        <v>40695</v>
      </c>
      <c r="H180" s="19">
        <v>40689</v>
      </c>
      <c r="I180" s="20">
        <v>40688</v>
      </c>
      <c r="J180" s="204">
        <f t="shared" si="1"/>
        <v>40690</v>
      </c>
    </row>
    <row r="181" spans="1:10" ht="10.8" x14ac:dyDescent="0.25">
      <c r="A181" s="43"/>
      <c r="B181" s="40"/>
      <c r="C181" s="41"/>
      <c r="D181" s="42"/>
      <c r="E181" s="42"/>
      <c r="F181" s="36"/>
      <c r="G181" s="34">
        <v>40725</v>
      </c>
      <c r="H181" s="19">
        <v>40722</v>
      </c>
      <c r="I181" s="20">
        <v>40721</v>
      </c>
      <c r="J181" s="204">
        <f t="shared" si="1"/>
        <v>40723</v>
      </c>
    </row>
    <row r="182" spans="1:10" ht="10.8" x14ac:dyDescent="0.25">
      <c r="A182" s="43"/>
      <c r="B182" s="40"/>
      <c r="C182" s="41"/>
      <c r="D182" s="42"/>
      <c r="E182" s="42"/>
      <c r="F182" s="36"/>
      <c r="G182" s="34">
        <v>40756</v>
      </c>
      <c r="H182" s="19">
        <v>40751</v>
      </c>
      <c r="I182" s="20">
        <v>40750</v>
      </c>
      <c r="J182" s="204">
        <f t="shared" si="1"/>
        <v>40752</v>
      </c>
    </row>
    <row r="183" spans="1:10" ht="10.8" x14ac:dyDescent="0.25">
      <c r="A183" s="43"/>
      <c r="B183" s="40"/>
      <c r="C183" s="41"/>
      <c r="D183" s="42"/>
      <c r="E183" s="42"/>
      <c r="F183" s="36"/>
      <c r="G183" s="34">
        <v>40787</v>
      </c>
      <c r="H183" s="19">
        <v>40784</v>
      </c>
      <c r="I183" s="20">
        <v>40781</v>
      </c>
      <c r="J183" s="204">
        <f t="shared" si="1"/>
        <v>40785</v>
      </c>
    </row>
    <row r="184" spans="1:10" ht="10.8" x14ac:dyDescent="0.25">
      <c r="A184" s="43"/>
      <c r="B184" s="40"/>
      <c r="C184" s="41"/>
      <c r="D184" s="42"/>
      <c r="E184" s="42"/>
      <c r="F184" s="36"/>
      <c r="G184" s="34">
        <v>40817</v>
      </c>
      <c r="H184" s="19">
        <v>40814</v>
      </c>
      <c r="I184" s="20">
        <v>40813</v>
      </c>
      <c r="J184" s="204">
        <f t="shared" ref="J184:J247" si="2">WORKDAY(H184,1)</f>
        <v>40815</v>
      </c>
    </row>
    <row r="185" spans="1:10" ht="10.8" x14ac:dyDescent="0.25">
      <c r="A185" s="43"/>
      <c r="B185" s="40"/>
      <c r="C185" s="41"/>
      <c r="D185" s="42"/>
      <c r="E185" s="42"/>
      <c r="F185" s="36"/>
      <c r="G185" s="34">
        <v>40848</v>
      </c>
      <c r="H185" s="19">
        <v>40843</v>
      </c>
      <c r="I185" s="20">
        <v>40842</v>
      </c>
      <c r="J185" s="204">
        <f t="shared" si="2"/>
        <v>40844</v>
      </c>
    </row>
    <row r="186" spans="1:10" ht="10.8" x14ac:dyDescent="0.25">
      <c r="A186" s="43"/>
      <c r="B186" s="40"/>
      <c r="C186" s="41"/>
      <c r="D186" s="42"/>
      <c r="E186" s="42"/>
      <c r="F186" s="36"/>
      <c r="G186" s="34">
        <v>40878</v>
      </c>
      <c r="H186" s="19">
        <v>40875</v>
      </c>
      <c r="I186" s="20">
        <v>40872</v>
      </c>
      <c r="J186" s="204">
        <f t="shared" si="2"/>
        <v>40876</v>
      </c>
    </row>
    <row r="187" spans="1:10" ht="10.8" x14ac:dyDescent="0.25">
      <c r="A187" s="43"/>
      <c r="B187" s="40"/>
      <c r="C187" s="41"/>
      <c r="D187" s="42"/>
      <c r="E187" s="42"/>
      <c r="F187" s="36"/>
      <c r="G187" s="34">
        <v>40909</v>
      </c>
      <c r="H187" s="19">
        <v>40905</v>
      </c>
      <c r="I187" s="20">
        <v>40904</v>
      </c>
      <c r="J187" s="204">
        <f t="shared" si="2"/>
        <v>40906</v>
      </c>
    </row>
    <row r="188" spans="1:10" ht="10.8" x14ac:dyDescent="0.25">
      <c r="A188" s="43"/>
      <c r="B188" s="40"/>
      <c r="C188" s="41"/>
      <c r="D188" s="42"/>
      <c r="E188" s="42"/>
      <c r="F188" s="36"/>
      <c r="G188" s="34">
        <v>40940</v>
      </c>
      <c r="H188" s="19">
        <v>40935</v>
      </c>
      <c r="I188" s="20">
        <v>40934</v>
      </c>
      <c r="J188" s="204">
        <f t="shared" si="2"/>
        <v>40938</v>
      </c>
    </row>
    <row r="189" spans="1:10" ht="10.8" x14ac:dyDescent="0.25">
      <c r="A189" s="43"/>
      <c r="B189" s="40"/>
      <c r="C189" s="41"/>
      <c r="D189" s="42"/>
      <c r="E189" s="42"/>
      <c r="F189" s="36"/>
      <c r="G189" s="34">
        <v>40969</v>
      </c>
      <c r="H189" s="19">
        <v>40966</v>
      </c>
      <c r="I189" s="20">
        <v>40963</v>
      </c>
      <c r="J189" s="204">
        <f t="shared" si="2"/>
        <v>40967</v>
      </c>
    </row>
    <row r="190" spans="1:10" ht="10.8" x14ac:dyDescent="0.25">
      <c r="A190" s="43"/>
      <c r="B190" s="40"/>
      <c r="C190" s="41"/>
      <c r="D190" s="42"/>
      <c r="E190" s="42"/>
      <c r="F190" s="36"/>
      <c r="G190" s="34">
        <v>41000</v>
      </c>
      <c r="H190" s="19">
        <v>40996</v>
      </c>
      <c r="I190" s="20">
        <v>40995</v>
      </c>
      <c r="J190" s="204">
        <f t="shared" si="2"/>
        <v>40997</v>
      </c>
    </row>
    <row r="191" spans="1:10" ht="10.8" x14ac:dyDescent="0.25">
      <c r="A191" s="43"/>
      <c r="B191" s="40"/>
      <c r="C191" s="41"/>
      <c r="D191" s="42"/>
      <c r="E191" s="42"/>
      <c r="F191" s="36"/>
      <c r="G191" s="34">
        <v>41030</v>
      </c>
      <c r="H191" s="19">
        <v>41025</v>
      </c>
      <c r="I191" s="20">
        <v>41024</v>
      </c>
      <c r="J191" s="204">
        <f t="shared" si="2"/>
        <v>41026</v>
      </c>
    </row>
    <row r="192" spans="1:10" ht="10.8" x14ac:dyDescent="0.25">
      <c r="A192" s="43"/>
      <c r="B192" s="40"/>
      <c r="C192" s="41"/>
      <c r="D192" s="42"/>
      <c r="E192" s="42"/>
      <c r="F192" s="36"/>
      <c r="G192" s="34">
        <v>41061</v>
      </c>
      <c r="H192" s="19">
        <v>41058</v>
      </c>
      <c r="I192" s="20">
        <v>41054</v>
      </c>
      <c r="J192" s="204">
        <f t="shared" si="2"/>
        <v>41059</v>
      </c>
    </row>
    <row r="193" spans="1:10" ht="10.8" x14ac:dyDescent="0.25">
      <c r="A193" s="43"/>
      <c r="B193" s="40"/>
      <c r="C193" s="41"/>
      <c r="D193" s="42"/>
      <c r="E193" s="42"/>
      <c r="F193" s="36"/>
      <c r="G193" s="34">
        <v>41091</v>
      </c>
      <c r="H193" s="19">
        <v>41087</v>
      </c>
      <c r="I193" s="20">
        <v>41086</v>
      </c>
      <c r="J193" s="204">
        <f t="shared" si="2"/>
        <v>41088</v>
      </c>
    </row>
    <row r="194" spans="1:10" ht="10.8" x14ac:dyDescent="0.25">
      <c r="A194" s="43"/>
      <c r="B194" s="40"/>
      <c r="C194" s="41"/>
      <c r="D194" s="42"/>
      <c r="E194" s="42"/>
      <c r="F194" s="36"/>
      <c r="G194" s="34">
        <v>41122</v>
      </c>
      <c r="H194" s="19">
        <v>41117</v>
      </c>
      <c r="I194" s="20">
        <v>41116</v>
      </c>
      <c r="J194" s="204">
        <f t="shared" si="2"/>
        <v>41120</v>
      </c>
    </row>
    <row r="195" spans="1:10" ht="10.8" x14ac:dyDescent="0.25">
      <c r="A195" s="43"/>
      <c r="B195" s="40"/>
      <c r="C195" s="41"/>
      <c r="D195" s="42"/>
      <c r="E195" s="42"/>
      <c r="F195" s="36"/>
      <c r="G195" s="34">
        <v>41153</v>
      </c>
      <c r="H195" s="19">
        <v>41150</v>
      </c>
      <c r="I195" s="20">
        <v>41149</v>
      </c>
      <c r="J195" s="204">
        <f t="shared" si="2"/>
        <v>41151</v>
      </c>
    </row>
    <row r="196" spans="1:10" ht="10.8" x14ac:dyDescent="0.25">
      <c r="A196" s="43"/>
      <c r="B196" s="40"/>
      <c r="C196" s="41"/>
      <c r="D196" s="42"/>
      <c r="E196" s="42"/>
      <c r="F196" s="36"/>
      <c r="G196" s="34">
        <v>41183</v>
      </c>
      <c r="H196" s="19">
        <v>41178</v>
      </c>
      <c r="I196" s="20">
        <v>41177</v>
      </c>
      <c r="J196" s="204">
        <f t="shared" si="2"/>
        <v>41179</v>
      </c>
    </row>
    <row r="197" spans="1:10" ht="10.8" x14ac:dyDescent="0.25">
      <c r="A197" s="43"/>
      <c r="B197" s="40"/>
      <c r="C197" s="41"/>
      <c r="D197" s="42"/>
      <c r="E197" s="42"/>
      <c r="F197" s="36"/>
      <c r="G197" s="34">
        <v>41214</v>
      </c>
      <c r="H197" s="19">
        <v>41211</v>
      </c>
      <c r="I197" s="20">
        <v>41208</v>
      </c>
      <c r="J197" s="204">
        <f t="shared" si="2"/>
        <v>41212</v>
      </c>
    </row>
    <row r="198" spans="1:10" ht="10.8" x14ac:dyDescent="0.25">
      <c r="A198" s="43"/>
      <c r="B198" s="40"/>
      <c r="C198" s="41"/>
      <c r="D198" s="42"/>
      <c r="E198" s="42"/>
      <c r="F198" s="36"/>
      <c r="G198" s="34">
        <v>41244</v>
      </c>
      <c r="H198" s="19">
        <v>41241</v>
      </c>
      <c r="I198" s="20">
        <v>41240</v>
      </c>
      <c r="J198" s="204">
        <f t="shared" si="2"/>
        <v>41242</v>
      </c>
    </row>
    <row r="199" spans="1:10" ht="10.8" x14ac:dyDescent="0.25">
      <c r="A199" s="43"/>
      <c r="B199" s="40"/>
      <c r="C199" s="41"/>
      <c r="D199" s="42"/>
      <c r="E199" s="42"/>
      <c r="F199" s="36"/>
      <c r="G199" s="34">
        <v>41275</v>
      </c>
      <c r="H199" s="19">
        <v>41270</v>
      </c>
      <c r="I199" s="20">
        <v>41269</v>
      </c>
      <c r="J199" s="204">
        <f t="shared" si="2"/>
        <v>41271</v>
      </c>
    </row>
    <row r="200" spans="1:10" ht="10.8" x14ac:dyDescent="0.25">
      <c r="A200" s="43"/>
      <c r="B200" s="40"/>
      <c r="C200" s="41"/>
      <c r="D200" s="42"/>
      <c r="E200" s="42"/>
      <c r="F200" s="36"/>
      <c r="G200" s="34">
        <v>41306</v>
      </c>
      <c r="H200" s="19">
        <v>41303</v>
      </c>
      <c r="I200" s="20">
        <v>41302</v>
      </c>
      <c r="J200" s="204">
        <f t="shared" si="2"/>
        <v>41304</v>
      </c>
    </row>
    <row r="201" spans="1:10" ht="10.8" x14ac:dyDescent="0.25">
      <c r="A201" s="43"/>
      <c r="B201" s="40"/>
      <c r="C201" s="41"/>
      <c r="D201" s="42"/>
      <c r="E201" s="42"/>
      <c r="F201" s="36"/>
      <c r="G201" s="34">
        <v>41334</v>
      </c>
      <c r="H201" s="19">
        <v>41331</v>
      </c>
      <c r="I201" s="20">
        <v>41330</v>
      </c>
      <c r="J201" s="204">
        <f t="shared" si="2"/>
        <v>41332</v>
      </c>
    </row>
    <row r="202" spans="1:10" ht="10.8" x14ac:dyDescent="0.25">
      <c r="A202" s="43"/>
      <c r="B202" s="40"/>
      <c r="C202" s="41"/>
      <c r="D202" s="42"/>
      <c r="E202" s="42"/>
      <c r="F202" s="36"/>
      <c r="G202" s="34">
        <v>41365</v>
      </c>
      <c r="H202" s="19">
        <v>41359</v>
      </c>
      <c r="I202" s="20">
        <v>41358</v>
      </c>
      <c r="J202" s="204">
        <f t="shared" si="2"/>
        <v>41360</v>
      </c>
    </row>
    <row r="203" spans="1:10" ht="10.8" x14ac:dyDescent="0.25">
      <c r="A203" s="43"/>
      <c r="B203" s="40"/>
      <c r="C203" s="41"/>
      <c r="D203" s="42"/>
      <c r="E203" s="42"/>
      <c r="F203" s="36"/>
      <c r="G203" s="34">
        <v>41395</v>
      </c>
      <c r="H203" s="19">
        <v>41390</v>
      </c>
      <c r="I203" s="20">
        <v>41389</v>
      </c>
      <c r="J203" s="204">
        <f t="shared" si="2"/>
        <v>41393</v>
      </c>
    </row>
    <row r="204" spans="1:10" ht="10.8" x14ac:dyDescent="0.25">
      <c r="A204" s="43"/>
      <c r="B204" s="40"/>
      <c r="C204" s="41"/>
      <c r="D204" s="42"/>
      <c r="E204" s="42"/>
      <c r="F204" s="36"/>
      <c r="G204" s="34">
        <v>41426</v>
      </c>
      <c r="H204" s="19">
        <v>41423</v>
      </c>
      <c r="I204" s="20">
        <v>41422</v>
      </c>
      <c r="J204" s="204">
        <f t="shared" si="2"/>
        <v>41424</v>
      </c>
    </row>
    <row r="205" spans="1:10" ht="10.8" x14ac:dyDescent="0.25">
      <c r="A205" s="43"/>
      <c r="B205" s="40"/>
      <c r="C205" s="41"/>
      <c r="D205" s="42"/>
      <c r="E205" s="42"/>
      <c r="F205" s="36"/>
      <c r="G205" s="34">
        <v>41456</v>
      </c>
      <c r="H205" s="19">
        <v>41451</v>
      </c>
      <c r="I205" s="20">
        <v>41450</v>
      </c>
      <c r="J205" s="204">
        <f t="shared" si="2"/>
        <v>41452</v>
      </c>
    </row>
    <row r="206" spans="1:10" ht="10.8" x14ac:dyDescent="0.25">
      <c r="A206" s="43"/>
      <c r="B206" s="40"/>
      <c r="C206" s="41"/>
      <c r="D206" s="42"/>
      <c r="E206" s="42"/>
      <c r="F206" s="36"/>
      <c r="G206" s="34">
        <v>41487</v>
      </c>
      <c r="H206" s="19">
        <v>41484</v>
      </c>
      <c r="I206" s="20">
        <v>41481</v>
      </c>
      <c r="J206" s="204">
        <f t="shared" si="2"/>
        <v>41485</v>
      </c>
    </row>
    <row r="207" spans="1:10" ht="10.8" x14ac:dyDescent="0.25">
      <c r="A207" s="43"/>
      <c r="B207" s="40"/>
      <c r="C207" s="41"/>
      <c r="D207" s="42"/>
      <c r="E207" s="42"/>
      <c r="F207" s="36"/>
      <c r="G207" s="34">
        <v>41518</v>
      </c>
      <c r="H207" s="19">
        <v>41514</v>
      </c>
      <c r="I207" s="20">
        <v>41513</v>
      </c>
      <c r="J207" s="204">
        <f t="shared" si="2"/>
        <v>41515</v>
      </c>
    </row>
    <row r="208" spans="1:10" ht="10.8" x14ac:dyDescent="0.25">
      <c r="A208" s="43"/>
      <c r="B208" s="40"/>
      <c r="C208" s="41"/>
      <c r="D208" s="42"/>
      <c r="E208" s="42"/>
      <c r="F208" s="36"/>
      <c r="G208" s="34">
        <v>41548</v>
      </c>
      <c r="H208" s="19">
        <v>41543</v>
      </c>
      <c r="I208" s="20">
        <v>41542</v>
      </c>
      <c r="J208" s="204">
        <f t="shared" si="2"/>
        <v>41544</v>
      </c>
    </row>
    <row r="209" spans="1:10" ht="10.8" x14ac:dyDescent="0.25">
      <c r="A209" s="43"/>
      <c r="B209" s="40"/>
      <c r="C209" s="41"/>
      <c r="D209" s="42"/>
      <c r="E209" s="42"/>
      <c r="F209" s="36"/>
      <c r="G209" s="34">
        <v>41579</v>
      </c>
      <c r="H209" s="19">
        <v>41576</v>
      </c>
      <c r="I209" s="20">
        <v>41575</v>
      </c>
      <c r="J209" s="204">
        <f t="shared" si="2"/>
        <v>41577</v>
      </c>
    </row>
    <row r="210" spans="1:10" ht="10.8" x14ac:dyDescent="0.25">
      <c r="A210" s="43"/>
      <c r="B210" s="40"/>
      <c r="C210" s="41"/>
      <c r="D210" s="42"/>
      <c r="E210" s="42"/>
      <c r="F210" s="36"/>
      <c r="G210" s="34">
        <v>41609</v>
      </c>
      <c r="H210" s="19">
        <v>41604</v>
      </c>
      <c r="I210" s="20">
        <v>41603</v>
      </c>
      <c r="J210" s="204">
        <f t="shared" si="2"/>
        <v>41605</v>
      </c>
    </row>
    <row r="211" spans="1:10" ht="10.8" x14ac:dyDescent="0.25">
      <c r="A211" s="43"/>
      <c r="B211" s="40"/>
      <c r="C211" s="41"/>
      <c r="D211" s="42"/>
      <c r="E211" s="42"/>
      <c r="F211" s="36"/>
      <c r="G211" s="34">
        <v>41640</v>
      </c>
      <c r="H211" s="19">
        <v>41635</v>
      </c>
      <c r="I211" s="20">
        <v>41634</v>
      </c>
      <c r="J211" s="204">
        <f t="shared" si="2"/>
        <v>41638</v>
      </c>
    </row>
    <row r="212" spans="1:10" ht="10.8" x14ac:dyDescent="0.25">
      <c r="A212" s="43"/>
      <c r="B212" s="40"/>
      <c r="C212" s="41"/>
      <c r="D212" s="42"/>
      <c r="E212" s="42"/>
      <c r="F212" s="36"/>
      <c r="G212" s="34">
        <v>41671</v>
      </c>
      <c r="H212" s="19">
        <v>41668</v>
      </c>
      <c r="I212" s="20">
        <v>41667</v>
      </c>
      <c r="J212" s="204">
        <f t="shared" si="2"/>
        <v>41669</v>
      </c>
    </row>
    <row r="213" spans="1:10" ht="10.8" x14ac:dyDescent="0.25">
      <c r="A213" s="43"/>
      <c r="B213" s="40"/>
      <c r="C213" s="41"/>
      <c r="D213" s="42"/>
      <c r="E213" s="42"/>
      <c r="F213" s="36"/>
      <c r="G213" s="34">
        <v>41699</v>
      </c>
      <c r="H213" s="19">
        <v>41696</v>
      </c>
      <c r="I213" s="20">
        <v>41695</v>
      </c>
      <c r="J213" s="204">
        <f t="shared" si="2"/>
        <v>41697</v>
      </c>
    </row>
    <row r="214" spans="1:10" ht="10.8" x14ac:dyDescent="0.25">
      <c r="A214" s="43"/>
      <c r="B214" s="40"/>
      <c r="C214" s="41"/>
      <c r="D214" s="42"/>
      <c r="E214" s="42"/>
      <c r="F214" s="36"/>
      <c r="G214" s="34">
        <v>41730</v>
      </c>
      <c r="H214" s="19">
        <v>41725</v>
      </c>
      <c r="I214" s="20">
        <v>41724</v>
      </c>
      <c r="J214" s="204">
        <f t="shared" si="2"/>
        <v>41726</v>
      </c>
    </row>
    <row r="215" spans="1:10" ht="10.8" x14ac:dyDescent="0.25">
      <c r="A215" s="43"/>
      <c r="B215" s="40"/>
      <c r="C215" s="41"/>
      <c r="D215" s="42"/>
      <c r="E215" s="42"/>
      <c r="F215" s="36"/>
      <c r="G215" s="34">
        <v>41760</v>
      </c>
      <c r="H215" s="19">
        <v>41757</v>
      </c>
      <c r="I215" s="20">
        <v>41754</v>
      </c>
      <c r="J215" s="204">
        <f t="shared" si="2"/>
        <v>41758</v>
      </c>
    </row>
    <row r="216" spans="1:10" ht="10.8" x14ac:dyDescent="0.25">
      <c r="A216" s="43"/>
      <c r="B216" s="40"/>
      <c r="C216" s="41"/>
      <c r="D216" s="42"/>
      <c r="E216" s="42"/>
      <c r="F216" s="36"/>
      <c r="G216" s="34">
        <v>41791</v>
      </c>
      <c r="H216" s="19">
        <v>41787</v>
      </c>
      <c r="I216" s="20">
        <v>41786</v>
      </c>
      <c r="J216" s="204">
        <f t="shared" si="2"/>
        <v>41788</v>
      </c>
    </row>
    <row r="217" spans="1:10" ht="10.8" x14ac:dyDescent="0.25">
      <c r="A217" s="43"/>
      <c r="B217" s="40"/>
      <c r="C217" s="41"/>
      <c r="D217" s="42"/>
      <c r="E217" s="42"/>
      <c r="F217" s="36"/>
      <c r="G217" s="34">
        <v>41821</v>
      </c>
      <c r="H217" s="19">
        <v>41816</v>
      </c>
      <c r="I217" s="20">
        <v>41815</v>
      </c>
      <c r="J217" s="204">
        <f t="shared" si="2"/>
        <v>41817</v>
      </c>
    </row>
    <row r="218" spans="1:10" ht="10.8" x14ac:dyDescent="0.25">
      <c r="A218" s="43"/>
      <c r="B218" s="40"/>
      <c r="C218" s="41"/>
      <c r="D218" s="42"/>
      <c r="E218" s="42"/>
      <c r="F218" s="36"/>
      <c r="G218" s="34">
        <v>41852</v>
      </c>
      <c r="H218" s="19">
        <v>41849</v>
      </c>
      <c r="I218" s="20">
        <v>41848</v>
      </c>
      <c r="J218" s="204">
        <f t="shared" si="2"/>
        <v>41850</v>
      </c>
    </row>
    <row r="219" spans="1:10" ht="10.8" x14ac:dyDescent="0.25">
      <c r="A219" s="43"/>
      <c r="B219" s="40"/>
      <c r="C219" s="41"/>
      <c r="D219" s="42"/>
      <c r="E219" s="42"/>
      <c r="F219" s="36"/>
      <c r="G219" s="34">
        <v>41883</v>
      </c>
      <c r="H219" s="19">
        <v>41878</v>
      </c>
      <c r="I219" s="20">
        <v>41877</v>
      </c>
      <c r="J219" s="204">
        <f t="shared" si="2"/>
        <v>41879</v>
      </c>
    </row>
    <row r="220" spans="1:10" ht="10.8" x14ac:dyDescent="0.25">
      <c r="A220" s="43"/>
      <c r="B220" s="40"/>
      <c r="C220" s="41"/>
      <c r="D220" s="42"/>
      <c r="E220" s="42"/>
      <c r="F220" s="36"/>
      <c r="G220" s="34">
        <v>41913</v>
      </c>
      <c r="H220" s="19">
        <v>41908</v>
      </c>
      <c r="I220" s="20">
        <v>41907</v>
      </c>
      <c r="J220" s="204">
        <f t="shared" si="2"/>
        <v>41911</v>
      </c>
    </row>
    <row r="221" spans="1:10" ht="10.8" x14ac:dyDescent="0.25">
      <c r="A221" s="43"/>
      <c r="B221" s="40"/>
      <c r="C221" s="41"/>
      <c r="D221" s="42"/>
      <c r="E221" s="42"/>
      <c r="F221" s="36"/>
      <c r="G221" s="34">
        <v>41944</v>
      </c>
      <c r="H221" s="19">
        <v>41941</v>
      </c>
      <c r="I221" s="20">
        <v>41940</v>
      </c>
      <c r="J221" s="204">
        <f t="shared" si="2"/>
        <v>41942</v>
      </c>
    </row>
    <row r="222" spans="1:10" ht="10.8" x14ac:dyDescent="0.25">
      <c r="A222" s="43"/>
      <c r="B222" s="40"/>
      <c r="C222" s="41"/>
      <c r="D222" s="42"/>
      <c r="E222" s="42"/>
      <c r="F222" s="36"/>
      <c r="G222" s="34">
        <v>41974</v>
      </c>
      <c r="H222" s="19">
        <v>41968</v>
      </c>
      <c r="I222" s="20">
        <v>41967</v>
      </c>
      <c r="J222" s="204">
        <f t="shared" si="2"/>
        <v>41969</v>
      </c>
    </row>
    <row r="223" spans="1:10" ht="10.8" x14ac:dyDescent="0.25">
      <c r="A223" s="43"/>
      <c r="B223" s="40"/>
      <c r="C223" s="41"/>
      <c r="D223" s="42"/>
      <c r="E223" s="42"/>
      <c r="F223" s="36"/>
      <c r="G223" s="34">
        <v>42005</v>
      </c>
      <c r="H223" s="19">
        <v>42002</v>
      </c>
      <c r="I223" s="20">
        <v>41999</v>
      </c>
      <c r="J223" s="204">
        <f t="shared" si="2"/>
        <v>42003</v>
      </c>
    </row>
    <row r="224" spans="1:10" ht="10.8" x14ac:dyDescent="0.25">
      <c r="A224" s="43"/>
      <c r="B224" s="40"/>
      <c r="C224" s="41"/>
      <c r="D224" s="42"/>
      <c r="E224" s="42"/>
      <c r="F224" s="36"/>
      <c r="G224" s="34">
        <v>42036</v>
      </c>
      <c r="H224" s="19">
        <v>42032</v>
      </c>
      <c r="I224" s="20">
        <v>42031</v>
      </c>
      <c r="J224" s="204">
        <f t="shared" si="2"/>
        <v>42033</v>
      </c>
    </row>
    <row r="225" spans="1:10" ht="10.8" x14ac:dyDescent="0.25">
      <c r="A225" s="43"/>
      <c r="B225" s="40"/>
      <c r="C225" s="41"/>
      <c r="D225" s="42"/>
      <c r="E225" s="42"/>
      <c r="F225" s="36"/>
      <c r="G225" s="34">
        <v>42064</v>
      </c>
      <c r="H225" s="19">
        <v>42060</v>
      </c>
      <c r="I225" s="20">
        <v>42059</v>
      </c>
      <c r="J225" s="204">
        <f t="shared" si="2"/>
        <v>42061</v>
      </c>
    </row>
    <row r="226" spans="1:10" ht="10.8" x14ac:dyDescent="0.25">
      <c r="A226" s="43"/>
      <c r="B226" s="40"/>
      <c r="C226" s="41"/>
      <c r="D226" s="42"/>
      <c r="E226" s="42"/>
      <c r="F226" s="36"/>
      <c r="G226" s="34">
        <v>42095</v>
      </c>
      <c r="H226" s="19">
        <v>42090</v>
      </c>
      <c r="I226" s="20">
        <v>42089</v>
      </c>
      <c r="J226" s="204">
        <f t="shared" si="2"/>
        <v>42093</v>
      </c>
    </row>
    <row r="227" spans="1:10" ht="10.8" x14ac:dyDescent="0.25">
      <c r="A227" s="43"/>
      <c r="B227" s="40"/>
      <c r="C227" s="41"/>
      <c r="D227" s="42"/>
      <c r="E227" s="42"/>
      <c r="F227" s="36"/>
      <c r="G227" s="34">
        <v>42125</v>
      </c>
      <c r="H227" s="19">
        <v>42122</v>
      </c>
      <c r="I227" s="20">
        <v>42121</v>
      </c>
      <c r="J227" s="204">
        <f t="shared" si="2"/>
        <v>42123</v>
      </c>
    </row>
    <row r="228" spans="1:10" ht="10.8" x14ac:dyDescent="0.25">
      <c r="A228" s="43"/>
      <c r="B228" s="40"/>
      <c r="C228" s="41"/>
      <c r="D228" s="42"/>
      <c r="E228" s="42"/>
      <c r="F228" s="36"/>
      <c r="G228" s="34">
        <v>42156</v>
      </c>
      <c r="H228" s="19">
        <v>42151</v>
      </c>
      <c r="I228" s="20">
        <v>42150</v>
      </c>
      <c r="J228" s="204">
        <f t="shared" si="2"/>
        <v>42152</v>
      </c>
    </row>
    <row r="229" spans="1:10" ht="10.8" x14ac:dyDescent="0.25">
      <c r="A229" s="43"/>
      <c r="B229" s="40"/>
      <c r="C229" s="41"/>
      <c r="D229" s="42"/>
      <c r="E229" s="42"/>
      <c r="F229" s="36"/>
      <c r="G229" s="34">
        <v>42186</v>
      </c>
      <c r="H229" s="19">
        <v>42181</v>
      </c>
      <c r="I229" s="20">
        <v>42180</v>
      </c>
      <c r="J229" s="204">
        <f t="shared" si="2"/>
        <v>42184</v>
      </c>
    </row>
    <row r="230" spans="1:10" ht="10.8" x14ac:dyDescent="0.25">
      <c r="A230" s="43"/>
      <c r="B230" s="40"/>
      <c r="C230" s="41"/>
      <c r="D230" s="42"/>
      <c r="E230" s="42"/>
      <c r="F230" s="36"/>
      <c r="G230" s="34">
        <v>42217</v>
      </c>
      <c r="H230" s="19">
        <v>42214</v>
      </c>
      <c r="I230" s="20">
        <v>42213</v>
      </c>
      <c r="J230" s="204">
        <f t="shared" si="2"/>
        <v>42215</v>
      </c>
    </row>
    <row r="231" spans="1:10" ht="10.8" x14ac:dyDescent="0.25">
      <c r="A231" s="43"/>
      <c r="B231" s="40"/>
      <c r="C231" s="41"/>
      <c r="D231" s="42"/>
      <c r="E231" s="42"/>
      <c r="F231" s="36"/>
      <c r="G231" s="34">
        <v>42248</v>
      </c>
      <c r="H231" s="19">
        <v>42243</v>
      </c>
      <c r="I231" s="20">
        <v>42242</v>
      </c>
      <c r="J231" s="204">
        <f t="shared" si="2"/>
        <v>42244</v>
      </c>
    </row>
    <row r="232" spans="1:10" ht="10.8" x14ac:dyDescent="0.25">
      <c r="A232" s="43"/>
      <c r="B232" s="40"/>
      <c r="C232" s="41"/>
      <c r="D232" s="42"/>
      <c r="E232" s="42"/>
      <c r="F232" s="36"/>
      <c r="G232" s="34">
        <v>42278</v>
      </c>
      <c r="H232" s="19">
        <v>42275</v>
      </c>
      <c r="I232" s="20">
        <v>42272</v>
      </c>
      <c r="J232" s="204">
        <f t="shared" si="2"/>
        <v>42276</v>
      </c>
    </row>
    <row r="233" spans="1:10" ht="10.8" x14ac:dyDescent="0.25">
      <c r="A233" s="43"/>
      <c r="B233" s="40"/>
      <c r="C233" s="41"/>
      <c r="D233" s="42"/>
      <c r="E233" s="42"/>
      <c r="F233" s="36"/>
      <c r="G233" s="34">
        <v>42309</v>
      </c>
      <c r="H233" s="19">
        <v>42305</v>
      </c>
      <c r="I233" s="20">
        <v>42304</v>
      </c>
      <c r="J233" s="204">
        <f t="shared" si="2"/>
        <v>42306</v>
      </c>
    </row>
    <row r="234" spans="1:10" ht="10.8" x14ac:dyDescent="0.25">
      <c r="A234" s="43"/>
      <c r="B234" s="40"/>
      <c r="C234" s="41"/>
      <c r="D234" s="42"/>
      <c r="E234" s="42"/>
      <c r="F234" s="42"/>
      <c r="G234" s="15">
        <v>42339</v>
      </c>
      <c r="H234" s="19">
        <v>42333</v>
      </c>
      <c r="I234" s="20">
        <v>42332</v>
      </c>
      <c r="J234" s="204">
        <f t="shared" si="2"/>
        <v>42334</v>
      </c>
    </row>
    <row r="235" spans="1:10" ht="10.8" x14ac:dyDescent="0.25">
      <c r="A235" s="43"/>
      <c r="B235" s="40"/>
      <c r="C235" s="41"/>
      <c r="D235" s="42"/>
      <c r="E235" s="42"/>
      <c r="F235" s="42"/>
      <c r="G235" s="15">
        <v>42370</v>
      </c>
      <c r="H235" s="19">
        <v>42367</v>
      </c>
      <c r="I235" s="20">
        <v>42366</v>
      </c>
      <c r="J235" s="204">
        <f t="shared" si="2"/>
        <v>42368</v>
      </c>
    </row>
    <row r="236" spans="1:10" ht="10.8" x14ac:dyDescent="0.25">
      <c r="A236" s="43"/>
      <c r="B236" s="40"/>
      <c r="C236" s="41"/>
      <c r="D236" s="42"/>
      <c r="E236" s="42"/>
      <c r="F236" s="42"/>
      <c r="G236" s="15">
        <v>42401</v>
      </c>
      <c r="H236" s="19">
        <v>42396</v>
      </c>
      <c r="I236" s="20">
        <v>42395</v>
      </c>
      <c r="J236" s="204">
        <f t="shared" si="2"/>
        <v>42397</v>
      </c>
    </row>
    <row r="237" spans="1:10" ht="10.8" x14ac:dyDescent="0.25">
      <c r="A237" s="43"/>
      <c r="B237" s="40"/>
      <c r="C237" s="41"/>
      <c r="D237" s="42"/>
      <c r="E237" s="42"/>
      <c r="F237" s="42"/>
      <c r="G237" s="15">
        <v>42430</v>
      </c>
      <c r="H237" s="19">
        <v>42425</v>
      </c>
      <c r="I237" s="20">
        <v>42424</v>
      </c>
      <c r="J237" s="204">
        <f t="shared" si="2"/>
        <v>42426</v>
      </c>
    </row>
    <row r="238" spans="1:10" ht="10.8" x14ac:dyDescent="0.25">
      <c r="A238" s="43"/>
      <c r="B238" s="40"/>
      <c r="C238" s="41"/>
      <c r="D238" s="42"/>
      <c r="E238" s="42"/>
      <c r="F238" s="42"/>
      <c r="G238" s="15">
        <v>42461</v>
      </c>
      <c r="H238" s="19">
        <v>42458</v>
      </c>
      <c r="I238" s="20">
        <v>42457</v>
      </c>
      <c r="J238" s="204">
        <f t="shared" si="2"/>
        <v>42459</v>
      </c>
    </row>
    <row r="239" spans="1:10" ht="10.8" x14ac:dyDescent="0.25">
      <c r="A239" s="43"/>
      <c r="B239" s="40"/>
      <c r="C239" s="41"/>
      <c r="D239" s="42"/>
      <c r="E239" s="42"/>
      <c r="F239" s="42"/>
      <c r="G239" s="15">
        <v>42491</v>
      </c>
      <c r="H239" s="19">
        <v>42487</v>
      </c>
      <c r="I239" s="20">
        <v>42486</v>
      </c>
      <c r="J239" s="204">
        <f t="shared" si="2"/>
        <v>42488</v>
      </c>
    </row>
    <row r="240" spans="1:10" ht="10.8" x14ac:dyDescent="0.25">
      <c r="A240" s="43"/>
      <c r="B240" s="40"/>
      <c r="C240" s="41"/>
      <c r="D240" s="42"/>
      <c r="E240" s="42"/>
      <c r="F240" s="42"/>
      <c r="G240" s="15">
        <v>42522</v>
      </c>
      <c r="H240" s="19">
        <v>42516</v>
      </c>
      <c r="I240" s="20">
        <v>42515</v>
      </c>
      <c r="J240" s="204">
        <f t="shared" si="2"/>
        <v>42517</v>
      </c>
    </row>
    <row r="241" spans="1:10" ht="10.8" x14ac:dyDescent="0.25">
      <c r="A241" s="43"/>
      <c r="B241" s="40"/>
      <c r="C241" s="41"/>
      <c r="D241" s="42"/>
      <c r="E241" s="42"/>
      <c r="F241" s="42"/>
      <c r="G241" s="15">
        <v>42552</v>
      </c>
      <c r="H241" s="19">
        <v>42549</v>
      </c>
      <c r="I241" s="20">
        <v>42548</v>
      </c>
      <c r="J241" s="204">
        <f t="shared" si="2"/>
        <v>42550</v>
      </c>
    </row>
    <row r="242" spans="1:10" ht="10.8" x14ac:dyDescent="0.25">
      <c r="A242" s="43"/>
      <c r="B242" s="40"/>
      <c r="C242" s="41"/>
      <c r="D242" s="42"/>
      <c r="E242" s="42"/>
      <c r="F242" s="42"/>
      <c r="G242" s="15">
        <v>42583</v>
      </c>
      <c r="H242" s="19">
        <v>42578</v>
      </c>
      <c r="I242" s="20">
        <v>42577</v>
      </c>
      <c r="J242" s="204">
        <f t="shared" si="2"/>
        <v>42579</v>
      </c>
    </row>
    <row r="243" spans="1:10" ht="10.8" x14ac:dyDescent="0.25">
      <c r="A243" s="43"/>
      <c r="B243" s="40"/>
      <c r="C243" s="41"/>
      <c r="D243" s="42"/>
      <c r="E243" s="42"/>
      <c r="F243" s="42"/>
      <c r="G243" s="15">
        <v>42614</v>
      </c>
      <c r="H243" s="19">
        <v>42611</v>
      </c>
      <c r="I243" s="20">
        <v>42608</v>
      </c>
      <c r="J243" s="204">
        <f t="shared" si="2"/>
        <v>42612</v>
      </c>
    </row>
    <row r="244" spans="1:10" ht="10.8" x14ac:dyDescent="0.25">
      <c r="A244" s="43"/>
      <c r="B244" s="40"/>
      <c r="C244" s="41"/>
      <c r="D244" s="42"/>
      <c r="E244" s="42"/>
      <c r="F244" s="42"/>
      <c r="G244" s="15">
        <v>42644</v>
      </c>
      <c r="H244" s="19">
        <v>42641</v>
      </c>
      <c r="I244" s="20">
        <v>42640</v>
      </c>
      <c r="J244" s="204">
        <f t="shared" si="2"/>
        <v>42642</v>
      </c>
    </row>
    <row r="245" spans="1:10" ht="10.8" x14ac:dyDescent="0.25">
      <c r="A245" s="43"/>
      <c r="B245" s="40"/>
      <c r="C245" s="41"/>
      <c r="D245" s="42"/>
      <c r="E245" s="42"/>
      <c r="F245" s="42"/>
      <c r="G245" s="15">
        <v>42675</v>
      </c>
      <c r="H245" s="19">
        <v>42670</v>
      </c>
      <c r="I245" s="20">
        <v>42669</v>
      </c>
      <c r="J245" s="204">
        <f t="shared" si="2"/>
        <v>42671</v>
      </c>
    </row>
    <row r="246" spans="1:10" ht="10.8" x14ac:dyDescent="0.25">
      <c r="A246" s="43"/>
      <c r="B246" s="40"/>
      <c r="C246" s="41"/>
      <c r="D246" s="42"/>
      <c r="E246" s="42"/>
      <c r="F246" s="42"/>
      <c r="G246" s="15">
        <v>42705</v>
      </c>
      <c r="H246" s="19">
        <v>42702</v>
      </c>
      <c r="I246" s="20">
        <v>42699</v>
      </c>
      <c r="J246" s="204">
        <f t="shared" si="2"/>
        <v>42703</v>
      </c>
    </row>
    <row r="247" spans="1:10" ht="10.8" x14ac:dyDescent="0.25">
      <c r="A247" s="43"/>
      <c r="B247" s="40"/>
      <c r="C247" s="41"/>
      <c r="D247" s="42"/>
      <c r="E247" s="42"/>
      <c r="F247" s="42"/>
      <c r="G247" s="15">
        <v>42736</v>
      </c>
      <c r="H247" s="19">
        <v>42732</v>
      </c>
      <c r="I247" s="20">
        <v>42731</v>
      </c>
      <c r="J247" s="204">
        <f t="shared" si="2"/>
        <v>42733</v>
      </c>
    </row>
    <row r="248" spans="1:10" ht="10.8" x14ac:dyDescent="0.25">
      <c r="A248" s="43"/>
      <c r="B248" s="40"/>
      <c r="C248" s="41"/>
      <c r="D248" s="42"/>
      <c r="E248" s="42"/>
      <c r="F248" s="42"/>
      <c r="G248" s="15">
        <v>42767</v>
      </c>
      <c r="H248" s="19">
        <v>42762</v>
      </c>
      <c r="I248" s="20">
        <v>42761</v>
      </c>
      <c r="J248" s="204">
        <f t="shared" ref="J248:J311" si="3">WORKDAY(H248,1)</f>
        <v>42765</v>
      </c>
    </row>
    <row r="249" spans="1:10" ht="10.8" x14ac:dyDescent="0.25">
      <c r="A249" s="43"/>
      <c r="B249" s="40"/>
      <c r="C249" s="41"/>
      <c r="D249" s="42"/>
      <c r="E249" s="42"/>
      <c r="F249" s="42"/>
      <c r="G249" s="15">
        <v>42795</v>
      </c>
      <c r="H249" s="19">
        <v>42790</v>
      </c>
      <c r="I249" s="20">
        <v>42789</v>
      </c>
      <c r="J249" s="204">
        <f t="shared" si="3"/>
        <v>42793</v>
      </c>
    </row>
    <row r="250" spans="1:10" ht="10.8" x14ac:dyDescent="0.25">
      <c r="A250" s="43"/>
      <c r="B250" s="40"/>
      <c r="C250" s="41"/>
      <c r="D250" s="42"/>
      <c r="E250" s="42"/>
      <c r="F250" s="42"/>
      <c r="G250" s="15">
        <v>42826</v>
      </c>
      <c r="H250" s="19">
        <v>42823</v>
      </c>
      <c r="I250" s="20">
        <v>42822</v>
      </c>
      <c r="J250" s="204">
        <f t="shared" si="3"/>
        <v>42824</v>
      </c>
    </row>
    <row r="251" spans="1:10" ht="10.8" x14ac:dyDescent="0.25">
      <c r="A251" s="43"/>
      <c r="B251" s="40"/>
      <c r="C251" s="41"/>
      <c r="D251" s="42"/>
      <c r="E251" s="42"/>
      <c r="F251" s="42"/>
      <c r="G251" s="15">
        <v>42856</v>
      </c>
      <c r="H251" s="19">
        <v>42851</v>
      </c>
      <c r="I251" s="20">
        <v>42850</v>
      </c>
      <c r="J251" s="204">
        <f t="shared" si="3"/>
        <v>42852</v>
      </c>
    </row>
    <row r="252" spans="1:10" ht="10.8" x14ac:dyDescent="0.25">
      <c r="A252" s="43"/>
      <c r="B252" s="40"/>
      <c r="C252" s="41"/>
      <c r="D252" s="42"/>
      <c r="E252" s="42"/>
      <c r="F252" s="42"/>
      <c r="G252" s="15">
        <v>42887</v>
      </c>
      <c r="H252" s="19">
        <v>42881</v>
      </c>
      <c r="I252" s="20">
        <v>42880</v>
      </c>
      <c r="J252" s="204">
        <f t="shared" si="3"/>
        <v>42884</v>
      </c>
    </row>
    <row r="253" spans="1:10" ht="10.8" x14ac:dyDescent="0.25">
      <c r="A253" s="43"/>
      <c r="B253" s="40"/>
      <c r="C253" s="41"/>
      <c r="D253" s="42"/>
      <c r="E253" s="42"/>
      <c r="F253" s="42"/>
      <c r="G253" s="15">
        <v>42917</v>
      </c>
      <c r="H253" s="19">
        <v>42914</v>
      </c>
      <c r="I253" s="20">
        <v>42913</v>
      </c>
      <c r="J253" s="204">
        <f t="shared" si="3"/>
        <v>42915</v>
      </c>
    </row>
    <row r="254" spans="1:10" ht="10.8" x14ac:dyDescent="0.25">
      <c r="A254" s="43"/>
      <c r="B254" s="40"/>
      <c r="C254" s="41"/>
      <c r="D254" s="42"/>
      <c r="E254" s="42"/>
      <c r="F254" s="42"/>
      <c r="G254" s="15">
        <v>42948</v>
      </c>
      <c r="H254" s="19">
        <v>42943</v>
      </c>
      <c r="I254" s="20">
        <v>42942</v>
      </c>
      <c r="J254" s="204">
        <f t="shared" si="3"/>
        <v>42944</v>
      </c>
    </row>
    <row r="255" spans="1:10" ht="10.8" x14ac:dyDescent="0.25">
      <c r="A255" s="43"/>
      <c r="B255" s="40"/>
      <c r="C255" s="41"/>
      <c r="D255" s="42"/>
      <c r="E255" s="42"/>
      <c r="F255" s="42"/>
      <c r="G255" s="15">
        <v>42979</v>
      </c>
      <c r="H255" s="19">
        <v>42976</v>
      </c>
      <c r="I255" s="20">
        <v>42975</v>
      </c>
      <c r="J255" s="204">
        <f t="shared" si="3"/>
        <v>42977</v>
      </c>
    </row>
    <row r="256" spans="1:10" ht="10.8" x14ac:dyDescent="0.25">
      <c r="A256" s="43"/>
      <c r="B256" s="40"/>
      <c r="C256" s="41"/>
      <c r="D256" s="42"/>
      <c r="E256" s="42"/>
      <c r="F256" s="42"/>
      <c r="G256" s="15">
        <v>43009</v>
      </c>
      <c r="H256" s="19">
        <v>43005</v>
      </c>
      <c r="I256" s="20">
        <v>43004</v>
      </c>
      <c r="J256" s="204">
        <f t="shared" si="3"/>
        <v>43006</v>
      </c>
    </row>
    <row r="257" spans="1:10" ht="10.8" x14ac:dyDescent="0.25">
      <c r="A257" s="43"/>
      <c r="B257" s="40"/>
      <c r="C257" s="41"/>
      <c r="D257" s="42"/>
      <c r="E257" s="42"/>
      <c r="F257" s="42"/>
      <c r="G257" s="15">
        <v>43040</v>
      </c>
      <c r="H257" s="19">
        <v>43035</v>
      </c>
      <c r="I257" s="20">
        <v>43034</v>
      </c>
      <c r="J257" s="204">
        <f t="shared" si="3"/>
        <v>43038</v>
      </c>
    </row>
    <row r="258" spans="1:10" ht="10.8" x14ac:dyDescent="0.25">
      <c r="A258" s="43"/>
      <c r="B258" s="40"/>
      <c r="C258" s="41"/>
      <c r="D258" s="42"/>
      <c r="E258" s="42"/>
      <c r="F258" s="42"/>
      <c r="G258" s="15">
        <v>43070</v>
      </c>
      <c r="H258" s="19">
        <v>43067</v>
      </c>
      <c r="I258" s="20">
        <v>43066</v>
      </c>
      <c r="J258" s="204">
        <f t="shared" si="3"/>
        <v>43068</v>
      </c>
    </row>
    <row r="259" spans="1:10" ht="10.8" x14ac:dyDescent="0.25">
      <c r="A259" s="43"/>
      <c r="B259" s="40"/>
      <c r="C259" s="41"/>
      <c r="D259" s="42"/>
      <c r="E259" s="42"/>
      <c r="F259" s="42"/>
      <c r="G259" s="15">
        <v>43101</v>
      </c>
      <c r="H259" s="19">
        <v>43096</v>
      </c>
      <c r="I259" s="20">
        <v>43095</v>
      </c>
      <c r="J259" s="204">
        <f t="shared" si="3"/>
        <v>43097</v>
      </c>
    </row>
    <row r="260" spans="1:10" ht="10.8" x14ac:dyDescent="0.25">
      <c r="A260" s="43"/>
      <c r="B260" s="40"/>
      <c r="C260" s="41"/>
      <c r="D260" s="42"/>
      <c r="E260" s="42"/>
      <c r="F260" s="42"/>
      <c r="G260" s="15">
        <v>43132</v>
      </c>
      <c r="H260" s="19">
        <v>43129</v>
      </c>
      <c r="I260" s="20">
        <v>43126</v>
      </c>
      <c r="J260" s="204">
        <f t="shared" si="3"/>
        <v>43130</v>
      </c>
    </row>
    <row r="261" spans="1:10" ht="10.8" x14ac:dyDescent="0.25">
      <c r="A261" s="43"/>
      <c r="B261" s="40"/>
      <c r="C261" s="41"/>
      <c r="D261" s="42"/>
      <c r="E261" s="42"/>
      <c r="F261" s="42"/>
      <c r="G261" s="15">
        <v>43160</v>
      </c>
      <c r="H261" s="19">
        <v>43157</v>
      </c>
      <c r="I261" s="20">
        <v>43154</v>
      </c>
      <c r="J261" s="204">
        <f t="shared" si="3"/>
        <v>43158</v>
      </c>
    </row>
    <row r="262" spans="1:10" ht="10.8" x14ac:dyDescent="0.25">
      <c r="A262" s="43"/>
      <c r="B262" s="40"/>
      <c r="C262" s="41"/>
      <c r="D262" s="42"/>
      <c r="E262" s="42"/>
      <c r="F262" s="42"/>
      <c r="G262" s="15">
        <v>43191</v>
      </c>
      <c r="H262" s="19">
        <v>43186</v>
      </c>
      <c r="I262" s="20">
        <v>43185</v>
      </c>
      <c r="J262" s="204">
        <f t="shared" si="3"/>
        <v>43187</v>
      </c>
    </row>
    <row r="263" spans="1:10" ht="10.8" x14ac:dyDescent="0.25">
      <c r="A263" s="43"/>
      <c r="B263" s="40"/>
      <c r="C263" s="41"/>
      <c r="D263" s="42"/>
      <c r="E263" s="42"/>
      <c r="F263" s="42"/>
      <c r="G263" s="15">
        <v>43221</v>
      </c>
      <c r="H263" s="19">
        <v>43216</v>
      </c>
      <c r="I263" s="20">
        <v>43215</v>
      </c>
      <c r="J263" s="204">
        <f t="shared" si="3"/>
        <v>43217</v>
      </c>
    </row>
    <row r="264" spans="1:10" ht="10.8" x14ac:dyDescent="0.25">
      <c r="A264" s="43"/>
      <c r="B264" s="40"/>
      <c r="C264" s="41"/>
      <c r="D264" s="42"/>
      <c r="E264" s="42"/>
      <c r="F264" s="42"/>
      <c r="G264" s="15">
        <v>43252</v>
      </c>
      <c r="H264" s="19">
        <v>43249</v>
      </c>
      <c r="I264" s="20">
        <v>43245</v>
      </c>
      <c r="J264" s="204">
        <f t="shared" si="3"/>
        <v>43250</v>
      </c>
    </row>
    <row r="265" spans="1:10" ht="10.8" x14ac:dyDescent="0.25">
      <c r="A265" s="43"/>
      <c r="B265" s="40"/>
      <c r="C265" s="41"/>
      <c r="D265" s="42"/>
      <c r="E265" s="42"/>
      <c r="F265" s="42"/>
      <c r="G265" s="15">
        <v>43282</v>
      </c>
      <c r="H265" s="19">
        <v>43278</v>
      </c>
      <c r="I265" s="20">
        <v>43277</v>
      </c>
      <c r="J265" s="204">
        <f t="shared" si="3"/>
        <v>43279</v>
      </c>
    </row>
    <row r="266" spans="1:10" ht="10.8" x14ac:dyDescent="0.25">
      <c r="A266" s="43"/>
      <c r="B266" s="40"/>
      <c r="C266" s="41"/>
      <c r="D266" s="42"/>
      <c r="E266" s="42"/>
      <c r="F266" s="42"/>
      <c r="G266" s="15">
        <v>43313</v>
      </c>
      <c r="H266" s="19">
        <v>43308</v>
      </c>
      <c r="I266" s="20">
        <v>43307</v>
      </c>
      <c r="J266" s="204">
        <f t="shared" si="3"/>
        <v>43311</v>
      </c>
    </row>
    <row r="267" spans="1:10" ht="10.8" x14ac:dyDescent="0.25">
      <c r="A267" s="43"/>
      <c r="B267" s="40"/>
      <c r="C267" s="41"/>
      <c r="D267" s="42"/>
      <c r="E267" s="42"/>
      <c r="F267" s="42"/>
      <c r="G267" s="15">
        <v>43344</v>
      </c>
      <c r="H267" s="19">
        <v>43341</v>
      </c>
      <c r="I267" s="20">
        <v>43340</v>
      </c>
      <c r="J267" s="204">
        <f t="shared" si="3"/>
        <v>43342</v>
      </c>
    </row>
    <row r="268" spans="1:10" ht="10.8" x14ac:dyDescent="0.25">
      <c r="A268" s="43"/>
      <c r="B268" s="40"/>
      <c r="C268" s="41"/>
      <c r="D268" s="42"/>
      <c r="E268" s="42"/>
      <c r="F268" s="42"/>
      <c r="G268" s="15">
        <v>43374</v>
      </c>
      <c r="H268" s="19">
        <v>43369</v>
      </c>
      <c r="I268" s="20">
        <v>43368</v>
      </c>
      <c r="J268" s="204">
        <f t="shared" si="3"/>
        <v>43370</v>
      </c>
    </row>
    <row r="269" spans="1:10" ht="10.8" x14ac:dyDescent="0.25">
      <c r="A269" s="43"/>
      <c r="B269" s="40"/>
      <c r="C269" s="41"/>
      <c r="D269" s="42"/>
      <c r="E269" s="42"/>
      <c r="F269" s="42"/>
      <c r="G269" s="15">
        <v>43405</v>
      </c>
      <c r="H269" s="19">
        <v>43402</v>
      </c>
      <c r="I269" s="20">
        <v>43399</v>
      </c>
      <c r="J269" s="204">
        <f t="shared" si="3"/>
        <v>43403</v>
      </c>
    </row>
    <row r="270" spans="1:10" ht="10.8" x14ac:dyDescent="0.25">
      <c r="A270" s="43"/>
      <c r="B270" s="40"/>
      <c r="C270" s="41"/>
      <c r="D270" s="42"/>
      <c r="E270" s="42"/>
      <c r="F270" s="42"/>
      <c r="G270" s="15">
        <v>43435</v>
      </c>
      <c r="H270" s="19">
        <v>43432</v>
      </c>
      <c r="I270" s="20">
        <v>43431</v>
      </c>
      <c r="J270" s="204">
        <f t="shared" si="3"/>
        <v>43433</v>
      </c>
    </row>
    <row r="271" spans="1:10" ht="10.8" x14ac:dyDescent="0.25">
      <c r="A271" s="43"/>
      <c r="B271" s="40"/>
      <c r="C271" s="41"/>
      <c r="D271" s="42"/>
      <c r="E271" s="42"/>
      <c r="F271" s="42"/>
      <c r="G271" s="15">
        <v>43466</v>
      </c>
      <c r="H271" s="19">
        <v>43461</v>
      </c>
      <c r="I271" s="20">
        <v>43460</v>
      </c>
      <c r="J271" s="204">
        <f t="shared" si="3"/>
        <v>43462</v>
      </c>
    </row>
    <row r="272" spans="1:10" ht="10.8" x14ac:dyDescent="0.25">
      <c r="A272" s="43"/>
      <c r="B272" s="40"/>
      <c r="C272" s="41"/>
      <c r="D272" s="42"/>
      <c r="E272" s="42"/>
      <c r="F272" s="42"/>
      <c r="G272" s="15">
        <v>43497</v>
      </c>
      <c r="H272" s="19">
        <v>43494</v>
      </c>
      <c r="I272" s="20">
        <v>43493</v>
      </c>
      <c r="J272" s="204">
        <f t="shared" si="3"/>
        <v>43495</v>
      </c>
    </row>
    <row r="273" spans="1:10" ht="10.8" x14ac:dyDescent="0.25">
      <c r="A273" s="43"/>
      <c r="B273" s="40"/>
      <c r="C273" s="41"/>
      <c r="D273" s="42"/>
      <c r="E273" s="42"/>
      <c r="F273" s="42"/>
      <c r="G273" s="15">
        <v>43525</v>
      </c>
      <c r="H273" s="19">
        <v>43522</v>
      </c>
      <c r="I273" s="20">
        <v>43521</v>
      </c>
      <c r="J273" s="204">
        <f t="shared" si="3"/>
        <v>43523</v>
      </c>
    </row>
    <row r="274" spans="1:10" ht="10.8" x14ac:dyDescent="0.25">
      <c r="A274" s="43"/>
      <c r="B274" s="40"/>
      <c r="C274" s="41"/>
      <c r="D274" s="42"/>
      <c r="E274" s="42"/>
      <c r="F274" s="42"/>
      <c r="G274" s="15">
        <v>43556</v>
      </c>
      <c r="H274" s="19">
        <v>43551</v>
      </c>
      <c r="I274" s="20">
        <v>43550</v>
      </c>
      <c r="J274" s="204">
        <f t="shared" si="3"/>
        <v>43552</v>
      </c>
    </row>
    <row r="275" spans="1:10" ht="10.8" x14ac:dyDescent="0.25">
      <c r="A275" s="43"/>
      <c r="B275" s="40"/>
      <c r="C275" s="41"/>
      <c r="D275" s="42"/>
      <c r="E275" s="42"/>
      <c r="F275" s="42"/>
      <c r="G275" s="15">
        <v>43586</v>
      </c>
      <c r="H275" s="19">
        <v>43581</v>
      </c>
      <c r="I275" s="20">
        <v>43580</v>
      </c>
      <c r="J275" s="204">
        <f t="shared" si="3"/>
        <v>43584</v>
      </c>
    </row>
    <row r="276" spans="1:10" ht="10.8" x14ac:dyDescent="0.25">
      <c r="A276" s="43"/>
      <c r="B276" s="40"/>
      <c r="C276" s="41"/>
      <c r="D276" s="42"/>
      <c r="E276" s="42"/>
      <c r="F276" s="42"/>
      <c r="G276" s="15">
        <v>43617</v>
      </c>
      <c r="H276" s="19">
        <v>43614</v>
      </c>
      <c r="I276" s="20">
        <v>43613</v>
      </c>
      <c r="J276" s="204">
        <f t="shared" si="3"/>
        <v>43615</v>
      </c>
    </row>
    <row r="277" spans="1:10" ht="10.8" x14ac:dyDescent="0.25">
      <c r="A277" s="43"/>
      <c r="B277" s="40"/>
      <c r="C277" s="41"/>
      <c r="D277" s="42"/>
      <c r="E277" s="42"/>
      <c r="F277" s="42"/>
      <c r="G277" s="15">
        <v>43647</v>
      </c>
      <c r="H277" s="19">
        <v>43642</v>
      </c>
      <c r="I277" s="20">
        <v>43641</v>
      </c>
      <c r="J277" s="204">
        <f t="shared" si="3"/>
        <v>43643</v>
      </c>
    </row>
    <row r="278" spans="1:10" ht="10.8" x14ac:dyDescent="0.25">
      <c r="A278" s="43"/>
      <c r="B278" s="40"/>
      <c r="C278" s="41"/>
      <c r="D278" s="42"/>
      <c r="E278" s="42"/>
      <c r="F278" s="42"/>
      <c r="G278" s="15">
        <v>43678</v>
      </c>
      <c r="H278" s="19">
        <v>43675</v>
      </c>
      <c r="I278" s="20">
        <v>43672</v>
      </c>
      <c r="J278" s="204">
        <f t="shared" si="3"/>
        <v>43676</v>
      </c>
    </row>
    <row r="279" spans="1:10" ht="10.8" x14ac:dyDescent="0.25">
      <c r="A279" s="43"/>
      <c r="B279" s="40"/>
      <c r="C279" s="41"/>
      <c r="D279" s="42"/>
      <c r="E279" s="42"/>
      <c r="F279" s="42"/>
      <c r="G279" s="15">
        <v>43709</v>
      </c>
      <c r="H279" s="19">
        <v>43705</v>
      </c>
      <c r="I279" s="20">
        <v>43704</v>
      </c>
      <c r="J279" s="204">
        <f t="shared" si="3"/>
        <v>43706</v>
      </c>
    </row>
    <row r="280" spans="1:10" ht="10.8" x14ac:dyDescent="0.25">
      <c r="A280" s="43"/>
      <c r="B280" s="40"/>
      <c r="C280" s="41"/>
      <c r="D280" s="42"/>
      <c r="E280" s="42"/>
      <c r="F280" s="42"/>
      <c r="G280" s="15">
        <v>43739</v>
      </c>
      <c r="H280" s="19">
        <v>43734</v>
      </c>
      <c r="I280" s="20">
        <v>43733</v>
      </c>
      <c r="J280" s="204">
        <f t="shared" si="3"/>
        <v>43735</v>
      </c>
    </row>
    <row r="281" spans="1:10" ht="10.8" x14ac:dyDescent="0.25">
      <c r="A281" s="43"/>
      <c r="B281" s="40"/>
      <c r="C281" s="41"/>
      <c r="D281" s="42"/>
      <c r="E281" s="42"/>
      <c r="F281" s="42"/>
      <c r="G281" s="15">
        <v>43770</v>
      </c>
      <c r="H281" s="19">
        <v>43767</v>
      </c>
      <c r="I281" s="20">
        <v>43766</v>
      </c>
      <c r="J281" s="204">
        <f t="shared" si="3"/>
        <v>43768</v>
      </c>
    </row>
    <row r="282" spans="1:10" ht="10.8" x14ac:dyDescent="0.25">
      <c r="A282" s="43"/>
      <c r="B282" s="40"/>
      <c r="C282" s="41"/>
      <c r="D282" s="42"/>
      <c r="E282" s="42"/>
      <c r="F282" s="42"/>
      <c r="G282" s="15">
        <v>43800</v>
      </c>
      <c r="H282" s="19">
        <v>43795</v>
      </c>
      <c r="I282" s="20">
        <v>43794</v>
      </c>
      <c r="J282" s="204">
        <f t="shared" si="3"/>
        <v>43796</v>
      </c>
    </row>
    <row r="283" spans="1:10" ht="10.8" x14ac:dyDescent="0.25">
      <c r="A283" s="43"/>
      <c r="B283" s="40"/>
      <c r="C283" s="41"/>
      <c r="D283" s="42"/>
      <c r="E283" s="42"/>
      <c r="F283" s="42"/>
      <c r="G283" s="15">
        <v>43831</v>
      </c>
      <c r="H283" s="19">
        <v>43826</v>
      </c>
      <c r="I283" s="20">
        <v>43825</v>
      </c>
      <c r="J283" s="204">
        <f t="shared" si="3"/>
        <v>43829</v>
      </c>
    </row>
    <row r="284" spans="1:10" ht="10.8" x14ac:dyDescent="0.25">
      <c r="A284" s="43"/>
      <c r="B284" s="40"/>
      <c r="C284" s="41"/>
      <c r="D284" s="42"/>
      <c r="E284" s="42"/>
      <c r="F284" s="42"/>
      <c r="G284" s="15">
        <v>43862</v>
      </c>
      <c r="H284" s="19">
        <v>43859</v>
      </c>
      <c r="I284" s="20">
        <v>43858</v>
      </c>
      <c r="J284" s="204">
        <f t="shared" si="3"/>
        <v>43860</v>
      </c>
    </row>
    <row r="285" spans="1:10" ht="10.8" x14ac:dyDescent="0.25">
      <c r="A285" s="43"/>
      <c r="B285" s="40"/>
      <c r="C285" s="41"/>
      <c r="D285" s="42"/>
      <c r="E285" s="42"/>
      <c r="F285" s="42"/>
      <c r="G285" s="15">
        <v>43891</v>
      </c>
      <c r="H285" s="19">
        <v>43887</v>
      </c>
      <c r="I285" s="20">
        <v>43886</v>
      </c>
      <c r="J285" s="204">
        <f t="shared" si="3"/>
        <v>43888</v>
      </c>
    </row>
    <row r="286" spans="1:10" ht="10.8" x14ac:dyDescent="0.25">
      <c r="A286" s="43"/>
      <c r="B286" s="40"/>
      <c r="C286" s="41"/>
      <c r="D286" s="42"/>
      <c r="E286" s="42"/>
      <c r="F286" s="42"/>
      <c r="G286" s="15">
        <v>43922</v>
      </c>
      <c r="H286" s="19">
        <v>43917</v>
      </c>
      <c r="I286" s="20">
        <v>43916</v>
      </c>
      <c r="J286" s="204">
        <f t="shared" si="3"/>
        <v>43920</v>
      </c>
    </row>
    <row r="287" spans="1:10" ht="10.8" x14ac:dyDescent="0.25">
      <c r="A287" s="43"/>
      <c r="B287" s="40"/>
      <c r="C287" s="41"/>
      <c r="D287" s="42"/>
      <c r="E287" s="42"/>
      <c r="F287" s="42"/>
      <c r="G287" s="15">
        <v>43952</v>
      </c>
      <c r="H287" s="19">
        <v>43949</v>
      </c>
      <c r="I287" s="20">
        <v>43948</v>
      </c>
      <c r="J287" s="204">
        <f t="shared" si="3"/>
        <v>43950</v>
      </c>
    </row>
    <row r="288" spans="1:10" ht="10.8" x14ac:dyDescent="0.25">
      <c r="A288" s="43"/>
      <c r="B288" s="40"/>
      <c r="C288" s="41"/>
      <c r="D288" s="42"/>
      <c r="E288" s="42"/>
      <c r="F288" s="42"/>
      <c r="G288" s="15">
        <v>43983</v>
      </c>
      <c r="H288" s="19">
        <v>43978</v>
      </c>
      <c r="I288" s="20">
        <v>43977</v>
      </c>
      <c r="J288" s="204">
        <f t="shared" si="3"/>
        <v>43979</v>
      </c>
    </row>
    <row r="289" spans="1:10" ht="10.8" x14ac:dyDescent="0.25">
      <c r="A289" s="43"/>
      <c r="B289" s="40"/>
      <c r="C289" s="41"/>
      <c r="D289" s="42"/>
      <c r="E289" s="42"/>
      <c r="F289" s="42"/>
      <c r="G289" s="15">
        <v>44013</v>
      </c>
      <c r="H289" s="19">
        <v>44008</v>
      </c>
      <c r="I289" s="20">
        <v>44007</v>
      </c>
      <c r="J289" s="204">
        <f t="shared" si="3"/>
        <v>44011</v>
      </c>
    </row>
    <row r="290" spans="1:10" ht="10.8" x14ac:dyDescent="0.25">
      <c r="A290" s="43"/>
      <c r="B290" s="40"/>
      <c r="C290" s="41"/>
      <c r="D290" s="42"/>
      <c r="E290" s="42"/>
      <c r="F290" s="42"/>
      <c r="G290" s="15">
        <v>44044</v>
      </c>
      <c r="H290" s="19">
        <v>44041</v>
      </c>
      <c r="I290" s="20">
        <v>44040</v>
      </c>
      <c r="J290" s="204">
        <f t="shared" si="3"/>
        <v>44042</v>
      </c>
    </row>
    <row r="291" spans="1:10" ht="10.8" x14ac:dyDescent="0.25">
      <c r="A291" s="43"/>
      <c r="B291" s="40"/>
      <c r="C291" s="41"/>
      <c r="D291" s="42"/>
      <c r="E291" s="42"/>
      <c r="F291" s="42"/>
      <c r="G291" s="15">
        <v>44075</v>
      </c>
      <c r="H291" s="19">
        <v>44070</v>
      </c>
      <c r="I291" s="20">
        <v>44069</v>
      </c>
      <c r="J291" s="204">
        <f t="shared" si="3"/>
        <v>44071</v>
      </c>
    </row>
    <row r="292" spans="1:10" ht="10.8" x14ac:dyDescent="0.25">
      <c r="A292" s="43"/>
      <c r="B292" s="40"/>
      <c r="C292" s="41"/>
      <c r="D292" s="42"/>
      <c r="E292" s="42"/>
      <c r="F292" s="42"/>
      <c r="G292" s="15">
        <v>44105</v>
      </c>
      <c r="H292" s="19">
        <v>44102</v>
      </c>
      <c r="I292" s="20">
        <v>44099</v>
      </c>
      <c r="J292" s="204">
        <f t="shared" si="3"/>
        <v>44103</v>
      </c>
    </row>
    <row r="293" spans="1:10" ht="10.8" x14ac:dyDescent="0.25">
      <c r="A293" s="43"/>
      <c r="B293" s="40"/>
      <c r="C293" s="41"/>
      <c r="D293" s="42"/>
      <c r="E293" s="42"/>
      <c r="F293" s="42"/>
      <c r="G293" s="15">
        <v>44136</v>
      </c>
      <c r="H293" s="19">
        <v>44132</v>
      </c>
      <c r="I293" s="20">
        <v>44131</v>
      </c>
      <c r="J293" s="204">
        <f t="shared" si="3"/>
        <v>44133</v>
      </c>
    </row>
    <row r="294" spans="1:10" ht="10.8" x14ac:dyDescent="0.25">
      <c r="A294" s="43"/>
      <c r="B294" s="40"/>
      <c r="C294" s="41"/>
      <c r="D294" s="42"/>
      <c r="E294" s="42"/>
      <c r="F294" s="42"/>
      <c r="G294" s="15">
        <v>44166</v>
      </c>
      <c r="H294" s="19">
        <v>44160</v>
      </c>
      <c r="I294" s="20">
        <v>44159</v>
      </c>
      <c r="J294" s="204">
        <f t="shared" si="3"/>
        <v>44161</v>
      </c>
    </row>
    <row r="295" spans="1:10" ht="10.8" x14ac:dyDescent="0.25">
      <c r="A295" s="43"/>
      <c r="B295" s="40"/>
      <c r="C295" s="41"/>
      <c r="D295" s="42"/>
      <c r="E295" s="42"/>
      <c r="F295" s="42"/>
      <c r="G295" s="15">
        <v>44197</v>
      </c>
      <c r="H295" s="19">
        <v>44194</v>
      </c>
      <c r="I295" s="20">
        <v>44193</v>
      </c>
      <c r="J295" s="204">
        <f t="shared" si="3"/>
        <v>44195</v>
      </c>
    </row>
    <row r="296" spans="1:10" ht="10.8" x14ac:dyDescent="0.25">
      <c r="A296" s="43"/>
      <c r="B296" s="40"/>
      <c r="C296" s="41"/>
      <c r="D296" s="42"/>
      <c r="E296" s="42"/>
      <c r="F296" s="42"/>
      <c r="G296" s="15">
        <v>44228</v>
      </c>
      <c r="H296" s="19">
        <v>44223</v>
      </c>
      <c r="I296" s="20">
        <v>44222</v>
      </c>
      <c r="J296" s="204">
        <f t="shared" si="3"/>
        <v>44224</v>
      </c>
    </row>
    <row r="297" spans="1:10" ht="10.8" x14ac:dyDescent="0.25">
      <c r="A297" s="43"/>
      <c r="B297" s="40"/>
      <c r="C297" s="41"/>
      <c r="D297" s="42"/>
      <c r="E297" s="42"/>
      <c r="F297" s="42"/>
      <c r="G297" s="15">
        <v>44256</v>
      </c>
      <c r="H297" s="19">
        <v>44251</v>
      </c>
      <c r="I297" s="20">
        <v>44250</v>
      </c>
      <c r="J297" s="204">
        <f t="shared" si="3"/>
        <v>44252</v>
      </c>
    </row>
    <row r="298" spans="1:10" ht="10.8" x14ac:dyDescent="0.25">
      <c r="A298" s="43"/>
      <c r="B298" s="40"/>
      <c r="C298" s="41"/>
      <c r="D298" s="42"/>
      <c r="E298" s="42"/>
      <c r="F298" s="42"/>
      <c r="G298" s="15">
        <v>44287</v>
      </c>
      <c r="H298" s="19">
        <v>44284</v>
      </c>
      <c r="I298" s="20">
        <v>44281</v>
      </c>
      <c r="J298" s="204">
        <f t="shared" si="3"/>
        <v>44285</v>
      </c>
    </row>
    <row r="299" spans="1:10" ht="10.8" x14ac:dyDescent="0.25">
      <c r="A299" s="43"/>
      <c r="B299" s="40"/>
      <c r="C299" s="41"/>
      <c r="D299" s="42"/>
      <c r="E299" s="42"/>
      <c r="F299" s="42"/>
      <c r="G299" s="15">
        <v>44317</v>
      </c>
      <c r="H299" s="19">
        <v>44314</v>
      </c>
      <c r="I299" s="20">
        <v>44313</v>
      </c>
      <c r="J299" s="204">
        <f t="shared" si="3"/>
        <v>44315</v>
      </c>
    </row>
    <row r="300" spans="1:10" ht="10.8" x14ac:dyDescent="0.25">
      <c r="A300" s="43"/>
      <c r="B300" s="40"/>
      <c r="C300" s="41"/>
      <c r="D300" s="42"/>
      <c r="E300" s="42"/>
      <c r="F300" s="42"/>
      <c r="G300" s="15">
        <v>44348</v>
      </c>
      <c r="H300" s="19">
        <v>44342</v>
      </c>
      <c r="I300" s="20">
        <v>44341</v>
      </c>
      <c r="J300" s="204">
        <f t="shared" si="3"/>
        <v>44343</v>
      </c>
    </row>
    <row r="301" spans="1:10" ht="10.8" x14ac:dyDescent="0.25">
      <c r="A301" s="43"/>
      <c r="B301" s="40"/>
      <c r="C301" s="41"/>
      <c r="D301" s="42"/>
      <c r="E301" s="42"/>
      <c r="F301" s="42"/>
      <c r="G301" s="15">
        <v>44378</v>
      </c>
      <c r="H301" s="19">
        <v>44375</v>
      </c>
      <c r="I301" s="20">
        <v>44372</v>
      </c>
      <c r="J301" s="204">
        <f t="shared" si="3"/>
        <v>44376</v>
      </c>
    </row>
    <row r="302" spans="1:10" ht="10.8" x14ac:dyDescent="0.25">
      <c r="A302" s="43"/>
      <c r="B302" s="40"/>
      <c r="C302" s="41"/>
      <c r="D302" s="42"/>
      <c r="E302" s="42"/>
      <c r="F302" s="42"/>
      <c r="G302" s="15">
        <v>44409</v>
      </c>
      <c r="H302" s="19">
        <v>44405</v>
      </c>
      <c r="I302" s="20">
        <v>44404</v>
      </c>
      <c r="J302" s="204">
        <f t="shared" si="3"/>
        <v>44406</v>
      </c>
    </row>
    <row r="303" spans="1:10" ht="10.8" x14ac:dyDescent="0.25">
      <c r="A303" s="43"/>
      <c r="B303" s="40"/>
      <c r="C303" s="41"/>
      <c r="D303" s="42"/>
      <c r="E303" s="42"/>
      <c r="F303" s="42"/>
      <c r="G303" s="15">
        <v>44440</v>
      </c>
      <c r="H303" s="19">
        <v>44435</v>
      </c>
      <c r="I303" s="20">
        <v>44434</v>
      </c>
      <c r="J303" s="204">
        <f t="shared" si="3"/>
        <v>44438</v>
      </c>
    </row>
    <row r="304" spans="1:10" ht="10.8" x14ac:dyDescent="0.25">
      <c r="A304" s="43"/>
      <c r="B304" s="40"/>
      <c r="C304" s="41"/>
      <c r="D304" s="42"/>
      <c r="E304" s="42"/>
      <c r="F304" s="42"/>
      <c r="G304" s="15">
        <v>44470</v>
      </c>
      <c r="H304" s="19">
        <v>44467</v>
      </c>
      <c r="I304" s="20">
        <v>44466</v>
      </c>
      <c r="J304" s="204">
        <f t="shared" si="3"/>
        <v>44468</v>
      </c>
    </row>
    <row r="305" spans="1:10" ht="10.8" x14ac:dyDescent="0.25">
      <c r="A305" s="43"/>
      <c r="B305" s="40"/>
      <c r="C305" s="41"/>
      <c r="D305" s="42"/>
      <c r="E305" s="42"/>
      <c r="F305" s="42"/>
      <c r="G305" s="15">
        <v>44501</v>
      </c>
      <c r="H305" s="19">
        <v>44496</v>
      </c>
      <c r="I305" s="20">
        <v>44495</v>
      </c>
      <c r="J305" s="204">
        <f t="shared" si="3"/>
        <v>44497</v>
      </c>
    </row>
    <row r="306" spans="1:10" ht="10.8" x14ac:dyDescent="0.25">
      <c r="A306" s="43"/>
      <c r="B306" s="40"/>
      <c r="C306" s="41"/>
      <c r="D306" s="42"/>
      <c r="E306" s="42"/>
      <c r="F306" s="42"/>
      <c r="G306" s="15">
        <v>44531</v>
      </c>
      <c r="H306" s="19">
        <v>44526</v>
      </c>
      <c r="I306" s="20">
        <v>44524</v>
      </c>
      <c r="J306" s="204">
        <f t="shared" si="3"/>
        <v>44529</v>
      </c>
    </row>
    <row r="307" spans="1:10" ht="10.8" x14ac:dyDescent="0.25">
      <c r="A307" s="43"/>
      <c r="B307" s="40"/>
      <c r="C307" s="41"/>
      <c r="D307" s="42"/>
      <c r="E307" s="42"/>
      <c r="F307" s="42"/>
      <c r="G307" s="15">
        <v>44562</v>
      </c>
      <c r="H307" s="19">
        <v>44558</v>
      </c>
      <c r="I307" s="20">
        <v>44557</v>
      </c>
      <c r="J307" s="204">
        <f t="shared" si="3"/>
        <v>44559</v>
      </c>
    </row>
    <row r="308" spans="1:10" ht="10.8" x14ac:dyDescent="0.25">
      <c r="A308" s="43"/>
      <c r="B308" s="40"/>
      <c r="C308" s="41"/>
      <c r="D308" s="42"/>
      <c r="E308" s="42"/>
      <c r="F308" s="42"/>
      <c r="G308" s="15">
        <v>44593</v>
      </c>
      <c r="H308" s="19">
        <v>44588</v>
      </c>
      <c r="I308" s="20">
        <v>44587</v>
      </c>
      <c r="J308" s="204">
        <f t="shared" si="3"/>
        <v>44589</v>
      </c>
    </row>
    <row r="309" spans="1:10" ht="10.8" x14ac:dyDescent="0.25">
      <c r="A309" s="43"/>
      <c r="B309" s="40"/>
      <c r="C309" s="41"/>
      <c r="D309" s="42"/>
      <c r="E309" s="42"/>
      <c r="F309" s="42"/>
      <c r="G309" s="15">
        <v>44621</v>
      </c>
      <c r="H309" s="19">
        <v>44616</v>
      </c>
      <c r="I309" s="20">
        <v>44615</v>
      </c>
      <c r="J309" s="204">
        <f t="shared" si="3"/>
        <v>44617</v>
      </c>
    </row>
    <row r="310" spans="1:10" ht="10.8" x14ac:dyDescent="0.25">
      <c r="A310" s="43"/>
      <c r="B310" s="40"/>
      <c r="C310" s="41"/>
      <c r="D310" s="42"/>
      <c r="E310" s="42"/>
      <c r="F310" s="42"/>
      <c r="G310" s="15">
        <v>44652</v>
      </c>
      <c r="H310" s="19">
        <v>44649</v>
      </c>
      <c r="I310" s="20">
        <v>44648</v>
      </c>
      <c r="J310" s="204">
        <f t="shared" si="3"/>
        <v>44650</v>
      </c>
    </row>
    <row r="311" spans="1:10" ht="10.8" x14ac:dyDescent="0.25">
      <c r="A311" s="43"/>
      <c r="B311" s="40"/>
      <c r="C311" s="41"/>
      <c r="D311" s="41"/>
      <c r="E311" s="41"/>
      <c r="F311" s="42"/>
      <c r="G311" s="15">
        <v>44682</v>
      </c>
      <c r="H311" s="19">
        <v>44678</v>
      </c>
      <c r="I311" s="20">
        <v>44677</v>
      </c>
      <c r="J311" s="204">
        <f t="shared" si="3"/>
        <v>44679</v>
      </c>
    </row>
    <row r="312" spans="1:10" ht="10.8" x14ac:dyDescent="0.25">
      <c r="A312" s="43"/>
      <c r="B312" s="40"/>
      <c r="C312" s="41"/>
      <c r="D312" s="41"/>
      <c r="E312" s="41"/>
      <c r="F312" s="42"/>
      <c r="G312" s="15">
        <v>44713</v>
      </c>
      <c r="H312" s="19">
        <v>44707</v>
      </c>
      <c r="I312" s="20">
        <v>44706</v>
      </c>
      <c r="J312" s="204">
        <f t="shared" ref="J312:J375" si="4">WORKDAY(H312,1)</f>
        <v>44708</v>
      </c>
    </row>
    <row r="313" spans="1:10" ht="10.8" x14ac:dyDescent="0.25">
      <c r="A313" s="43"/>
      <c r="B313" s="40"/>
      <c r="C313" s="41"/>
      <c r="D313" s="41"/>
      <c r="E313" s="41"/>
      <c r="F313" s="42"/>
      <c r="G313" s="15">
        <v>44743</v>
      </c>
      <c r="H313" s="19">
        <v>44740</v>
      </c>
      <c r="I313" s="20">
        <v>44739</v>
      </c>
      <c r="J313" s="204">
        <f t="shared" si="4"/>
        <v>44741</v>
      </c>
    </row>
    <row r="314" spans="1:10" ht="10.8" x14ac:dyDescent="0.25">
      <c r="A314" s="43"/>
      <c r="B314" s="40"/>
      <c r="C314" s="41"/>
      <c r="D314" s="41"/>
      <c r="E314" s="41"/>
      <c r="F314" s="42"/>
      <c r="G314" s="15">
        <v>44774</v>
      </c>
      <c r="H314" s="19">
        <v>44769</v>
      </c>
      <c r="I314" s="20">
        <v>44768</v>
      </c>
      <c r="J314" s="204">
        <f t="shared" si="4"/>
        <v>44770</v>
      </c>
    </row>
    <row r="315" spans="1:10" ht="10.8" x14ac:dyDescent="0.25">
      <c r="A315" s="43"/>
      <c r="B315" s="40"/>
      <c r="C315" s="41"/>
      <c r="D315" s="41"/>
      <c r="E315" s="41"/>
      <c r="F315" s="42"/>
      <c r="G315" s="15">
        <v>44805</v>
      </c>
      <c r="H315" s="19">
        <v>44802</v>
      </c>
      <c r="I315" s="20">
        <v>44799</v>
      </c>
      <c r="J315" s="204">
        <f t="shared" si="4"/>
        <v>44803</v>
      </c>
    </row>
    <row r="316" spans="1:10" ht="10.8" x14ac:dyDescent="0.25">
      <c r="A316" s="43"/>
      <c r="B316" s="40"/>
      <c r="C316" s="41"/>
      <c r="D316" s="41"/>
      <c r="E316" s="41"/>
      <c r="F316" s="42"/>
      <c r="G316" s="15">
        <v>44835</v>
      </c>
      <c r="H316" s="19">
        <v>44832</v>
      </c>
      <c r="I316" s="20">
        <v>44831</v>
      </c>
      <c r="J316" s="204">
        <f t="shared" si="4"/>
        <v>44833</v>
      </c>
    </row>
    <row r="317" spans="1:10" ht="10.8" x14ac:dyDescent="0.25">
      <c r="A317" s="43"/>
      <c r="B317" s="40"/>
      <c r="C317" s="41"/>
      <c r="D317" s="41"/>
      <c r="E317" s="41"/>
      <c r="F317" s="42"/>
      <c r="G317" s="15">
        <v>44866</v>
      </c>
      <c r="H317" s="19">
        <v>44861</v>
      </c>
      <c r="I317" s="20">
        <v>44860</v>
      </c>
      <c r="J317" s="204">
        <f t="shared" si="4"/>
        <v>44862</v>
      </c>
    </row>
    <row r="318" spans="1:10" ht="10.8" x14ac:dyDescent="0.25">
      <c r="A318" s="43"/>
      <c r="B318" s="40"/>
      <c r="C318" s="41"/>
      <c r="D318" s="41"/>
      <c r="E318" s="41"/>
      <c r="F318" s="42"/>
      <c r="G318" s="15">
        <v>44896</v>
      </c>
      <c r="H318" s="19">
        <v>44893</v>
      </c>
      <c r="I318" s="20">
        <v>44890</v>
      </c>
      <c r="J318" s="204">
        <f t="shared" si="4"/>
        <v>44894</v>
      </c>
    </row>
    <row r="319" spans="1:10" ht="10.8" x14ac:dyDescent="0.25">
      <c r="A319" s="43"/>
      <c r="B319" s="40"/>
      <c r="C319" s="41"/>
      <c r="D319" s="41"/>
      <c r="E319" s="41"/>
      <c r="F319" s="42"/>
      <c r="G319" s="15">
        <v>44927</v>
      </c>
      <c r="H319" s="19">
        <v>44923</v>
      </c>
      <c r="I319" s="20">
        <v>44922</v>
      </c>
      <c r="J319" s="204">
        <f t="shared" si="4"/>
        <v>44924</v>
      </c>
    </row>
    <row r="320" spans="1:10" ht="10.8" x14ac:dyDescent="0.25">
      <c r="A320" s="43"/>
      <c r="B320" s="40"/>
      <c r="C320" s="41"/>
      <c r="D320" s="41"/>
      <c r="E320" s="41"/>
      <c r="F320" s="42"/>
      <c r="G320" s="15">
        <v>44958</v>
      </c>
      <c r="H320" s="19">
        <v>44953</v>
      </c>
      <c r="I320" s="20">
        <v>44952</v>
      </c>
      <c r="J320" s="204">
        <f t="shared" si="4"/>
        <v>44956</v>
      </c>
    </row>
    <row r="321" spans="1:10" ht="10.8" x14ac:dyDescent="0.25">
      <c r="A321" s="43"/>
      <c r="B321" s="40"/>
      <c r="C321" s="41"/>
      <c r="D321" s="41"/>
      <c r="E321" s="41"/>
      <c r="F321" s="42"/>
      <c r="G321" s="15">
        <v>44986</v>
      </c>
      <c r="H321" s="19">
        <v>44981</v>
      </c>
      <c r="I321" s="20">
        <v>44980</v>
      </c>
      <c r="J321" s="204">
        <f t="shared" si="4"/>
        <v>44984</v>
      </c>
    </row>
    <row r="322" spans="1:10" ht="10.8" x14ac:dyDescent="0.25">
      <c r="A322" s="43"/>
      <c r="B322" s="40"/>
      <c r="C322" s="41"/>
      <c r="D322" s="41"/>
      <c r="E322" s="41"/>
      <c r="F322" s="42"/>
      <c r="G322" s="15">
        <v>45017</v>
      </c>
      <c r="H322" s="19">
        <v>45014</v>
      </c>
      <c r="I322" s="20">
        <v>45013</v>
      </c>
      <c r="J322" s="204">
        <f t="shared" si="4"/>
        <v>45015</v>
      </c>
    </row>
    <row r="323" spans="1:10" ht="10.8" x14ac:dyDescent="0.25">
      <c r="A323" s="43"/>
      <c r="B323" s="40"/>
      <c r="C323" s="41"/>
      <c r="D323" s="41"/>
      <c r="E323" s="41"/>
      <c r="F323" s="42"/>
      <c r="G323" s="15">
        <v>45047</v>
      </c>
      <c r="H323" s="19">
        <v>45042</v>
      </c>
      <c r="I323" s="20">
        <v>45041</v>
      </c>
      <c r="J323" s="204">
        <f t="shared" si="4"/>
        <v>45043</v>
      </c>
    </row>
    <row r="324" spans="1:10" ht="10.8" x14ac:dyDescent="0.25">
      <c r="A324" s="43"/>
      <c r="B324" s="40"/>
      <c r="C324" s="41"/>
      <c r="D324" s="41"/>
      <c r="E324" s="41"/>
      <c r="F324" s="42"/>
      <c r="G324" s="15">
        <v>45078</v>
      </c>
      <c r="H324" s="19">
        <v>45072</v>
      </c>
      <c r="I324" s="20">
        <v>45071</v>
      </c>
      <c r="J324" s="204">
        <f t="shared" si="4"/>
        <v>45075</v>
      </c>
    </row>
    <row r="325" spans="1:10" ht="10.8" x14ac:dyDescent="0.25">
      <c r="A325" s="43"/>
      <c r="B325" s="40"/>
      <c r="C325" s="41"/>
      <c r="D325" s="41"/>
      <c r="E325" s="41"/>
      <c r="F325" s="42"/>
      <c r="G325" s="15">
        <v>45108</v>
      </c>
      <c r="H325" s="19">
        <v>45105</v>
      </c>
      <c r="I325" s="20">
        <v>45104</v>
      </c>
      <c r="J325" s="204">
        <f t="shared" si="4"/>
        <v>45106</v>
      </c>
    </row>
    <row r="326" spans="1:10" ht="10.8" x14ac:dyDescent="0.25">
      <c r="A326" s="43"/>
      <c r="B326" s="40"/>
      <c r="C326" s="41"/>
      <c r="D326" s="41"/>
      <c r="E326" s="41"/>
      <c r="F326" s="42"/>
      <c r="G326" s="15">
        <v>45139</v>
      </c>
      <c r="H326" s="19">
        <v>45134</v>
      </c>
      <c r="I326" s="20">
        <v>45133</v>
      </c>
      <c r="J326" s="204">
        <f t="shared" si="4"/>
        <v>45135</v>
      </c>
    </row>
    <row r="327" spans="1:10" ht="10.8" x14ac:dyDescent="0.25">
      <c r="A327" s="43"/>
      <c r="B327" s="40"/>
      <c r="C327" s="41"/>
      <c r="D327" s="41"/>
      <c r="E327" s="41"/>
      <c r="F327" s="42"/>
      <c r="G327" s="15">
        <v>45170</v>
      </c>
      <c r="H327" s="19">
        <v>45167</v>
      </c>
      <c r="I327" s="20">
        <v>45166</v>
      </c>
      <c r="J327" s="204">
        <f t="shared" si="4"/>
        <v>45168</v>
      </c>
    </row>
    <row r="328" spans="1:10" ht="10.8" x14ac:dyDescent="0.25">
      <c r="A328" s="43"/>
      <c r="B328" s="40"/>
      <c r="C328" s="41"/>
      <c r="D328" s="41"/>
      <c r="E328" s="41"/>
      <c r="F328" s="42"/>
      <c r="G328" s="15">
        <v>45200</v>
      </c>
      <c r="H328" s="19">
        <v>45196</v>
      </c>
      <c r="I328" s="20">
        <v>45195</v>
      </c>
      <c r="J328" s="204">
        <f t="shared" si="4"/>
        <v>45197</v>
      </c>
    </row>
    <row r="329" spans="1:10" ht="10.8" x14ac:dyDescent="0.25">
      <c r="A329" s="43"/>
      <c r="B329" s="40"/>
      <c r="C329" s="41"/>
      <c r="D329" s="41"/>
      <c r="E329" s="41"/>
      <c r="F329" s="42"/>
      <c r="G329" s="15">
        <v>45231</v>
      </c>
      <c r="H329" s="19">
        <v>45226</v>
      </c>
      <c r="I329" s="20">
        <v>45225</v>
      </c>
      <c r="J329" s="204">
        <f t="shared" si="4"/>
        <v>45229</v>
      </c>
    </row>
    <row r="330" spans="1:10" ht="10.8" x14ac:dyDescent="0.25">
      <c r="A330" s="43"/>
      <c r="B330" s="40"/>
      <c r="C330" s="41"/>
      <c r="D330" s="41"/>
      <c r="E330" s="41"/>
      <c r="F330" s="42"/>
      <c r="G330" s="15">
        <v>45261</v>
      </c>
      <c r="H330" s="19">
        <v>45258</v>
      </c>
      <c r="I330" s="20">
        <v>45257</v>
      </c>
      <c r="J330" s="204">
        <f t="shared" si="4"/>
        <v>45259</v>
      </c>
    </row>
    <row r="331" spans="1:10" ht="10.8" x14ac:dyDescent="0.25">
      <c r="A331" s="43"/>
      <c r="B331" s="40"/>
      <c r="C331" s="41"/>
      <c r="D331" s="41"/>
      <c r="E331" s="41"/>
      <c r="F331" s="42"/>
      <c r="G331" s="15">
        <v>45292</v>
      </c>
      <c r="H331" s="19">
        <v>45287</v>
      </c>
      <c r="I331" s="20">
        <v>45286</v>
      </c>
      <c r="J331" s="204">
        <f t="shared" si="4"/>
        <v>45288</v>
      </c>
    </row>
    <row r="332" spans="1:10" ht="10.8" x14ac:dyDescent="0.25">
      <c r="A332" s="43"/>
      <c r="B332" s="40"/>
      <c r="C332" s="41"/>
      <c r="D332" s="41"/>
      <c r="E332" s="41"/>
      <c r="F332" s="42"/>
      <c r="G332" s="15">
        <v>45323</v>
      </c>
      <c r="H332" s="19">
        <v>45320</v>
      </c>
      <c r="I332" s="20">
        <v>45317</v>
      </c>
      <c r="J332" s="204">
        <f t="shared" si="4"/>
        <v>45321</v>
      </c>
    </row>
    <row r="333" spans="1:10" ht="10.8" x14ac:dyDescent="0.25">
      <c r="A333" s="43"/>
      <c r="B333" s="40"/>
      <c r="C333" s="41"/>
      <c r="D333" s="41"/>
      <c r="E333" s="41"/>
      <c r="F333" s="42"/>
      <c r="G333" s="15">
        <v>45352</v>
      </c>
      <c r="H333" s="19">
        <v>45349</v>
      </c>
      <c r="I333" s="20">
        <v>45348</v>
      </c>
      <c r="J333" s="204">
        <f t="shared" si="4"/>
        <v>45350</v>
      </c>
    </row>
    <row r="334" spans="1:10" ht="10.8" x14ac:dyDescent="0.25">
      <c r="A334" s="43"/>
      <c r="B334" s="40"/>
      <c r="C334" s="41"/>
      <c r="D334" s="41"/>
      <c r="E334" s="41"/>
      <c r="F334" s="42"/>
      <c r="G334" s="15">
        <v>45383</v>
      </c>
      <c r="H334" s="19">
        <v>45377</v>
      </c>
      <c r="I334" s="20">
        <v>45376</v>
      </c>
      <c r="J334" s="204">
        <f t="shared" si="4"/>
        <v>45378</v>
      </c>
    </row>
    <row r="335" spans="1:10" ht="10.8" x14ac:dyDescent="0.25">
      <c r="A335" s="43"/>
      <c r="B335" s="40"/>
      <c r="C335" s="41"/>
      <c r="D335" s="41"/>
      <c r="E335" s="41"/>
      <c r="F335" s="42"/>
      <c r="G335" s="15">
        <v>45413</v>
      </c>
      <c r="H335" s="19">
        <v>45408</v>
      </c>
      <c r="I335" s="20">
        <v>45407</v>
      </c>
      <c r="J335" s="204">
        <f t="shared" si="4"/>
        <v>45411</v>
      </c>
    </row>
    <row r="336" spans="1:10" ht="10.8" x14ac:dyDescent="0.25">
      <c r="A336" s="43"/>
      <c r="B336" s="40"/>
      <c r="C336" s="41"/>
      <c r="D336" s="41"/>
      <c r="E336" s="41"/>
      <c r="F336" s="42"/>
      <c r="G336" s="15">
        <v>45444</v>
      </c>
      <c r="H336" s="19">
        <v>45441</v>
      </c>
      <c r="I336" s="20">
        <v>45440</v>
      </c>
      <c r="J336" s="204">
        <f t="shared" si="4"/>
        <v>45442</v>
      </c>
    </row>
    <row r="337" spans="1:10" ht="10.8" x14ac:dyDescent="0.25">
      <c r="A337" s="43"/>
      <c r="B337" s="40"/>
      <c r="C337" s="41"/>
      <c r="D337" s="41"/>
      <c r="E337" s="41"/>
      <c r="F337" s="42"/>
      <c r="G337" s="15">
        <v>45474</v>
      </c>
      <c r="H337" s="19">
        <v>45469</v>
      </c>
      <c r="I337" s="20">
        <v>45468</v>
      </c>
      <c r="J337" s="204">
        <f t="shared" si="4"/>
        <v>45470</v>
      </c>
    </row>
    <row r="338" spans="1:10" ht="10.8" x14ac:dyDescent="0.25">
      <c r="A338" s="43"/>
      <c r="B338" s="40"/>
      <c r="C338" s="41"/>
      <c r="D338" s="41"/>
      <c r="E338" s="41"/>
      <c r="F338" s="42"/>
      <c r="G338" s="15">
        <v>45505</v>
      </c>
      <c r="H338" s="19">
        <v>45502</v>
      </c>
      <c r="I338" s="20">
        <v>45499</v>
      </c>
      <c r="J338" s="204">
        <f t="shared" si="4"/>
        <v>45503</v>
      </c>
    </row>
    <row r="339" spans="1:10" ht="10.8" x14ac:dyDescent="0.25">
      <c r="A339" s="43"/>
      <c r="B339" s="40"/>
      <c r="C339" s="41"/>
      <c r="D339" s="41"/>
      <c r="E339" s="41"/>
      <c r="F339" s="42"/>
      <c r="G339" s="15">
        <v>45536</v>
      </c>
      <c r="H339" s="19">
        <v>45532</v>
      </c>
      <c r="I339" s="20">
        <v>45531</v>
      </c>
      <c r="J339" s="204">
        <f t="shared" si="4"/>
        <v>45533</v>
      </c>
    </row>
    <row r="340" spans="1:10" ht="10.8" x14ac:dyDescent="0.25">
      <c r="A340" s="43"/>
      <c r="B340" s="40"/>
      <c r="C340" s="41"/>
      <c r="D340" s="41"/>
      <c r="E340" s="41"/>
      <c r="F340" s="42"/>
      <c r="G340" s="15">
        <v>45566</v>
      </c>
      <c r="H340" s="19">
        <v>45561</v>
      </c>
      <c r="I340" s="20">
        <v>45560</v>
      </c>
      <c r="J340" s="204">
        <f t="shared" si="4"/>
        <v>45562</v>
      </c>
    </row>
    <row r="341" spans="1:10" ht="10.8" x14ac:dyDescent="0.25">
      <c r="A341" s="43"/>
      <c r="B341" s="40"/>
      <c r="C341" s="41"/>
      <c r="D341" s="41"/>
      <c r="E341" s="41"/>
      <c r="F341" s="42"/>
      <c r="G341" s="15">
        <v>45597</v>
      </c>
      <c r="H341" s="19">
        <v>45594</v>
      </c>
      <c r="I341" s="20">
        <v>45593</v>
      </c>
      <c r="J341" s="204">
        <f t="shared" si="4"/>
        <v>45595</v>
      </c>
    </row>
    <row r="342" spans="1:10" ht="10.8" x14ac:dyDescent="0.25">
      <c r="A342" s="43"/>
      <c r="B342" s="40"/>
      <c r="C342" s="41"/>
      <c r="D342" s="41"/>
      <c r="E342" s="41"/>
      <c r="F342" s="42"/>
      <c r="G342" s="15">
        <v>45627</v>
      </c>
      <c r="H342" s="19">
        <v>45622</v>
      </c>
      <c r="I342" s="20">
        <v>45621</v>
      </c>
      <c r="J342" s="204">
        <f t="shared" si="4"/>
        <v>45623</v>
      </c>
    </row>
    <row r="343" spans="1:10" ht="10.8" x14ac:dyDescent="0.25">
      <c r="A343" s="43"/>
      <c r="B343" s="40"/>
      <c r="C343" s="41"/>
      <c r="D343" s="41"/>
      <c r="E343" s="41"/>
      <c r="F343" s="42"/>
      <c r="G343" s="15">
        <v>45658</v>
      </c>
      <c r="H343" s="19">
        <v>45653</v>
      </c>
      <c r="I343" s="20">
        <v>45652</v>
      </c>
      <c r="J343" s="204">
        <f t="shared" si="4"/>
        <v>45656</v>
      </c>
    </row>
    <row r="344" spans="1:10" ht="10.8" x14ac:dyDescent="0.25">
      <c r="A344" s="43"/>
      <c r="B344" s="40"/>
      <c r="C344" s="41"/>
      <c r="D344" s="41"/>
      <c r="E344" s="41"/>
      <c r="F344" s="42"/>
      <c r="G344" s="15">
        <v>45689</v>
      </c>
      <c r="H344" s="19">
        <v>45686</v>
      </c>
      <c r="I344" s="20">
        <v>45685</v>
      </c>
      <c r="J344" s="204">
        <f t="shared" si="4"/>
        <v>45687</v>
      </c>
    </row>
    <row r="345" spans="1:10" ht="10.8" x14ac:dyDescent="0.25">
      <c r="A345" s="43"/>
      <c r="B345" s="40"/>
      <c r="C345" s="41"/>
      <c r="D345" s="41"/>
      <c r="E345" s="41"/>
      <c r="F345" s="42"/>
      <c r="G345" s="15">
        <v>45717</v>
      </c>
      <c r="H345" s="19">
        <v>45714</v>
      </c>
      <c r="I345" s="20">
        <v>45713</v>
      </c>
      <c r="J345" s="204">
        <f t="shared" si="4"/>
        <v>45715</v>
      </c>
    </row>
    <row r="346" spans="1:10" ht="10.8" x14ac:dyDescent="0.25">
      <c r="A346" s="43"/>
      <c r="B346" s="40"/>
      <c r="C346" s="41"/>
      <c r="D346" s="41"/>
      <c r="E346" s="41"/>
      <c r="F346" s="42"/>
      <c r="G346" s="15">
        <v>45748</v>
      </c>
      <c r="H346" s="19">
        <v>45743</v>
      </c>
      <c r="I346" s="20">
        <v>45742</v>
      </c>
      <c r="J346" s="204">
        <f t="shared" si="4"/>
        <v>45744</v>
      </c>
    </row>
    <row r="347" spans="1:10" ht="10.8" x14ac:dyDescent="0.25">
      <c r="A347" s="43"/>
      <c r="B347" s="40"/>
      <c r="C347" s="41"/>
      <c r="D347" s="41"/>
      <c r="E347" s="41"/>
      <c r="F347" s="42"/>
      <c r="G347" s="15">
        <v>45778</v>
      </c>
      <c r="H347" s="19">
        <v>45775</v>
      </c>
      <c r="I347" s="20">
        <v>45772</v>
      </c>
      <c r="J347" s="204">
        <f t="shared" si="4"/>
        <v>45776</v>
      </c>
    </row>
    <row r="348" spans="1:10" ht="10.8" x14ac:dyDescent="0.25">
      <c r="A348" s="43"/>
      <c r="B348" s="40"/>
      <c r="C348" s="41"/>
      <c r="D348" s="41"/>
      <c r="E348" s="41"/>
      <c r="F348" s="42"/>
      <c r="G348" s="15">
        <v>45809</v>
      </c>
      <c r="H348" s="19">
        <v>45805</v>
      </c>
      <c r="I348" s="20">
        <v>45804</v>
      </c>
      <c r="J348" s="204">
        <f t="shared" si="4"/>
        <v>45806</v>
      </c>
    </row>
    <row r="349" spans="1:10" ht="10.8" x14ac:dyDescent="0.25">
      <c r="A349" s="43"/>
      <c r="B349" s="40"/>
      <c r="C349" s="41"/>
      <c r="D349" s="41"/>
      <c r="E349" s="41"/>
      <c r="F349" s="42"/>
      <c r="G349" s="15">
        <v>45839</v>
      </c>
      <c r="H349" s="19">
        <v>45834</v>
      </c>
      <c r="I349" s="20">
        <v>45833</v>
      </c>
      <c r="J349" s="204">
        <f t="shared" si="4"/>
        <v>45835</v>
      </c>
    </row>
    <row r="350" spans="1:10" ht="10.8" x14ac:dyDescent="0.25">
      <c r="A350" s="43"/>
      <c r="B350" s="40"/>
      <c r="C350" s="41"/>
      <c r="D350" s="41"/>
      <c r="E350" s="41"/>
      <c r="F350" s="42"/>
      <c r="G350" s="15">
        <v>45870</v>
      </c>
      <c r="H350" s="19">
        <v>45867</v>
      </c>
      <c r="I350" s="20">
        <v>45866</v>
      </c>
      <c r="J350" s="204">
        <f t="shared" si="4"/>
        <v>45868</v>
      </c>
    </row>
    <row r="351" spans="1:10" ht="10.8" x14ac:dyDescent="0.25">
      <c r="A351" s="43"/>
      <c r="B351" s="40"/>
      <c r="C351" s="41"/>
      <c r="D351" s="41"/>
      <c r="E351" s="41"/>
      <c r="F351" s="42"/>
      <c r="G351" s="15">
        <v>45901</v>
      </c>
      <c r="H351" s="19">
        <v>45896</v>
      </c>
      <c r="I351" s="20">
        <v>45895</v>
      </c>
      <c r="J351" s="204">
        <f t="shared" si="4"/>
        <v>45897</v>
      </c>
    </row>
    <row r="352" spans="1:10" ht="10.8" x14ac:dyDescent="0.25">
      <c r="A352" s="43"/>
      <c r="B352" s="40"/>
      <c r="C352" s="41"/>
      <c r="D352" s="41"/>
      <c r="E352" s="41"/>
      <c r="F352" s="42"/>
      <c r="G352" s="15">
        <v>45931</v>
      </c>
      <c r="H352" s="19">
        <v>45926</v>
      </c>
      <c r="I352" s="20">
        <v>45925</v>
      </c>
      <c r="J352" s="204">
        <f t="shared" si="4"/>
        <v>45929</v>
      </c>
    </row>
    <row r="353" spans="1:10" ht="10.8" x14ac:dyDescent="0.25">
      <c r="A353" s="43"/>
      <c r="B353" s="40"/>
      <c r="C353" s="41"/>
      <c r="D353" s="41"/>
      <c r="E353" s="41"/>
      <c r="F353" s="42"/>
      <c r="G353" s="15">
        <v>45962</v>
      </c>
      <c r="H353" s="19">
        <v>45959</v>
      </c>
      <c r="I353" s="20">
        <v>45958</v>
      </c>
      <c r="J353" s="204">
        <f t="shared" si="4"/>
        <v>45960</v>
      </c>
    </row>
    <row r="354" spans="1:10" ht="10.8" x14ac:dyDescent="0.25">
      <c r="A354" s="43"/>
      <c r="B354" s="40"/>
      <c r="C354" s="41"/>
      <c r="D354" s="41"/>
      <c r="E354" s="41"/>
      <c r="F354" s="42"/>
      <c r="G354" s="15">
        <v>45992</v>
      </c>
      <c r="H354" s="19">
        <v>45986</v>
      </c>
      <c r="I354" s="20">
        <v>45985</v>
      </c>
      <c r="J354" s="204">
        <f t="shared" si="4"/>
        <v>45987</v>
      </c>
    </row>
    <row r="355" spans="1:10" ht="10.8" x14ac:dyDescent="0.25">
      <c r="A355" s="43"/>
      <c r="B355" s="40"/>
      <c r="C355" s="41"/>
      <c r="D355" s="41"/>
      <c r="E355" s="41"/>
      <c r="F355" s="42"/>
      <c r="G355" s="15">
        <v>46023</v>
      </c>
      <c r="H355" s="19">
        <v>46020</v>
      </c>
      <c r="I355" s="20">
        <v>46017</v>
      </c>
      <c r="J355" s="204">
        <f t="shared" si="4"/>
        <v>46021</v>
      </c>
    </row>
    <row r="356" spans="1:10" ht="10.8" x14ac:dyDescent="0.25">
      <c r="A356" s="43"/>
      <c r="B356" s="40"/>
      <c r="C356" s="41"/>
      <c r="D356" s="41"/>
      <c r="E356" s="41"/>
      <c r="F356" s="42"/>
      <c r="G356" s="15">
        <v>46054</v>
      </c>
      <c r="H356" s="19">
        <v>46050</v>
      </c>
      <c r="I356" s="20">
        <v>46049</v>
      </c>
      <c r="J356" s="204">
        <f t="shared" si="4"/>
        <v>46051</v>
      </c>
    </row>
    <row r="357" spans="1:10" ht="10.8" x14ac:dyDescent="0.25">
      <c r="A357" s="43"/>
      <c r="B357" s="40"/>
      <c r="C357" s="41"/>
      <c r="D357" s="41"/>
      <c r="E357" s="41"/>
      <c r="F357" s="42"/>
      <c r="G357" s="15">
        <v>46082</v>
      </c>
      <c r="H357" s="19">
        <v>46078</v>
      </c>
      <c r="I357" s="20">
        <v>46077</v>
      </c>
      <c r="J357" s="204">
        <f t="shared" si="4"/>
        <v>46079</v>
      </c>
    </row>
    <row r="358" spans="1:10" ht="10.8" x14ac:dyDescent="0.25">
      <c r="A358" s="43"/>
      <c r="B358" s="40"/>
      <c r="C358" s="41"/>
      <c r="D358" s="41"/>
      <c r="E358" s="41"/>
      <c r="F358" s="42"/>
      <c r="G358" s="15">
        <v>46113</v>
      </c>
      <c r="H358" s="19">
        <v>46108</v>
      </c>
      <c r="I358" s="20">
        <v>46107</v>
      </c>
      <c r="J358" s="204">
        <f t="shared" si="4"/>
        <v>46111</v>
      </c>
    </row>
    <row r="359" spans="1:10" ht="10.8" x14ac:dyDescent="0.25">
      <c r="A359" s="43"/>
      <c r="B359" s="40"/>
      <c r="C359" s="41"/>
      <c r="D359" s="41"/>
      <c r="E359" s="41"/>
      <c r="F359" s="42"/>
      <c r="G359" s="15">
        <v>46143</v>
      </c>
      <c r="H359" s="19">
        <v>46140</v>
      </c>
      <c r="I359" s="20">
        <v>46139</v>
      </c>
      <c r="J359" s="204">
        <f t="shared" si="4"/>
        <v>46141</v>
      </c>
    </row>
    <row r="360" spans="1:10" ht="10.8" x14ac:dyDescent="0.25">
      <c r="A360" s="43"/>
      <c r="B360" s="40"/>
      <c r="C360" s="41"/>
      <c r="D360" s="41"/>
      <c r="E360" s="41"/>
      <c r="F360" s="42"/>
      <c r="G360" s="15">
        <v>46174</v>
      </c>
      <c r="H360" s="19">
        <v>46169</v>
      </c>
      <c r="I360" s="20">
        <v>46168</v>
      </c>
      <c r="J360" s="204">
        <f t="shared" si="4"/>
        <v>46170</v>
      </c>
    </row>
    <row r="361" spans="1:10" ht="10.8" x14ac:dyDescent="0.25">
      <c r="A361" s="43"/>
      <c r="B361" s="40"/>
      <c r="C361" s="41"/>
      <c r="D361" s="41"/>
      <c r="E361" s="41"/>
      <c r="F361" s="42"/>
      <c r="G361" s="15">
        <v>46204</v>
      </c>
      <c r="H361" s="19">
        <v>46199</v>
      </c>
      <c r="I361" s="20">
        <v>46198</v>
      </c>
      <c r="J361" s="204">
        <f t="shared" si="4"/>
        <v>46202</v>
      </c>
    </row>
    <row r="362" spans="1:10" ht="10.8" x14ac:dyDescent="0.25">
      <c r="A362" s="43"/>
      <c r="B362" s="40"/>
      <c r="C362" s="41"/>
      <c r="D362" s="41"/>
      <c r="E362" s="41"/>
      <c r="F362" s="42"/>
      <c r="G362" s="15">
        <v>46235</v>
      </c>
      <c r="H362" s="19">
        <v>46232</v>
      </c>
      <c r="I362" s="20">
        <v>46231</v>
      </c>
      <c r="J362" s="204">
        <f t="shared" si="4"/>
        <v>46233</v>
      </c>
    </row>
    <row r="363" spans="1:10" ht="10.8" x14ac:dyDescent="0.25">
      <c r="A363" s="43"/>
      <c r="B363" s="40"/>
      <c r="C363" s="41"/>
      <c r="D363" s="41"/>
      <c r="E363" s="41"/>
      <c r="F363" s="42"/>
      <c r="G363" s="15">
        <v>46266</v>
      </c>
      <c r="H363" s="19">
        <v>46261</v>
      </c>
      <c r="I363" s="20">
        <v>46260</v>
      </c>
      <c r="J363" s="204">
        <f t="shared" si="4"/>
        <v>46262</v>
      </c>
    </row>
    <row r="364" spans="1:10" ht="10.8" x14ac:dyDescent="0.25">
      <c r="A364" s="43"/>
      <c r="B364" s="40"/>
      <c r="C364" s="41"/>
      <c r="D364" s="41"/>
      <c r="E364" s="41"/>
      <c r="F364" s="42"/>
      <c r="G364" s="15">
        <v>46296</v>
      </c>
      <c r="H364" s="19">
        <v>46293</v>
      </c>
      <c r="I364" s="20">
        <v>46290</v>
      </c>
      <c r="J364" s="204">
        <f t="shared" si="4"/>
        <v>46294</v>
      </c>
    </row>
    <row r="365" spans="1:10" ht="10.8" x14ac:dyDescent="0.25">
      <c r="A365" s="43"/>
      <c r="B365" s="40"/>
      <c r="C365" s="41"/>
      <c r="D365" s="41"/>
      <c r="E365" s="41"/>
      <c r="F365" s="42"/>
      <c r="G365" s="15">
        <v>46327</v>
      </c>
      <c r="H365" s="19">
        <v>46323</v>
      </c>
      <c r="I365" s="20">
        <v>46322</v>
      </c>
      <c r="J365" s="204">
        <f t="shared" si="4"/>
        <v>46324</v>
      </c>
    </row>
    <row r="366" spans="1:10" ht="10.8" x14ac:dyDescent="0.25">
      <c r="A366" s="43"/>
      <c r="B366" s="40"/>
      <c r="C366" s="41"/>
      <c r="D366" s="41"/>
      <c r="E366" s="41"/>
      <c r="F366" s="42"/>
      <c r="G366" s="15">
        <v>46357</v>
      </c>
      <c r="H366" s="19">
        <v>46351</v>
      </c>
      <c r="I366" s="20">
        <v>46350</v>
      </c>
      <c r="J366" s="204">
        <f t="shared" si="4"/>
        <v>46352</v>
      </c>
    </row>
    <row r="367" spans="1:10" ht="10.8" x14ac:dyDescent="0.25">
      <c r="A367" s="43"/>
      <c r="B367" s="40"/>
      <c r="C367" s="41"/>
      <c r="D367" s="41"/>
      <c r="E367" s="41"/>
      <c r="F367" s="42"/>
      <c r="G367" s="15">
        <v>46388</v>
      </c>
      <c r="H367" s="19">
        <v>46385</v>
      </c>
      <c r="I367" s="20">
        <v>46384</v>
      </c>
      <c r="J367" s="204">
        <f t="shared" si="4"/>
        <v>46386</v>
      </c>
    </row>
    <row r="368" spans="1:10" ht="10.8" x14ac:dyDescent="0.25">
      <c r="A368" s="43"/>
      <c r="B368" s="40"/>
      <c r="C368" s="41"/>
      <c r="D368" s="41"/>
      <c r="E368" s="41"/>
      <c r="F368" s="42"/>
      <c r="G368" s="15">
        <v>46419</v>
      </c>
      <c r="H368" s="19">
        <v>46414</v>
      </c>
      <c r="I368" s="20">
        <v>46413</v>
      </c>
      <c r="J368" s="204">
        <f t="shared" si="4"/>
        <v>46415</v>
      </c>
    </row>
    <row r="369" spans="1:10" ht="10.8" x14ac:dyDescent="0.25">
      <c r="A369" s="43"/>
      <c r="B369" s="40"/>
      <c r="C369" s="41"/>
      <c r="D369" s="41"/>
      <c r="E369" s="41"/>
      <c r="F369" s="42"/>
      <c r="G369" s="15">
        <v>46447</v>
      </c>
      <c r="H369" s="19">
        <v>46442</v>
      </c>
      <c r="I369" s="20">
        <v>46441</v>
      </c>
      <c r="J369" s="204">
        <f t="shared" si="4"/>
        <v>46443</v>
      </c>
    </row>
    <row r="370" spans="1:10" ht="10.8" x14ac:dyDescent="0.25">
      <c r="A370" s="43"/>
      <c r="B370" s="40"/>
      <c r="C370" s="41"/>
      <c r="D370" s="41"/>
      <c r="E370" s="41"/>
      <c r="F370" s="42"/>
      <c r="G370" s="15">
        <v>46478</v>
      </c>
      <c r="H370" s="19">
        <v>46475</v>
      </c>
      <c r="I370" s="20">
        <v>46471</v>
      </c>
      <c r="J370" s="204">
        <f t="shared" si="4"/>
        <v>46476</v>
      </c>
    </row>
    <row r="371" spans="1:10" ht="10.8" x14ac:dyDescent="0.25">
      <c r="A371" s="43"/>
      <c r="B371" s="40"/>
      <c r="C371" s="41"/>
      <c r="D371" s="41"/>
      <c r="E371" s="41"/>
      <c r="F371" s="42"/>
      <c r="G371" s="15">
        <v>46508</v>
      </c>
      <c r="H371" s="19">
        <v>46505</v>
      </c>
      <c r="I371" s="20">
        <v>46504</v>
      </c>
      <c r="J371" s="204">
        <f t="shared" si="4"/>
        <v>46506</v>
      </c>
    </row>
    <row r="372" spans="1:10" ht="10.8" x14ac:dyDescent="0.25">
      <c r="A372" s="43"/>
      <c r="B372" s="40"/>
      <c r="C372" s="41"/>
      <c r="D372" s="41"/>
      <c r="E372" s="41"/>
      <c r="F372" s="42"/>
      <c r="G372" s="15">
        <v>46539</v>
      </c>
      <c r="H372" s="19">
        <v>46533</v>
      </c>
      <c r="I372" s="20">
        <v>46532</v>
      </c>
      <c r="J372" s="204">
        <f t="shared" si="4"/>
        <v>46534</v>
      </c>
    </row>
    <row r="373" spans="1:10" ht="10.8" x14ac:dyDescent="0.25">
      <c r="A373" s="43"/>
      <c r="B373" s="36"/>
      <c r="C373" s="36"/>
      <c r="D373" s="36"/>
      <c r="E373" s="36"/>
      <c r="F373" s="36"/>
      <c r="G373" s="15">
        <v>46569</v>
      </c>
      <c r="H373" s="19">
        <v>46566</v>
      </c>
      <c r="I373" s="20">
        <v>46563</v>
      </c>
      <c r="J373" s="204">
        <f t="shared" si="4"/>
        <v>46567</v>
      </c>
    </row>
    <row r="374" spans="1:10" ht="10.8" x14ac:dyDescent="0.25">
      <c r="A374" s="43"/>
      <c r="B374" s="36"/>
      <c r="C374" s="36"/>
      <c r="D374" s="36"/>
      <c r="E374" s="36"/>
      <c r="F374" s="36"/>
      <c r="G374" s="15">
        <v>46600</v>
      </c>
      <c r="H374" s="19">
        <v>46596</v>
      </c>
      <c r="I374" s="20">
        <v>46595</v>
      </c>
      <c r="J374" s="204">
        <f t="shared" si="4"/>
        <v>46597</v>
      </c>
    </row>
    <row r="375" spans="1:10" ht="10.8" x14ac:dyDescent="0.25">
      <c r="A375" s="43"/>
      <c r="B375" s="36"/>
      <c r="C375" s="36"/>
      <c r="D375" s="36"/>
      <c r="E375" s="36"/>
      <c r="F375" s="36"/>
      <c r="G375" s="15">
        <v>46631</v>
      </c>
      <c r="H375" s="19">
        <v>46626</v>
      </c>
      <c r="I375" s="20">
        <v>46625</v>
      </c>
      <c r="J375" s="204">
        <f t="shared" si="4"/>
        <v>46629</v>
      </c>
    </row>
    <row r="376" spans="1:10" ht="10.8" x14ac:dyDescent="0.25">
      <c r="A376" s="43"/>
      <c r="B376" s="36"/>
      <c r="C376" s="36"/>
      <c r="D376" s="36"/>
      <c r="E376" s="36"/>
      <c r="F376" s="36"/>
      <c r="G376" s="15">
        <v>46661</v>
      </c>
      <c r="H376" s="19">
        <v>46658</v>
      </c>
      <c r="I376" s="20">
        <v>46657</v>
      </c>
      <c r="J376" s="204">
        <f t="shared" ref="J376:J414" si="5">WORKDAY(H376,1)</f>
        <v>46659</v>
      </c>
    </row>
    <row r="377" spans="1:10" ht="10.8" x14ac:dyDescent="0.25">
      <c r="A377" s="43"/>
      <c r="B377" s="36"/>
      <c r="C377" s="36"/>
      <c r="D377" s="36"/>
      <c r="E377" s="36"/>
      <c r="F377" s="36"/>
      <c r="G377" s="15">
        <v>46692</v>
      </c>
      <c r="H377" s="19">
        <v>46687</v>
      </c>
      <c r="I377" s="20">
        <v>46686</v>
      </c>
      <c r="J377" s="204">
        <f t="shared" si="5"/>
        <v>46688</v>
      </c>
    </row>
    <row r="378" spans="1:10" ht="10.8" x14ac:dyDescent="0.25">
      <c r="A378" s="43"/>
      <c r="B378" s="36"/>
      <c r="C378" s="36"/>
      <c r="D378" s="36"/>
      <c r="E378" s="36"/>
      <c r="F378" s="36"/>
      <c r="G378" s="15">
        <v>46722</v>
      </c>
      <c r="H378" s="19">
        <v>46717</v>
      </c>
      <c r="I378" s="20">
        <v>46715</v>
      </c>
      <c r="J378" s="204">
        <f t="shared" si="5"/>
        <v>46720</v>
      </c>
    </row>
    <row r="379" spans="1:10" ht="10.8" x14ac:dyDescent="0.25">
      <c r="A379" s="43"/>
      <c r="B379" s="36"/>
      <c r="C379" s="36"/>
      <c r="D379" s="36"/>
      <c r="E379" s="36"/>
      <c r="F379" s="36"/>
      <c r="G379" s="15">
        <v>46753</v>
      </c>
      <c r="H379" s="19">
        <v>46749</v>
      </c>
      <c r="I379" s="20">
        <v>46748</v>
      </c>
      <c r="J379" s="204">
        <f t="shared" si="5"/>
        <v>46750</v>
      </c>
    </row>
    <row r="380" spans="1:10" ht="10.8" x14ac:dyDescent="0.25">
      <c r="A380" s="43"/>
      <c r="B380" s="36"/>
      <c r="C380" s="36"/>
      <c r="D380" s="36"/>
      <c r="E380" s="36"/>
      <c r="F380" s="36"/>
      <c r="G380" s="15">
        <v>46784</v>
      </c>
      <c r="H380" s="19">
        <v>46779</v>
      </c>
      <c r="I380" s="20">
        <v>46778</v>
      </c>
      <c r="J380" s="204">
        <f t="shared" si="5"/>
        <v>46780</v>
      </c>
    </row>
    <row r="381" spans="1:10" ht="10.8" x14ac:dyDescent="0.25">
      <c r="A381" s="43"/>
      <c r="B381" s="36"/>
      <c r="C381" s="36"/>
      <c r="D381" s="36"/>
      <c r="E381" s="36"/>
      <c r="F381" s="36"/>
      <c r="G381" s="15">
        <v>46813</v>
      </c>
      <c r="H381" s="19">
        <v>46808</v>
      </c>
      <c r="I381" s="20">
        <v>46807</v>
      </c>
      <c r="J381" s="204">
        <f t="shared" si="5"/>
        <v>46811</v>
      </c>
    </row>
    <row r="382" spans="1:10" ht="10.8" x14ac:dyDescent="0.25">
      <c r="A382" s="43"/>
      <c r="B382" s="36"/>
      <c r="C382" s="36"/>
      <c r="D382" s="36"/>
      <c r="E382" s="36"/>
      <c r="F382" s="36"/>
      <c r="G382" s="15">
        <v>46844</v>
      </c>
      <c r="H382" s="19">
        <v>46841</v>
      </c>
      <c r="I382" s="20">
        <v>46840</v>
      </c>
      <c r="J382" s="204">
        <f t="shared" si="5"/>
        <v>46842</v>
      </c>
    </row>
    <row r="383" spans="1:10" ht="10.8" x14ac:dyDescent="0.25">
      <c r="A383" s="43"/>
      <c r="B383" s="36"/>
      <c r="C383" s="36"/>
      <c r="D383" s="36"/>
      <c r="E383" s="36"/>
      <c r="F383" s="36"/>
      <c r="G383" s="15">
        <v>46874</v>
      </c>
      <c r="H383" s="19">
        <v>46869</v>
      </c>
      <c r="I383" s="20">
        <v>46868</v>
      </c>
      <c r="J383" s="204">
        <f t="shared" si="5"/>
        <v>46870</v>
      </c>
    </row>
    <row r="384" spans="1:10" ht="10.8" x14ac:dyDescent="0.25">
      <c r="A384" s="43"/>
      <c r="B384" s="36"/>
      <c r="C384" s="36"/>
      <c r="D384" s="36"/>
      <c r="E384" s="36"/>
      <c r="F384" s="36"/>
      <c r="G384" s="15">
        <v>46905</v>
      </c>
      <c r="H384" s="19">
        <v>46899</v>
      </c>
      <c r="I384" s="20">
        <v>46898</v>
      </c>
      <c r="J384" s="204">
        <f t="shared" si="5"/>
        <v>46902</v>
      </c>
    </row>
    <row r="385" spans="1:10" ht="10.8" x14ac:dyDescent="0.25">
      <c r="A385" s="43"/>
      <c r="B385" s="43"/>
      <c r="C385" s="43"/>
      <c r="D385" s="43"/>
      <c r="E385" s="43"/>
      <c r="F385" s="43"/>
      <c r="G385" s="15">
        <v>46935</v>
      </c>
      <c r="H385" s="19">
        <v>46932</v>
      </c>
      <c r="I385" s="20">
        <v>46931</v>
      </c>
      <c r="J385" s="204">
        <f t="shared" si="5"/>
        <v>46933</v>
      </c>
    </row>
    <row r="386" spans="1:10" ht="10.8" x14ac:dyDescent="0.25">
      <c r="A386" s="43"/>
      <c r="B386" s="43"/>
      <c r="C386" s="43"/>
      <c r="D386" s="43"/>
      <c r="E386" s="43"/>
      <c r="F386" s="43"/>
      <c r="G386" s="15">
        <v>46966</v>
      </c>
      <c r="H386" s="19">
        <v>46961</v>
      </c>
      <c r="I386" s="20">
        <v>46960</v>
      </c>
      <c r="J386" s="204">
        <f t="shared" si="5"/>
        <v>46962</v>
      </c>
    </row>
    <row r="387" spans="1:10" ht="10.8" x14ac:dyDescent="0.25">
      <c r="A387" s="43"/>
      <c r="B387" s="43"/>
      <c r="C387" s="43"/>
      <c r="D387" s="43"/>
      <c r="E387" s="43"/>
      <c r="F387" s="43"/>
      <c r="G387" s="15">
        <v>46997</v>
      </c>
      <c r="H387" s="19">
        <v>46994</v>
      </c>
      <c r="I387" s="20">
        <v>46993</v>
      </c>
      <c r="J387" s="204">
        <f t="shared" si="5"/>
        <v>46995</v>
      </c>
    </row>
    <row r="388" spans="1:10" ht="10.8" x14ac:dyDescent="0.25">
      <c r="A388" s="43"/>
      <c r="B388" s="43"/>
      <c r="C388" s="43"/>
      <c r="D388" s="43"/>
      <c r="E388" s="43"/>
      <c r="F388" s="43"/>
      <c r="G388" s="15">
        <v>47027</v>
      </c>
      <c r="H388" s="19">
        <v>47023</v>
      </c>
      <c r="I388" s="20">
        <v>47022</v>
      </c>
      <c r="J388" s="204">
        <f t="shared" si="5"/>
        <v>47024</v>
      </c>
    </row>
    <row r="389" spans="1:10" ht="10.8" x14ac:dyDescent="0.25">
      <c r="A389" s="43"/>
      <c r="B389" s="43"/>
      <c r="C389" s="43"/>
      <c r="D389" s="43"/>
      <c r="E389" s="43"/>
      <c r="F389" s="43"/>
      <c r="G389" s="15">
        <v>47058</v>
      </c>
      <c r="H389" s="19">
        <v>47053</v>
      </c>
      <c r="I389" s="20">
        <v>47052</v>
      </c>
      <c r="J389" s="204">
        <f t="shared" si="5"/>
        <v>47056</v>
      </c>
    </row>
    <row r="390" spans="1:10" ht="10.8" x14ac:dyDescent="0.25">
      <c r="A390" s="43"/>
      <c r="B390" s="43"/>
      <c r="C390" s="43"/>
      <c r="D390" s="43"/>
      <c r="E390" s="43"/>
      <c r="F390" s="43"/>
      <c r="G390" s="15">
        <v>47088</v>
      </c>
      <c r="H390" s="19">
        <v>47085</v>
      </c>
      <c r="I390" s="20">
        <v>47084</v>
      </c>
      <c r="J390" s="204">
        <f t="shared" si="5"/>
        <v>47086</v>
      </c>
    </row>
    <row r="391" spans="1:10" ht="10.8" x14ac:dyDescent="0.25">
      <c r="A391" s="43"/>
      <c r="B391" s="43"/>
      <c r="C391" s="43"/>
      <c r="D391" s="43"/>
      <c r="E391" s="43"/>
      <c r="F391" s="43"/>
      <c r="G391" s="15">
        <v>47119</v>
      </c>
      <c r="H391" s="19">
        <v>47114</v>
      </c>
      <c r="I391" s="20">
        <v>47113</v>
      </c>
      <c r="J391" s="204">
        <f t="shared" si="5"/>
        <v>47115</v>
      </c>
    </row>
    <row r="392" spans="1:10" ht="10.8" x14ac:dyDescent="0.25">
      <c r="A392" s="43"/>
      <c r="B392" s="43"/>
      <c r="C392" s="43"/>
      <c r="D392" s="43"/>
      <c r="E392" s="43"/>
      <c r="F392" s="43"/>
      <c r="G392" s="15">
        <v>47150</v>
      </c>
      <c r="H392" s="19">
        <v>47147</v>
      </c>
      <c r="I392" s="20">
        <v>47144</v>
      </c>
      <c r="J392" s="204">
        <f t="shared" si="5"/>
        <v>47148</v>
      </c>
    </row>
    <row r="393" spans="1:10" ht="10.8" x14ac:dyDescent="0.25">
      <c r="A393" s="43"/>
      <c r="B393" s="43"/>
      <c r="C393" s="43"/>
      <c r="D393" s="43"/>
      <c r="E393" s="43"/>
      <c r="F393" s="43"/>
      <c r="G393" s="15">
        <v>47178</v>
      </c>
      <c r="H393" s="19">
        <v>47175</v>
      </c>
      <c r="I393" s="20">
        <v>47172</v>
      </c>
      <c r="J393" s="204">
        <f t="shared" si="5"/>
        <v>47176</v>
      </c>
    </row>
    <row r="394" spans="1:10" ht="10.8" x14ac:dyDescent="0.25">
      <c r="A394" s="43"/>
      <c r="B394" s="43"/>
      <c r="C394" s="43"/>
      <c r="D394" s="43"/>
      <c r="E394" s="43"/>
      <c r="F394" s="43"/>
      <c r="G394" s="15">
        <v>47209</v>
      </c>
      <c r="H394" s="19">
        <v>47204</v>
      </c>
      <c r="I394" s="20">
        <v>47203</v>
      </c>
      <c r="J394" s="204">
        <f t="shared" si="5"/>
        <v>47205</v>
      </c>
    </row>
    <row r="395" spans="1:10" ht="10.8" x14ac:dyDescent="0.25">
      <c r="A395" s="43"/>
      <c r="B395" s="43"/>
      <c r="C395" s="43"/>
      <c r="D395" s="43"/>
      <c r="E395" s="43"/>
      <c r="F395" s="43"/>
      <c r="G395" s="15">
        <v>47239</v>
      </c>
      <c r="H395" s="19">
        <v>47234</v>
      </c>
      <c r="I395" s="20">
        <v>47233</v>
      </c>
      <c r="J395" s="204">
        <f t="shared" si="5"/>
        <v>47235</v>
      </c>
    </row>
    <row r="396" spans="1:10" ht="10.8" x14ac:dyDescent="0.25">
      <c r="A396" s="43"/>
      <c r="B396" s="43"/>
      <c r="C396" s="43"/>
      <c r="D396" s="43"/>
      <c r="E396" s="43"/>
      <c r="F396" s="43"/>
      <c r="G396" s="15">
        <v>47270</v>
      </c>
      <c r="H396" s="19">
        <v>47267</v>
      </c>
      <c r="I396" s="20">
        <v>47263</v>
      </c>
      <c r="J396" s="204">
        <f t="shared" si="5"/>
        <v>47268</v>
      </c>
    </row>
    <row r="397" spans="1:10" ht="10.8" x14ac:dyDescent="0.25">
      <c r="A397" s="43"/>
      <c r="B397" s="43"/>
      <c r="C397" s="43"/>
      <c r="D397" s="43"/>
      <c r="E397" s="43"/>
      <c r="F397" s="43"/>
      <c r="G397" s="15">
        <v>47300</v>
      </c>
      <c r="H397" s="19">
        <v>47296</v>
      </c>
      <c r="I397" s="20">
        <v>47295</v>
      </c>
      <c r="J397" s="204">
        <f t="shared" si="5"/>
        <v>47297</v>
      </c>
    </row>
    <row r="398" spans="1:10" ht="10.8" x14ac:dyDescent="0.25">
      <c r="A398" s="43"/>
      <c r="B398" s="43"/>
      <c r="C398" s="43"/>
      <c r="D398" s="43"/>
      <c r="E398" s="43"/>
      <c r="F398" s="43"/>
      <c r="G398" s="15">
        <v>47331</v>
      </c>
      <c r="H398" s="19">
        <v>47326</v>
      </c>
      <c r="I398" s="20">
        <v>47325</v>
      </c>
      <c r="J398" s="204">
        <f t="shared" si="5"/>
        <v>47329</v>
      </c>
    </row>
    <row r="399" spans="1:10" ht="10.8" x14ac:dyDescent="0.25">
      <c r="A399" s="43"/>
      <c r="B399" s="43"/>
      <c r="C399" s="43"/>
      <c r="D399" s="43"/>
      <c r="E399" s="43"/>
      <c r="F399" s="43"/>
      <c r="G399" s="15">
        <v>47362</v>
      </c>
      <c r="H399" s="19">
        <v>47359</v>
      </c>
      <c r="I399" s="20">
        <v>47358</v>
      </c>
      <c r="J399" s="204">
        <f t="shared" si="5"/>
        <v>47360</v>
      </c>
    </row>
    <row r="400" spans="1:10" ht="10.8" x14ac:dyDescent="0.25">
      <c r="A400" s="43"/>
      <c r="B400" s="43"/>
      <c r="C400" s="43"/>
      <c r="D400" s="43"/>
      <c r="E400" s="43"/>
      <c r="F400" s="43"/>
      <c r="G400" s="15">
        <v>47392</v>
      </c>
      <c r="H400" s="19">
        <v>47387</v>
      </c>
      <c r="I400" s="20">
        <v>47386</v>
      </c>
      <c r="J400" s="204">
        <f t="shared" si="5"/>
        <v>47388</v>
      </c>
    </row>
    <row r="401" spans="1:10" ht="10.8" x14ac:dyDescent="0.25">
      <c r="A401" s="43"/>
      <c r="B401" s="43"/>
      <c r="C401" s="43"/>
      <c r="D401" s="43"/>
      <c r="E401" s="43"/>
      <c r="F401" s="43"/>
      <c r="G401" s="15">
        <v>47423</v>
      </c>
      <c r="H401" s="19">
        <v>47420</v>
      </c>
      <c r="I401" s="20">
        <v>47417</v>
      </c>
      <c r="J401" s="204">
        <f t="shared" si="5"/>
        <v>47421</v>
      </c>
    </row>
    <row r="402" spans="1:10" ht="10.8" x14ac:dyDescent="0.25">
      <c r="A402" s="43"/>
      <c r="B402" s="43"/>
      <c r="C402" s="43"/>
      <c r="D402" s="43"/>
      <c r="E402" s="43"/>
      <c r="F402" s="43"/>
      <c r="G402" s="15">
        <v>47453</v>
      </c>
      <c r="H402" s="19">
        <v>47450</v>
      </c>
      <c r="I402" s="20">
        <v>47449</v>
      </c>
      <c r="J402" s="204">
        <f t="shared" si="5"/>
        <v>47451</v>
      </c>
    </row>
    <row r="403" spans="1:10" ht="10.8" x14ac:dyDescent="0.25">
      <c r="A403" s="43"/>
      <c r="B403" s="43"/>
      <c r="C403" s="43"/>
      <c r="D403" s="43"/>
      <c r="E403" s="43"/>
      <c r="F403" s="43"/>
      <c r="G403" s="15">
        <v>47484</v>
      </c>
      <c r="H403" s="19">
        <v>47479</v>
      </c>
      <c r="I403" s="20">
        <v>47478</v>
      </c>
      <c r="J403" s="204">
        <f t="shared" si="5"/>
        <v>47480</v>
      </c>
    </row>
    <row r="404" spans="1:10" ht="10.8" x14ac:dyDescent="0.25">
      <c r="A404" s="43"/>
      <c r="B404" s="43"/>
      <c r="C404" s="43"/>
      <c r="D404" s="43"/>
      <c r="E404" s="43"/>
      <c r="F404" s="43"/>
      <c r="G404" s="15">
        <v>47515</v>
      </c>
      <c r="H404" s="19">
        <v>47512</v>
      </c>
      <c r="I404" s="20">
        <v>47511</v>
      </c>
      <c r="J404" s="204">
        <f t="shared" si="5"/>
        <v>47513</v>
      </c>
    </row>
    <row r="405" spans="1:10" ht="10.8" x14ac:dyDescent="0.25">
      <c r="A405" s="43"/>
      <c r="B405" s="43"/>
      <c r="C405" s="43"/>
      <c r="D405" s="43"/>
      <c r="E405" s="43"/>
      <c r="F405" s="43"/>
      <c r="G405" s="15">
        <v>47543</v>
      </c>
      <c r="H405" s="19">
        <v>47540</v>
      </c>
      <c r="I405" s="20">
        <v>47539</v>
      </c>
      <c r="J405" s="204">
        <f t="shared" si="5"/>
        <v>47541</v>
      </c>
    </row>
    <row r="406" spans="1:10" ht="10.8" x14ac:dyDescent="0.25">
      <c r="A406" s="43"/>
      <c r="B406" s="43"/>
      <c r="C406" s="43"/>
      <c r="D406" s="43"/>
      <c r="E406" s="43"/>
      <c r="F406" s="43"/>
      <c r="G406" s="15">
        <v>47574</v>
      </c>
      <c r="H406" s="19">
        <v>47569</v>
      </c>
      <c r="I406" s="20">
        <v>47568</v>
      </c>
      <c r="J406" s="204">
        <f t="shared" si="5"/>
        <v>47570</v>
      </c>
    </row>
    <row r="407" spans="1:10" ht="10.8" x14ac:dyDescent="0.25">
      <c r="A407" s="43"/>
      <c r="B407" s="43"/>
      <c r="C407" s="43"/>
      <c r="D407" s="43"/>
      <c r="E407" s="43"/>
      <c r="F407" s="43"/>
      <c r="G407" s="15">
        <v>47604</v>
      </c>
      <c r="H407" s="19">
        <v>47599</v>
      </c>
      <c r="I407" s="20">
        <v>47598</v>
      </c>
      <c r="J407" s="204">
        <f t="shared" si="5"/>
        <v>47602</v>
      </c>
    </row>
    <row r="408" spans="1:10" ht="10.8" x14ac:dyDescent="0.25">
      <c r="A408" s="43"/>
      <c r="B408" s="43"/>
      <c r="C408" s="43"/>
      <c r="D408" s="43"/>
      <c r="E408" s="43"/>
      <c r="F408" s="43"/>
      <c r="G408" s="15">
        <v>47635</v>
      </c>
      <c r="H408" s="19">
        <v>47632</v>
      </c>
      <c r="I408" s="20">
        <v>47631</v>
      </c>
      <c r="J408" s="204">
        <f t="shared" si="5"/>
        <v>47633</v>
      </c>
    </row>
    <row r="409" spans="1:10" ht="10.8" x14ac:dyDescent="0.25">
      <c r="A409" s="43"/>
      <c r="B409" s="43"/>
      <c r="C409" s="43"/>
      <c r="D409" s="43"/>
      <c r="E409" s="43"/>
      <c r="F409" s="43"/>
      <c r="G409" s="15">
        <v>47665</v>
      </c>
      <c r="H409" s="19">
        <v>47660</v>
      </c>
      <c r="I409" s="20">
        <v>47659</v>
      </c>
      <c r="J409" s="204">
        <f t="shared" si="5"/>
        <v>47661</v>
      </c>
    </row>
    <row r="410" spans="1:10" ht="10.8" x14ac:dyDescent="0.25">
      <c r="A410" s="43"/>
      <c r="B410" s="43"/>
      <c r="C410" s="43"/>
      <c r="D410" s="43"/>
      <c r="E410" s="43"/>
      <c r="F410" s="43"/>
      <c r="G410" s="15">
        <v>47696</v>
      </c>
      <c r="H410" s="19">
        <v>47693</v>
      </c>
      <c r="I410" s="20">
        <v>47690</v>
      </c>
      <c r="J410" s="204">
        <f t="shared" si="5"/>
        <v>47694</v>
      </c>
    </row>
    <row r="411" spans="1:10" ht="10.8" x14ac:dyDescent="0.25">
      <c r="A411" s="43"/>
      <c r="B411" s="43"/>
      <c r="C411" s="43"/>
      <c r="D411" s="43"/>
      <c r="E411" s="43"/>
      <c r="F411" s="43"/>
      <c r="G411" s="15">
        <v>47727</v>
      </c>
      <c r="H411" s="19">
        <v>47723</v>
      </c>
      <c r="I411" s="20">
        <v>47722</v>
      </c>
      <c r="J411" s="204">
        <f t="shared" si="5"/>
        <v>47724</v>
      </c>
    </row>
    <row r="412" spans="1:10" ht="10.8" x14ac:dyDescent="0.25">
      <c r="A412" s="43"/>
      <c r="B412" s="43"/>
      <c r="C412" s="43"/>
      <c r="D412" s="43"/>
      <c r="E412" s="43"/>
      <c r="F412" s="43"/>
      <c r="G412" s="15">
        <v>47757</v>
      </c>
      <c r="H412" s="19">
        <v>47752</v>
      </c>
      <c r="I412" s="20">
        <v>47751</v>
      </c>
      <c r="J412" s="204">
        <f t="shared" si="5"/>
        <v>47753</v>
      </c>
    </row>
    <row r="413" spans="1:10" ht="10.8" x14ac:dyDescent="0.25">
      <c r="A413" s="43"/>
      <c r="B413" s="43"/>
      <c r="C413" s="43"/>
      <c r="D413" s="43"/>
      <c r="E413" s="43"/>
      <c r="F413" s="43"/>
      <c r="G413" s="15">
        <v>47788</v>
      </c>
      <c r="H413" s="19">
        <v>47785</v>
      </c>
      <c r="I413" s="20">
        <v>47784</v>
      </c>
      <c r="J413" s="204">
        <f t="shared" si="5"/>
        <v>47786</v>
      </c>
    </row>
    <row r="414" spans="1:10" ht="11.4" thickBot="1" x14ac:dyDescent="0.3">
      <c r="A414" s="43"/>
      <c r="B414" s="43"/>
      <c r="C414" s="43"/>
      <c r="D414" s="43"/>
      <c r="E414" s="43"/>
      <c r="F414" s="43"/>
      <c r="G414" s="16">
        <v>47818</v>
      </c>
      <c r="H414" s="21">
        <v>47813</v>
      </c>
      <c r="I414" s="22">
        <v>47812</v>
      </c>
      <c r="J414" s="204">
        <f t="shared" si="5"/>
        <v>47814</v>
      </c>
    </row>
    <row r="415" spans="1:10" x14ac:dyDescent="0.2">
      <c r="A415" s="44"/>
      <c r="B415" s="44"/>
      <c r="C415" s="44"/>
      <c r="D415" s="44"/>
      <c r="E415" s="44"/>
      <c r="F415" s="44"/>
    </row>
    <row r="416" spans="1:10" x14ac:dyDescent="0.2">
      <c r="A416" s="44"/>
      <c r="B416" s="44"/>
      <c r="C416" s="44"/>
      <c r="D416" s="44"/>
      <c r="E416" s="44"/>
      <c r="F416" s="44"/>
    </row>
    <row r="417" spans="1:6" x14ac:dyDescent="0.2">
      <c r="A417" s="44"/>
      <c r="B417" s="44"/>
      <c r="C417" s="44"/>
      <c r="D417" s="44"/>
      <c r="E417" s="44"/>
      <c r="F417" s="44"/>
    </row>
    <row r="418" spans="1:6" x14ac:dyDescent="0.2">
      <c r="A418" s="44"/>
      <c r="B418" s="44"/>
      <c r="C418" s="44"/>
      <c r="D418" s="44"/>
      <c r="E418" s="44"/>
      <c r="F418" s="44"/>
    </row>
    <row r="419" spans="1:6" x14ac:dyDescent="0.2">
      <c r="A419" s="44"/>
      <c r="B419" s="44"/>
      <c r="C419" s="44"/>
      <c r="D419" s="44"/>
      <c r="E419" s="44"/>
      <c r="F419" s="44"/>
    </row>
    <row r="420" spans="1:6" x14ac:dyDescent="0.2">
      <c r="A420" s="44"/>
      <c r="B420" s="44"/>
      <c r="C420" s="44"/>
      <c r="D420" s="44"/>
      <c r="E420" s="44"/>
      <c r="F420" s="44"/>
    </row>
    <row r="421" spans="1:6" x14ac:dyDescent="0.2">
      <c r="A421" s="44"/>
      <c r="B421" s="44"/>
      <c r="C421" s="44"/>
      <c r="D421" s="44"/>
      <c r="E421" s="44"/>
      <c r="F421" s="44"/>
    </row>
    <row r="422" spans="1:6" x14ac:dyDescent="0.2">
      <c r="A422" s="44"/>
      <c r="B422" s="44"/>
      <c r="C422" s="44"/>
      <c r="D422" s="44"/>
      <c r="E422" s="44"/>
      <c r="F422" s="44"/>
    </row>
    <row r="423" spans="1:6" x14ac:dyDescent="0.2">
      <c r="A423" s="44"/>
      <c r="B423" s="44"/>
      <c r="C423" s="44"/>
      <c r="D423" s="44"/>
      <c r="E423" s="44"/>
      <c r="F423" s="44"/>
    </row>
    <row r="424" spans="1:6" x14ac:dyDescent="0.2">
      <c r="A424" s="44"/>
      <c r="B424" s="44"/>
      <c r="C424" s="44"/>
      <c r="D424" s="44"/>
      <c r="E424" s="44"/>
      <c r="F424" s="44"/>
    </row>
    <row r="425" spans="1:6" x14ac:dyDescent="0.2">
      <c r="A425" s="44"/>
      <c r="B425" s="44"/>
      <c r="C425" s="44"/>
      <c r="D425" s="44"/>
      <c r="E425" s="44"/>
      <c r="F425" s="44"/>
    </row>
    <row r="426" spans="1:6" x14ac:dyDescent="0.2">
      <c r="A426" s="44"/>
      <c r="B426" s="44"/>
      <c r="C426" s="44"/>
      <c r="D426" s="44"/>
      <c r="E426" s="44"/>
      <c r="F426" s="44"/>
    </row>
    <row r="427" spans="1:6" x14ac:dyDescent="0.2">
      <c r="A427" s="44"/>
      <c r="B427" s="44"/>
      <c r="C427" s="44"/>
      <c r="D427" s="44"/>
      <c r="E427" s="44"/>
      <c r="F427" s="44"/>
    </row>
    <row r="428" spans="1:6" x14ac:dyDescent="0.2">
      <c r="A428" s="44"/>
      <c r="B428" s="44"/>
      <c r="C428" s="44"/>
      <c r="D428" s="44"/>
      <c r="E428" s="44"/>
      <c r="F428" s="44"/>
    </row>
    <row r="429" spans="1:6" x14ac:dyDescent="0.2">
      <c r="A429" s="44"/>
      <c r="B429" s="44"/>
      <c r="C429" s="44"/>
      <c r="D429" s="44"/>
      <c r="E429" s="44"/>
      <c r="F429" s="44"/>
    </row>
    <row r="430" spans="1:6" x14ac:dyDescent="0.2">
      <c r="A430" s="44"/>
      <c r="B430" s="44"/>
      <c r="C430" s="44"/>
      <c r="D430" s="44"/>
      <c r="E430" s="44"/>
      <c r="F430" s="44"/>
    </row>
    <row r="431" spans="1:6" x14ac:dyDescent="0.2">
      <c r="A431" s="44"/>
      <c r="B431" s="44"/>
      <c r="C431" s="44"/>
      <c r="D431" s="44"/>
      <c r="E431" s="44"/>
      <c r="F431" s="44"/>
    </row>
    <row r="432" spans="1:6" x14ac:dyDescent="0.2">
      <c r="A432" s="44"/>
      <c r="B432" s="44"/>
      <c r="C432" s="44"/>
      <c r="D432" s="44"/>
      <c r="E432" s="44"/>
      <c r="F432" s="44"/>
    </row>
    <row r="433" spans="1:6" x14ac:dyDescent="0.2">
      <c r="A433" s="44"/>
      <c r="B433" s="44"/>
      <c r="C433" s="44"/>
      <c r="D433" s="44"/>
      <c r="E433" s="44"/>
      <c r="F433" s="44"/>
    </row>
    <row r="434" spans="1:6" x14ac:dyDescent="0.2">
      <c r="A434" s="44"/>
      <c r="B434" s="44"/>
      <c r="C434" s="44"/>
      <c r="D434" s="44"/>
      <c r="E434" s="44"/>
      <c r="F434" s="44"/>
    </row>
    <row r="435" spans="1:6" x14ac:dyDescent="0.2">
      <c r="A435" s="44"/>
      <c r="B435" s="44"/>
      <c r="C435" s="44"/>
      <c r="D435" s="44"/>
      <c r="E435" s="44"/>
      <c r="F435" s="44"/>
    </row>
    <row r="436" spans="1:6" x14ac:dyDescent="0.2">
      <c r="A436" s="44"/>
      <c r="B436" s="44"/>
      <c r="C436" s="44"/>
      <c r="D436" s="44"/>
      <c r="E436" s="44"/>
      <c r="F436" s="44"/>
    </row>
    <row r="437" spans="1:6" x14ac:dyDescent="0.2">
      <c r="A437" s="44"/>
      <c r="B437" s="44"/>
      <c r="C437" s="44"/>
      <c r="D437" s="44"/>
      <c r="E437" s="44"/>
      <c r="F437" s="44"/>
    </row>
    <row r="438" spans="1:6" x14ac:dyDescent="0.2">
      <c r="A438" s="44"/>
      <c r="B438" s="44"/>
      <c r="C438" s="44"/>
      <c r="D438" s="44"/>
      <c r="E438" s="44"/>
      <c r="F438" s="44"/>
    </row>
    <row r="439" spans="1:6" x14ac:dyDescent="0.2">
      <c r="A439" s="44"/>
      <c r="B439" s="44"/>
      <c r="C439" s="44"/>
      <c r="D439" s="44"/>
      <c r="E439" s="44"/>
      <c r="F439" s="44"/>
    </row>
    <row r="440" spans="1:6" x14ac:dyDescent="0.2">
      <c r="A440" s="44"/>
      <c r="B440" s="44"/>
      <c r="C440" s="44"/>
      <c r="D440" s="44"/>
      <c r="E440" s="44"/>
      <c r="F440" s="44"/>
    </row>
    <row r="441" spans="1:6" x14ac:dyDescent="0.2">
      <c r="A441" s="44"/>
      <c r="B441" s="44"/>
      <c r="C441" s="44"/>
      <c r="D441" s="44"/>
      <c r="E441" s="44"/>
      <c r="F441" s="44"/>
    </row>
    <row r="442" spans="1:6" x14ac:dyDescent="0.2">
      <c r="A442" s="44"/>
      <c r="B442" s="44"/>
      <c r="C442" s="44"/>
      <c r="D442" s="44"/>
      <c r="E442" s="44"/>
      <c r="F442" s="44"/>
    </row>
    <row r="443" spans="1:6" x14ac:dyDescent="0.2">
      <c r="A443" s="44"/>
      <c r="B443" s="44"/>
      <c r="C443" s="44"/>
      <c r="D443" s="44"/>
      <c r="E443" s="44"/>
      <c r="F443" s="44"/>
    </row>
    <row r="444" spans="1:6" x14ac:dyDescent="0.2">
      <c r="A444" s="44"/>
      <c r="B444" s="44"/>
      <c r="C444" s="44"/>
      <c r="D444" s="44"/>
      <c r="E444" s="44"/>
      <c r="F444" s="44"/>
    </row>
    <row r="445" spans="1:6" x14ac:dyDescent="0.2">
      <c r="A445" s="44"/>
      <c r="B445" s="44"/>
      <c r="C445" s="44"/>
      <c r="D445" s="44"/>
      <c r="E445" s="44"/>
      <c r="F445" s="44"/>
    </row>
    <row r="446" spans="1:6" x14ac:dyDescent="0.2">
      <c r="A446" s="44"/>
      <c r="B446" s="44"/>
      <c r="C446" s="44"/>
      <c r="D446" s="44"/>
      <c r="E446" s="44"/>
      <c r="F446" s="44"/>
    </row>
    <row r="447" spans="1:6" x14ac:dyDescent="0.2">
      <c r="A447" s="44"/>
      <c r="B447" s="44"/>
      <c r="C447" s="44"/>
      <c r="D447" s="44"/>
      <c r="E447" s="44"/>
      <c r="F447" s="44"/>
    </row>
    <row r="448" spans="1:6" x14ac:dyDescent="0.2">
      <c r="A448" s="44"/>
      <c r="B448" s="44"/>
      <c r="C448" s="44"/>
      <c r="D448" s="44"/>
      <c r="E448" s="44"/>
      <c r="F448" s="44"/>
    </row>
    <row r="449" spans="1:6" x14ac:dyDescent="0.2">
      <c r="A449" s="44"/>
      <c r="B449" s="44"/>
      <c r="C449" s="44"/>
      <c r="D449" s="44"/>
      <c r="E449" s="44"/>
      <c r="F449" s="44"/>
    </row>
    <row r="450" spans="1:6" x14ac:dyDescent="0.2">
      <c r="A450" s="44"/>
      <c r="B450" s="44"/>
      <c r="C450" s="44"/>
      <c r="D450" s="44"/>
      <c r="E450" s="44"/>
      <c r="F450" s="44"/>
    </row>
    <row r="451" spans="1:6" x14ac:dyDescent="0.2">
      <c r="A451" s="44"/>
      <c r="B451" s="44"/>
      <c r="C451" s="44"/>
      <c r="D451" s="44"/>
      <c r="E451" s="44"/>
      <c r="F451" s="44"/>
    </row>
    <row r="452" spans="1:6" x14ac:dyDescent="0.2">
      <c r="A452" s="44"/>
      <c r="B452" s="44"/>
      <c r="C452" s="44"/>
      <c r="D452" s="44"/>
      <c r="E452" s="44"/>
      <c r="F452" s="44"/>
    </row>
    <row r="453" spans="1:6" x14ac:dyDescent="0.2">
      <c r="A453" s="44"/>
      <c r="B453" s="44"/>
      <c r="C453" s="44"/>
      <c r="D453" s="44"/>
      <c r="E453" s="44"/>
      <c r="F453" s="44"/>
    </row>
    <row r="454" spans="1:6" x14ac:dyDescent="0.2">
      <c r="A454" s="44"/>
      <c r="B454" s="44"/>
      <c r="C454" s="44"/>
      <c r="D454" s="44"/>
      <c r="E454" s="44"/>
      <c r="F454" s="44"/>
    </row>
    <row r="455" spans="1:6" x14ac:dyDescent="0.2">
      <c r="A455" s="44"/>
      <c r="B455" s="44"/>
      <c r="C455" s="44"/>
      <c r="D455" s="44"/>
      <c r="E455" s="44"/>
      <c r="F455" s="44"/>
    </row>
    <row r="456" spans="1:6" x14ac:dyDescent="0.2">
      <c r="A456" s="44"/>
      <c r="B456" s="44"/>
      <c r="C456" s="44"/>
      <c r="D456" s="44"/>
      <c r="E456" s="44"/>
      <c r="F456" s="44"/>
    </row>
    <row r="457" spans="1:6" x14ac:dyDescent="0.2">
      <c r="A457" s="44"/>
      <c r="B457" s="44"/>
      <c r="C457" s="44"/>
      <c r="D457" s="44"/>
      <c r="E457" s="44"/>
      <c r="F457" s="44"/>
    </row>
    <row r="458" spans="1:6" x14ac:dyDescent="0.2">
      <c r="A458" s="44"/>
      <c r="B458" s="44"/>
      <c r="C458" s="44"/>
      <c r="D458" s="44"/>
      <c r="E458" s="44"/>
      <c r="F458" s="44"/>
    </row>
    <row r="459" spans="1:6" x14ac:dyDescent="0.2">
      <c r="A459" s="44"/>
      <c r="B459" s="44"/>
      <c r="C459" s="44"/>
      <c r="D459" s="44"/>
      <c r="E459" s="44"/>
      <c r="F459" s="44"/>
    </row>
    <row r="460" spans="1:6" x14ac:dyDescent="0.2">
      <c r="A460" s="44"/>
      <c r="B460" s="44"/>
      <c r="C460" s="44"/>
      <c r="D460" s="44"/>
      <c r="E460" s="44"/>
      <c r="F460" s="44"/>
    </row>
    <row r="461" spans="1:6" x14ac:dyDescent="0.2">
      <c r="A461" s="44"/>
      <c r="B461" s="44"/>
      <c r="C461" s="44"/>
      <c r="D461" s="44"/>
      <c r="E461" s="44"/>
      <c r="F461" s="44"/>
    </row>
    <row r="462" spans="1:6" x14ac:dyDescent="0.2">
      <c r="A462" s="44"/>
      <c r="B462" s="44"/>
      <c r="C462" s="44"/>
      <c r="D462" s="44"/>
      <c r="E462" s="44"/>
      <c r="F462" s="44"/>
    </row>
    <row r="463" spans="1:6" x14ac:dyDescent="0.2">
      <c r="A463" s="44"/>
      <c r="B463" s="44"/>
      <c r="C463" s="44"/>
      <c r="D463" s="44"/>
      <c r="E463" s="44"/>
      <c r="F463" s="44"/>
    </row>
    <row r="464" spans="1:6" x14ac:dyDescent="0.2">
      <c r="A464" s="44"/>
      <c r="B464" s="44"/>
      <c r="C464" s="44"/>
      <c r="D464" s="44"/>
      <c r="E464" s="44"/>
      <c r="F464" s="44"/>
    </row>
    <row r="465" spans="1:6" x14ac:dyDescent="0.2">
      <c r="A465" s="44"/>
      <c r="B465" s="44"/>
      <c r="C465" s="44"/>
      <c r="D465" s="44"/>
      <c r="E465" s="44"/>
      <c r="F465" s="44"/>
    </row>
    <row r="466" spans="1:6" x14ac:dyDescent="0.2">
      <c r="A466" s="44"/>
      <c r="B466" s="44"/>
      <c r="C466" s="44"/>
      <c r="D466" s="44"/>
      <c r="E466" s="44"/>
      <c r="F466" s="44"/>
    </row>
    <row r="467" spans="1:6" x14ac:dyDescent="0.2">
      <c r="A467" s="44"/>
      <c r="B467" s="44"/>
      <c r="C467" s="44"/>
      <c r="D467" s="44"/>
      <c r="E467" s="44"/>
      <c r="F467" s="44"/>
    </row>
    <row r="468" spans="1:6" x14ac:dyDescent="0.2">
      <c r="A468" s="44"/>
      <c r="B468" s="44"/>
      <c r="C468" s="44"/>
      <c r="D468" s="44"/>
      <c r="E468" s="44"/>
      <c r="F468" s="44"/>
    </row>
    <row r="469" spans="1:6" x14ac:dyDescent="0.2">
      <c r="A469" s="44"/>
      <c r="B469" s="44"/>
      <c r="C469" s="44"/>
      <c r="D469" s="44"/>
      <c r="E469" s="44"/>
      <c r="F469" s="44"/>
    </row>
    <row r="470" spans="1:6" x14ac:dyDescent="0.2">
      <c r="A470" s="44"/>
      <c r="B470" s="44"/>
      <c r="C470" s="44"/>
      <c r="D470" s="44"/>
      <c r="E470" s="44"/>
      <c r="F470" s="44"/>
    </row>
    <row r="471" spans="1:6" x14ac:dyDescent="0.2">
      <c r="A471" s="44"/>
      <c r="B471" s="44"/>
      <c r="C471" s="44"/>
      <c r="D471" s="44"/>
      <c r="E471" s="44"/>
      <c r="F471" s="44"/>
    </row>
    <row r="472" spans="1:6" x14ac:dyDescent="0.2">
      <c r="A472" s="44"/>
      <c r="B472" s="44"/>
      <c r="C472" s="44"/>
      <c r="D472" s="44"/>
      <c r="E472" s="44"/>
      <c r="F472" s="44"/>
    </row>
    <row r="473" spans="1:6" x14ac:dyDescent="0.2">
      <c r="A473" s="44"/>
      <c r="B473" s="44"/>
      <c r="C473" s="44"/>
      <c r="D473" s="44"/>
      <c r="E473" s="44"/>
      <c r="F473" s="44"/>
    </row>
    <row r="474" spans="1:6" x14ac:dyDescent="0.2">
      <c r="A474" s="44"/>
      <c r="B474" s="44"/>
      <c r="C474" s="44"/>
      <c r="D474" s="44"/>
      <c r="E474" s="44"/>
      <c r="F474" s="44"/>
    </row>
    <row r="475" spans="1:6" x14ac:dyDescent="0.2">
      <c r="A475" s="44"/>
      <c r="B475" s="44"/>
      <c r="C475" s="44"/>
      <c r="D475" s="44"/>
      <c r="E475" s="44"/>
      <c r="F475" s="44"/>
    </row>
    <row r="476" spans="1:6" x14ac:dyDescent="0.2">
      <c r="A476" s="44"/>
      <c r="B476" s="44"/>
      <c r="C476" s="44"/>
      <c r="D476" s="44"/>
      <c r="E476" s="44"/>
      <c r="F476" s="44"/>
    </row>
    <row r="477" spans="1:6" x14ac:dyDescent="0.2">
      <c r="A477" s="44"/>
      <c r="B477" s="44"/>
      <c r="C477" s="44"/>
      <c r="D477" s="44"/>
      <c r="E477" s="44"/>
      <c r="F477" s="44"/>
    </row>
    <row r="478" spans="1:6" x14ac:dyDescent="0.2">
      <c r="A478" s="44"/>
      <c r="B478" s="44"/>
      <c r="C478" s="44"/>
      <c r="D478" s="44"/>
      <c r="E478" s="44"/>
      <c r="F478" s="44"/>
    </row>
    <row r="479" spans="1:6" x14ac:dyDescent="0.2">
      <c r="A479" s="44"/>
      <c r="B479" s="44"/>
      <c r="C479" s="44"/>
      <c r="D479" s="44"/>
      <c r="E479" s="44"/>
      <c r="F479" s="44"/>
    </row>
    <row r="480" spans="1:6" x14ac:dyDescent="0.2">
      <c r="A480" s="44"/>
      <c r="B480" s="44"/>
      <c r="C480" s="44"/>
      <c r="D480" s="44"/>
      <c r="E480" s="44"/>
      <c r="F480" s="44"/>
    </row>
    <row r="481" spans="1:6" x14ac:dyDescent="0.2">
      <c r="A481" s="44"/>
      <c r="B481" s="44"/>
      <c r="C481" s="44"/>
      <c r="D481" s="44"/>
      <c r="E481" s="44"/>
      <c r="F481" s="44"/>
    </row>
    <row r="482" spans="1:6" x14ac:dyDescent="0.2">
      <c r="A482" s="44"/>
      <c r="B482" s="44"/>
      <c r="C482" s="44"/>
      <c r="D482" s="44"/>
      <c r="E482" s="44"/>
      <c r="F482" s="44"/>
    </row>
    <row r="483" spans="1:6" x14ac:dyDescent="0.2">
      <c r="A483" s="44"/>
      <c r="B483" s="44"/>
      <c r="C483" s="44"/>
      <c r="D483" s="44"/>
      <c r="E483" s="44"/>
      <c r="F483" s="44"/>
    </row>
    <row r="484" spans="1:6" x14ac:dyDescent="0.2">
      <c r="A484" s="44"/>
      <c r="B484" s="44"/>
      <c r="C484" s="44"/>
      <c r="D484" s="44"/>
      <c r="E484" s="44"/>
      <c r="F484" s="44"/>
    </row>
    <row r="485" spans="1:6" x14ac:dyDescent="0.2">
      <c r="A485" s="44"/>
      <c r="B485" s="44"/>
      <c r="C485" s="44"/>
      <c r="D485" s="44"/>
      <c r="E485" s="44"/>
      <c r="F485" s="44"/>
    </row>
    <row r="486" spans="1:6" x14ac:dyDescent="0.2">
      <c r="A486" s="44"/>
      <c r="B486" s="44"/>
      <c r="C486" s="44"/>
      <c r="D486" s="44"/>
      <c r="E486" s="44"/>
      <c r="F486" s="44"/>
    </row>
    <row r="487" spans="1:6" x14ac:dyDescent="0.2">
      <c r="A487" s="44"/>
      <c r="B487" s="44"/>
      <c r="C487" s="44"/>
      <c r="D487" s="44"/>
      <c r="E487" s="44"/>
      <c r="F487" s="44"/>
    </row>
    <row r="488" spans="1:6" x14ac:dyDescent="0.2">
      <c r="A488" s="44"/>
      <c r="B488" s="44"/>
      <c r="C488" s="44"/>
      <c r="D488" s="44"/>
      <c r="E488" s="44"/>
      <c r="F488" s="44"/>
    </row>
    <row r="489" spans="1:6" x14ac:dyDescent="0.2">
      <c r="A489" s="44"/>
      <c r="B489" s="44"/>
      <c r="C489" s="44"/>
      <c r="D489" s="44"/>
      <c r="E489" s="44"/>
      <c r="F489" s="44"/>
    </row>
    <row r="490" spans="1:6" x14ac:dyDescent="0.2">
      <c r="A490" s="44"/>
      <c r="B490" s="44"/>
      <c r="C490" s="44"/>
      <c r="D490" s="44"/>
      <c r="E490" s="44"/>
      <c r="F490" s="44"/>
    </row>
    <row r="491" spans="1:6" x14ac:dyDescent="0.2">
      <c r="A491" s="44"/>
      <c r="B491" s="44"/>
      <c r="C491" s="44"/>
      <c r="D491" s="44"/>
      <c r="E491" s="44"/>
      <c r="F491" s="44"/>
    </row>
    <row r="492" spans="1:6" x14ac:dyDescent="0.2">
      <c r="A492" s="44"/>
      <c r="B492" s="44"/>
      <c r="C492" s="44"/>
      <c r="D492" s="44"/>
      <c r="E492" s="44"/>
      <c r="F492" s="44"/>
    </row>
    <row r="493" spans="1:6" x14ac:dyDescent="0.2">
      <c r="A493" s="44"/>
      <c r="B493" s="44"/>
      <c r="C493" s="44"/>
      <c r="D493" s="44"/>
      <c r="E493" s="44"/>
      <c r="F493" s="44"/>
    </row>
    <row r="494" spans="1:6" x14ac:dyDescent="0.2">
      <c r="A494" s="44"/>
      <c r="B494" s="44"/>
      <c r="C494" s="44"/>
      <c r="D494" s="44"/>
      <c r="E494" s="44"/>
      <c r="F494" s="44"/>
    </row>
    <row r="495" spans="1:6" x14ac:dyDescent="0.2">
      <c r="A495" s="44"/>
      <c r="B495" s="44"/>
      <c r="C495" s="44"/>
      <c r="D495" s="44"/>
      <c r="E495" s="44"/>
      <c r="F495" s="44"/>
    </row>
    <row r="496" spans="1:6" x14ac:dyDescent="0.2">
      <c r="A496" s="44"/>
      <c r="B496" s="44"/>
      <c r="C496" s="44"/>
      <c r="D496" s="44"/>
      <c r="E496" s="44"/>
      <c r="F496" s="44"/>
    </row>
    <row r="497" spans="1:6" x14ac:dyDescent="0.2">
      <c r="A497" s="44"/>
      <c r="B497" s="44"/>
      <c r="C497" s="44"/>
      <c r="D497" s="44"/>
      <c r="E497" s="44"/>
      <c r="F497" s="44"/>
    </row>
    <row r="498" spans="1:6" x14ac:dyDescent="0.2">
      <c r="A498" s="44"/>
      <c r="B498" s="44"/>
      <c r="C498" s="44"/>
      <c r="D498" s="44"/>
      <c r="E498" s="44"/>
      <c r="F498" s="44"/>
    </row>
    <row r="499" spans="1:6" x14ac:dyDescent="0.2">
      <c r="A499" s="44"/>
      <c r="B499" s="44"/>
      <c r="C499" s="44"/>
      <c r="D499" s="44"/>
      <c r="E499" s="44"/>
      <c r="F499" s="44"/>
    </row>
    <row r="500" spans="1:6" x14ac:dyDescent="0.2">
      <c r="A500" s="44"/>
      <c r="B500" s="44"/>
      <c r="C500" s="44"/>
      <c r="D500" s="44"/>
      <c r="E500" s="44"/>
      <c r="F500" s="44"/>
    </row>
    <row r="501" spans="1:6" x14ac:dyDescent="0.2">
      <c r="A501" s="44"/>
      <c r="B501" s="44"/>
      <c r="C501" s="44"/>
      <c r="D501" s="44"/>
      <c r="E501" s="44"/>
      <c r="F501" s="44"/>
    </row>
    <row r="502" spans="1:6" x14ac:dyDescent="0.2">
      <c r="A502" s="44"/>
      <c r="B502" s="44"/>
      <c r="C502" s="44"/>
      <c r="D502" s="44"/>
      <c r="E502" s="44"/>
      <c r="F502" s="44"/>
    </row>
    <row r="503" spans="1:6" x14ac:dyDescent="0.2">
      <c r="A503" s="44"/>
      <c r="B503" s="44"/>
      <c r="C503" s="44"/>
      <c r="D503" s="44"/>
      <c r="E503" s="44"/>
      <c r="F503" s="44"/>
    </row>
    <row r="504" spans="1:6" x14ac:dyDescent="0.2">
      <c r="A504" s="44"/>
      <c r="B504" s="44"/>
      <c r="C504" s="44"/>
      <c r="D504" s="44"/>
      <c r="E504" s="44"/>
      <c r="F504" s="44"/>
    </row>
    <row r="505" spans="1:6" x14ac:dyDescent="0.2">
      <c r="A505" s="44"/>
      <c r="B505" s="44"/>
      <c r="C505" s="44"/>
      <c r="D505" s="44"/>
      <c r="E505" s="44"/>
      <c r="F505" s="44"/>
    </row>
    <row r="506" spans="1:6" x14ac:dyDescent="0.2">
      <c r="A506" s="44"/>
      <c r="B506" s="44"/>
      <c r="C506" s="44"/>
      <c r="D506" s="44"/>
      <c r="E506" s="44"/>
      <c r="F506" s="44"/>
    </row>
    <row r="507" spans="1:6" x14ac:dyDescent="0.2">
      <c r="A507" s="44"/>
      <c r="B507" s="44"/>
      <c r="C507" s="44"/>
      <c r="D507" s="44"/>
      <c r="E507" s="44"/>
      <c r="F507" s="44"/>
    </row>
    <row r="508" spans="1:6" x14ac:dyDescent="0.2">
      <c r="A508" s="44"/>
      <c r="B508" s="44"/>
      <c r="C508" s="44"/>
      <c r="D508" s="44"/>
      <c r="E508" s="44"/>
      <c r="F508" s="44"/>
    </row>
    <row r="509" spans="1:6" x14ac:dyDescent="0.2">
      <c r="A509" s="44"/>
      <c r="B509" s="44"/>
      <c r="C509" s="44"/>
      <c r="D509" s="44"/>
      <c r="E509" s="44"/>
      <c r="F509" s="44"/>
    </row>
    <row r="510" spans="1:6" x14ac:dyDescent="0.2">
      <c r="A510" s="44"/>
      <c r="B510" s="44"/>
      <c r="C510" s="44"/>
      <c r="D510" s="44"/>
      <c r="E510" s="44"/>
      <c r="F510" s="44"/>
    </row>
    <row r="511" spans="1:6" x14ac:dyDescent="0.2">
      <c r="A511" s="44"/>
      <c r="B511" s="44"/>
      <c r="C511" s="44"/>
      <c r="D511" s="44"/>
      <c r="E511" s="44"/>
      <c r="F511" s="44"/>
    </row>
    <row r="512" spans="1:6" x14ac:dyDescent="0.2">
      <c r="A512" s="44"/>
      <c r="B512" s="44"/>
      <c r="C512" s="44"/>
      <c r="D512" s="44"/>
      <c r="E512" s="44"/>
      <c r="F512" s="44"/>
    </row>
    <row r="513" spans="1:6" x14ac:dyDescent="0.2">
      <c r="A513" s="44"/>
      <c r="B513" s="44"/>
      <c r="C513" s="44"/>
      <c r="D513" s="44"/>
      <c r="E513" s="44"/>
      <c r="F513" s="44"/>
    </row>
    <row r="514" spans="1:6" x14ac:dyDescent="0.2">
      <c r="A514" s="44"/>
      <c r="B514" s="44"/>
      <c r="C514" s="44"/>
      <c r="D514" s="44"/>
      <c r="E514" s="44"/>
      <c r="F514" s="44"/>
    </row>
    <row r="515" spans="1:6" x14ac:dyDescent="0.2">
      <c r="A515" s="44"/>
      <c r="B515" s="44"/>
      <c r="C515" s="44"/>
      <c r="D515" s="44"/>
      <c r="E515" s="44"/>
      <c r="F515" s="44"/>
    </row>
    <row r="516" spans="1:6" x14ac:dyDescent="0.2">
      <c r="A516" s="44"/>
      <c r="B516" s="44"/>
      <c r="C516" s="44"/>
      <c r="D516" s="44"/>
      <c r="E516" s="44"/>
      <c r="F516" s="44"/>
    </row>
    <row r="517" spans="1:6" x14ac:dyDescent="0.2">
      <c r="A517" s="44"/>
      <c r="B517" s="44"/>
      <c r="C517" s="44"/>
      <c r="D517" s="44"/>
      <c r="E517" s="44"/>
      <c r="F517" s="44"/>
    </row>
    <row r="518" spans="1:6" x14ac:dyDescent="0.2">
      <c r="A518" s="44"/>
      <c r="B518" s="44"/>
      <c r="C518" s="44"/>
      <c r="D518" s="44"/>
      <c r="E518" s="44"/>
      <c r="F518" s="44"/>
    </row>
    <row r="519" spans="1:6" x14ac:dyDescent="0.2">
      <c r="A519" s="44"/>
      <c r="B519" s="44"/>
      <c r="C519" s="44"/>
      <c r="D519" s="44"/>
      <c r="E519" s="44"/>
      <c r="F519" s="44"/>
    </row>
    <row r="520" spans="1:6" x14ac:dyDescent="0.2">
      <c r="A520" s="44"/>
      <c r="B520" s="44"/>
      <c r="C520" s="44"/>
      <c r="D520" s="44"/>
      <c r="E520" s="44"/>
      <c r="F520" s="44"/>
    </row>
    <row r="521" spans="1:6" x14ac:dyDescent="0.2">
      <c r="A521" s="44"/>
      <c r="B521" s="44"/>
      <c r="C521" s="44"/>
      <c r="D521" s="44"/>
      <c r="E521" s="44"/>
      <c r="F521" s="44"/>
    </row>
    <row r="522" spans="1:6" x14ac:dyDescent="0.2">
      <c r="A522" s="44"/>
      <c r="B522" s="44"/>
      <c r="C522" s="44"/>
      <c r="D522" s="44"/>
      <c r="E522" s="44"/>
      <c r="F522" s="44"/>
    </row>
    <row r="523" spans="1:6" x14ac:dyDescent="0.2">
      <c r="A523" s="44"/>
      <c r="B523" s="44"/>
      <c r="C523" s="44"/>
      <c r="D523" s="44"/>
      <c r="E523" s="44"/>
      <c r="F523" s="44"/>
    </row>
    <row r="524" spans="1:6" x14ac:dyDescent="0.2">
      <c r="A524" s="44"/>
      <c r="B524" s="44"/>
      <c r="C524" s="44"/>
      <c r="D524" s="44"/>
      <c r="E524" s="44"/>
      <c r="F524" s="44"/>
    </row>
    <row r="525" spans="1:6" x14ac:dyDescent="0.2">
      <c r="A525" s="44"/>
      <c r="B525" s="44"/>
      <c r="C525" s="44"/>
      <c r="D525" s="44"/>
      <c r="E525" s="44"/>
      <c r="F525" s="44"/>
    </row>
    <row r="526" spans="1:6" x14ac:dyDescent="0.2">
      <c r="A526" s="44"/>
      <c r="B526" s="44"/>
      <c r="C526" s="44"/>
      <c r="D526" s="44"/>
      <c r="E526" s="44"/>
      <c r="F526" s="44"/>
    </row>
    <row r="527" spans="1:6" x14ac:dyDescent="0.2">
      <c r="A527" s="44"/>
      <c r="B527" s="44"/>
      <c r="C527" s="44"/>
      <c r="D527" s="44"/>
      <c r="E527" s="44"/>
      <c r="F527" s="44"/>
    </row>
    <row r="528" spans="1:6" x14ac:dyDescent="0.2">
      <c r="A528" s="44"/>
      <c r="B528" s="44"/>
      <c r="C528" s="44"/>
      <c r="D528" s="44"/>
      <c r="E528" s="44"/>
      <c r="F528" s="44"/>
    </row>
    <row r="529" spans="1:6" x14ac:dyDescent="0.2">
      <c r="A529" s="44"/>
      <c r="B529" s="44"/>
      <c r="C529" s="44"/>
      <c r="D529" s="44"/>
      <c r="E529" s="44"/>
      <c r="F529" s="44"/>
    </row>
    <row r="530" spans="1:6" x14ac:dyDescent="0.2">
      <c r="A530" s="44"/>
      <c r="B530" s="44"/>
      <c r="C530" s="44"/>
      <c r="D530" s="44"/>
      <c r="E530" s="44"/>
      <c r="F530" s="44"/>
    </row>
    <row r="531" spans="1:6" x14ac:dyDescent="0.2">
      <c r="A531" s="44"/>
      <c r="B531" s="44"/>
      <c r="C531" s="44"/>
      <c r="D531" s="44"/>
      <c r="E531" s="44"/>
      <c r="F531" s="44"/>
    </row>
    <row r="532" spans="1:6" x14ac:dyDescent="0.2">
      <c r="A532" s="44"/>
      <c r="B532" s="44"/>
      <c r="C532" s="44"/>
      <c r="D532" s="44"/>
      <c r="E532" s="44"/>
      <c r="F532" s="44"/>
    </row>
    <row r="533" spans="1:6" x14ac:dyDescent="0.2">
      <c r="A533" s="44"/>
      <c r="B533" s="44"/>
      <c r="C533" s="44"/>
      <c r="D533" s="44"/>
      <c r="E533" s="44"/>
      <c r="F533" s="44"/>
    </row>
    <row r="534" spans="1:6" x14ac:dyDescent="0.2">
      <c r="A534" s="44"/>
      <c r="B534" s="44"/>
      <c r="C534" s="44"/>
      <c r="D534" s="44"/>
      <c r="E534" s="44"/>
      <c r="F534" s="44"/>
    </row>
    <row r="535" spans="1:6" x14ac:dyDescent="0.2">
      <c r="A535" s="44"/>
      <c r="B535" s="44"/>
      <c r="C535" s="44"/>
      <c r="D535" s="44"/>
      <c r="E535" s="44"/>
      <c r="F535" s="44"/>
    </row>
    <row r="536" spans="1:6" x14ac:dyDescent="0.2">
      <c r="A536" s="44"/>
      <c r="B536" s="44"/>
      <c r="C536" s="44"/>
      <c r="D536" s="44"/>
      <c r="E536" s="44"/>
      <c r="F536" s="44"/>
    </row>
    <row r="537" spans="1:6" x14ac:dyDescent="0.2">
      <c r="A537" s="44"/>
      <c r="B537" s="44"/>
      <c r="C537" s="44"/>
      <c r="D537" s="44"/>
      <c r="E537" s="44"/>
      <c r="F537" s="44"/>
    </row>
    <row r="538" spans="1:6" x14ac:dyDescent="0.2">
      <c r="A538" s="44"/>
      <c r="B538" s="44"/>
      <c r="C538" s="44"/>
      <c r="D538" s="44"/>
      <c r="E538" s="44"/>
      <c r="F538" s="44"/>
    </row>
    <row r="539" spans="1:6" x14ac:dyDescent="0.2">
      <c r="A539" s="44"/>
      <c r="B539" s="44"/>
      <c r="C539" s="44"/>
      <c r="D539" s="44"/>
      <c r="E539" s="44"/>
      <c r="F539" s="44"/>
    </row>
    <row r="540" spans="1:6" x14ac:dyDescent="0.2">
      <c r="A540" s="44"/>
      <c r="B540" s="44"/>
      <c r="C540" s="44"/>
      <c r="D540" s="44"/>
      <c r="E540" s="44"/>
      <c r="F540" s="44"/>
    </row>
    <row r="541" spans="1:6" x14ac:dyDescent="0.2">
      <c r="A541" s="44"/>
      <c r="B541" s="44"/>
      <c r="C541" s="44"/>
      <c r="D541" s="44"/>
      <c r="E541" s="44"/>
      <c r="F541" s="44"/>
    </row>
    <row r="542" spans="1:6" x14ac:dyDescent="0.2">
      <c r="A542" s="44"/>
      <c r="B542" s="44"/>
      <c r="C542" s="44"/>
      <c r="D542" s="44"/>
      <c r="E542" s="44"/>
      <c r="F542" s="44"/>
    </row>
    <row r="543" spans="1:6" x14ac:dyDescent="0.2">
      <c r="A543" s="44"/>
      <c r="B543" s="44"/>
      <c r="C543" s="44"/>
      <c r="D543" s="44"/>
      <c r="E543" s="44"/>
      <c r="F543" s="44"/>
    </row>
    <row r="544" spans="1:6" x14ac:dyDescent="0.2">
      <c r="A544" s="44"/>
      <c r="B544" s="44"/>
      <c r="C544" s="44"/>
      <c r="D544" s="44"/>
      <c r="E544" s="44"/>
      <c r="F544" s="44"/>
    </row>
    <row r="545" spans="1:6" x14ac:dyDescent="0.2">
      <c r="A545" s="44"/>
      <c r="B545" s="44"/>
      <c r="C545" s="44"/>
      <c r="D545" s="44"/>
      <c r="E545" s="44"/>
      <c r="F545" s="44"/>
    </row>
    <row r="546" spans="1:6" x14ac:dyDescent="0.2">
      <c r="A546" s="44"/>
      <c r="B546" s="44"/>
      <c r="C546" s="44"/>
      <c r="D546" s="44"/>
      <c r="E546" s="44"/>
      <c r="F546" s="44"/>
    </row>
    <row r="547" spans="1:6" x14ac:dyDescent="0.2">
      <c r="A547" s="44"/>
      <c r="B547" s="44"/>
      <c r="C547" s="44"/>
      <c r="D547" s="44"/>
      <c r="E547" s="44"/>
      <c r="F547" s="44"/>
    </row>
    <row r="548" spans="1:6" x14ac:dyDescent="0.2">
      <c r="A548" s="44"/>
      <c r="B548" s="44"/>
      <c r="C548" s="44"/>
      <c r="D548" s="44"/>
      <c r="E548" s="44"/>
      <c r="F548" s="44"/>
    </row>
    <row r="549" spans="1:6" x14ac:dyDescent="0.2">
      <c r="A549" s="44"/>
      <c r="B549" s="44"/>
      <c r="C549" s="44"/>
      <c r="D549" s="44"/>
      <c r="E549" s="44"/>
      <c r="F549" s="44"/>
    </row>
    <row r="550" spans="1:6" x14ac:dyDescent="0.2">
      <c r="A550" s="44"/>
      <c r="B550" s="44"/>
      <c r="C550" s="44"/>
      <c r="D550" s="44"/>
      <c r="E550" s="44"/>
      <c r="F550" s="44"/>
    </row>
    <row r="551" spans="1:6" x14ac:dyDescent="0.2">
      <c r="A551" s="44"/>
      <c r="B551" s="44"/>
      <c r="C551" s="44"/>
      <c r="D551" s="44"/>
      <c r="E551" s="44"/>
      <c r="F551" s="44"/>
    </row>
    <row r="552" spans="1:6" x14ac:dyDescent="0.2">
      <c r="A552" s="44"/>
      <c r="B552" s="44"/>
      <c r="C552" s="44"/>
      <c r="D552" s="44"/>
      <c r="E552" s="44"/>
      <c r="F552" s="44"/>
    </row>
    <row r="553" spans="1:6" x14ac:dyDescent="0.2">
      <c r="A553" s="44"/>
      <c r="B553" s="44"/>
      <c r="C553" s="44"/>
      <c r="D553" s="44"/>
      <c r="E553" s="44"/>
      <c r="F553" s="44"/>
    </row>
    <row r="554" spans="1:6" x14ac:dyDescent="0.2">
      <c r="A554" s="44"/>
      <c r="B554" s="44"/>
      <c r="C554" s="44"/>
      <c r="D554" s="44"/>
      <c r="E554" s="44"/>
      <c r="F554" s="44"/>
    </row>
    <row r="555" spans="1:6" x14ac:dyDescent="0.2">
      <c r="A555" s="44"/>
      <c r="B555" s="44"/>
      <c r="C555" s="44"/>
      <c r="D555" s="44"/>
      <c r="E555" s="44"/>
      <c r="F555" s="44"/>
    </row>
    <row r="556" spans="1:6" x14ac:dyDescent="0.2">
      <c r="A556" s="44"/>
      <c r="B556" s="44"/>
      <c r="C556" s="44"/>
      <c r="D556" s="44"/>
      <c r="E556" s="44"/>
      <c r="F556" s="44"/>
    </row>
    <row r="557" spans="1:6" x14ac:dyDescent="0.2">
      <c r="A557" s="44"/>
      <c r="B557" s="44"/>
      <c r="C557" s="44"/>
      <c r="D557" s="44"/>
      <c r="E557" s="44"/>
      <c r="F557" s="44"/>
    </row>
    <row r="558" spans="1:6" x14ac:dyDescent="0.2">
      <c r="A558" s="44"/>
      <c r="B558" s="44"/>
      <c r="C558" s="44"/>
      <c r="D558" s="44"/>
      <c r="E558" s="44"/>
      <c r="F558" s="44"/>
    </row>
    <row r="559" spans="1:6" x14ac:dyDescent="0.2">
      <c r="A559" s="44"/>
      <c r="B559" s="44"/>
      <c r="C559" s="44"/>
      <c r="D559" s="44"/>
      <c r="E559" s="44"/>
      <c r="F559" s="44"/>
    </row>
    <row r="560" spans="1:6" x14ac:dyDescent="0.2">
      <c r="A560" s="44"/>
      <c r="B560" s="44"/>
      <c r="C560" s="44"/>
      <c r="D560" s="44"/>
      <c r="E560" s="44"/>
      <c r="F560" s="44"/>
    </row>
    <row r="561" spans="1:6" x14ac:dyDescent="0.2">
      <c r="A561" s="44"/>
      <c r="B561" s="44"/>
      <c r="C561" s="44"/>
      <c r="D561" s="44"/>
      <c r="E561" s="44"/>
      <c r="F561" s="44"/>
    </row>
    <row r="562" spans="1:6" x14ac:dyDescent="0.2">
      <c r="A562" s="44"/>
      <c r="B562" s="44"/>
      <c r="C562" s="44"/>
      <c r="D562" s="44"/>
      <c r="E562" s="44"/>
      <c r="F562" s="44"/>
    </row>
    <row r="563" spans="1:6" x14ac:dyDescent="0.2">
      <c r="A563" s="44"/>
      <c r="B563" s="44"/>
      <c r="C563" s="44"/>
      <c r="D563" s="44"/>
      <c r="E563" s="44"/>
      <c r="F563" s="44"/>
    </row>
    <row r="564" spans="1:6" x14ac:dyDescent="0.2">
      <c r="A564" s="44"/>
      <c r="B564" s="44"/>
      <c r="C564" s="44"/>
      <c r="D564" s="44"/>
      <c r="E564" s="44"/>
      <c r="F564" s="44"/>
    </row>
    <row r="565" spans="1:6" x14ac:dyDescent="0.2">
      <c r="A565" s="44"/>
      <c r="B565" s="44"/>
      <c r="C565" s="44"/>
      <c r="D565" s="44"/>
      <c r="E565" s="44"/>
      <c r="F565" s="44"/>
    </row>
    <row r="566" spans="1:6" x14ac:dyDescent="0.2">
      <c r="A566" s="44"/>
      <c r="B566" s="44"/>
      <c r="C566" s="44"/>
      <c r="D566" s="44"/>
      <c r="E566" s="44"/>
      <c r="F566" s="44"/>
    </row>
    <row r="567" spans="1:6" x14ac:dyDescent="0.2">
      <c r="A567" s="44"/>
      <c r="B567" s="44"/>
      <c r="C567" s="44"/>
      <c r="D567" s="44"/>
      <c r="E567" s="44"/>
      <c r="F567" s="44"/>
    </row>
    <row r="568" spans="1:6" x14ac:dyDescent="0.2">
      <c r="A568" s="44"/>
      <c r="B568" s="44"/>
      <c r="C568" s="44"/>
      <c r="D568" s="44"/>
      <c r="E568" s="44"/>
      <c r="F568" s="44"/>
    </row>
    <row r="569" spans="1:6" x14ac:dyDescent="0.2">
      <c r="A569" s="44"/>
      <c r="B569" s="44"/>
      <c r="C569" s="44"/>
      <c r="D569" s="44"/>
      <c r="E569" s="44"/>
      <c r="F569" s="44"/>
    </row>
    <row r="570" spans="1:6" x14ac:dyDescent="0.2">
      <c r="A570" s="44"/>
      <c r="B570" s="44"/>
      <c r="C570" s="44"/>
      <c r="D570" s="44"/>
      <c r="E570" s="44"/>
      <c r="F570" s="44"/>
    </row>
    <row r="571" spans="1:6" x14ac:dyDescent="0.2">
      <c r="A571" s="44"/>
      <c r="B571" s="44"/>
      <c r="C571" s="44"/>
      <c r="D571" s="44"/>
      <c r="E571" s="44"/>
      <c r="F571" s="44"/>
    </row>
    <row r="572" spans="1:6" x14ac:dyDescent="0.2">
      <c r="A572" s="44"/>
      <c r="B572" s="44"/>
      <c r="C572" s="44"/>
      <c r="D572" s="44"/>
      <c r="E572" s="44"/>
      <c r="F572" s="44"/>
    </row>
    <row r="573" spans="1:6" x14ac:dyDescent="0.2">
      <c r="A573" s="44"/>
      <c r="B573" s="44"/>
      <c r="C573" s="44"/>
      <c r="D573" s="44"/>
      <c r="E573" s="44"/>
      <c r="F573" s="44"/>
    </row>
    <row r="574" spans="1:6" x14ac:dyDescent="0.2">
      <c r="A574" s="44"/>
      <c r="B574" s="44"/>
      <c r="C574" s="44"/>
      <c r="D574" s="44"/>
      <c r="E574" s="44"/>
      <c r="F574" s="44"/>
    </row>
    <row r="575" spans="1:6" x14ac:dyDescent="0.2">
      <c r="A575" s="44"/>
      <c r="B575" s="44"/>
      <c r="C575" s="44"/>
      <c r="D575" s="44"/>
      <c r="E575" s="44"/>
      <c r="F575" s="44"/>
    </row>
    <row r="576" spans="1:6" x14ac:dyDescent="0.2">
      <c r="A576" s="44"/>
      <c r="B576" s="44"/>
      <c r="C576" s="44"/>
      <c r="D576" s="44"/>
      <c r="E576" s="44"/>
      <c r="F576" s="44"/>
    </row>
    <row r="577" spans="1:6" x14ac:dyDescent="0.2">
      <c r="A577" s="44"/>
      <c r="B577" s="44"/>
      <c r="C577" s="44"/>
      <c r="D577" s="44"/>
      <c r="E577" s="44"/>
      <c r="F577" s="44"/>
    </row>
    <row r="578" spans="1:6" x14ac:dyDescent="0.2">
      <c r="A578" s="44"/>
      <c r="B578" s="44"/>
      <c r="C578" s="44"/>
      <c r="D578" s="44"/>
      <c r="E578" s="44"/>
      <c r="F578" s="44"/>
    </row>
    <row r="579" spans="1:6" x14ac:dyDescent="0.2">
      <c r="A579" s="44"/>
      <c r="B579" s="44"/>
      <c r="C579" s="44"/>
      <c r="D579" s="44"/>
      <c r="E579" s="44"/>
      <c r="F579" s="44"/>
    </row>
    <row r="580" spans="1:6" x14ac:dyDescent="0.2">
      <c r="A580" s="44"/>
      <c r="B580" s="44"/>
      <c r="C580" s="44"/>
      <c r="D580" s="44"/>
      <c r="E580" s="44"/>
      <c r="F580" s="44"/>
    </row>
    <row r="581" spans="1:6" x14ac:dyDescent="0.2">
      <c r="A581" s="44"/>
      <c r="B581" s="44"/>
      <c r="C581" s="44"/>
      <c r="D581" s="44"/>
      <c r="E581" s="44"/>
      <c r="F581" s="44"/>
    </row>
    <row r="582" spans="1:6" x14ac:dyDescent="0.2">
      <c r="A582" s="44"/>
      <c r="B582" s="44"/>
      <c r="C582" s="44"/>
      <c r="D582" s="44"/>
      <c r="E582" s="44"/>
      <c r="F582" s="44"/>
    </row>
    <row r="583" spans="1:6" x14ac:dyDescent="0.2">
      <c r="A583" s="44"/>
      <c r="B583" s="44"/>
      <c r="C583" s="44"/>
      <c r="D583" s="44"/>
      <c r="E583" s="44"/>
      <c r="F583" s="44"/>
    </row>
    <row r="584" spans="1:6" x14ac:dyDescent="0.2">
      <c r="A584" s="44"/>
      <c r="B584" s="44"/>
      <c r="C584" s="44"/>
      <c r="D584" s="44"/>
      <c r="E584" s="44"/>
      <c r="F584" s="44"/>
    </row>
    <row r="585" spans="1:6" x14ac:dyDescent="0.2">
      <c r="A585" s="44"/>
      <c r="B585" s="44"/>
      <c r="C585" s="44"/>
      <c r="D585" s="44"/>
      <c r="E585" s="44"/>
      <c r="F585" s="44"/>
    </row>
    <row r="586" spans="1:6" x14ac:dyDescent="0.2">
      <c r="A586" s="44"/>
      <c r="B586" s="44"/>
      <c r="C586" s="44"/>
      <c r="D586" s="44"/>
      <c r="E586" s="44"/>
      <c r="F586" s="44"/>
    </row>
    <row r="587" spans="1:6" x14ac:dyDescent="0.2">
      <c r="A587" s="44"/>
      <c r="B587" s="44"/>
      <c r="C587" s="44"/>
      <c r="D587" s="44"/>
      <c r="E587" s="44"/>
      <c r="F587" s="44"/>
    </row>
    <row r="588" spans="1:6" x14ac:dyDescent="0.2">
      <c r="A588" s="44"/>
      <c r="B588" s="44"/>
      <c r="C588" s="44"/>
      <c r="D588" s="44"/>
      <c r="E588" s="44"/>
      <c r="F588" s="44"/>
    </row>
    <row r="589" spans="1:6" x14ac:dyDescent="0.2">
      <c r="A589" s="44"/>
      <c r="B589" s="44"/>
      <c r="C589" s="44"/>
      <c r="D589" s="44"/>
      <c r="E589" s="44"/>
      <c r="F589" s="44"/>
    </row>
    <row r="590" spans="1:6" x14ac:dyDescent="0.2">
      <c r="A590" s="44"/>
      <c r="B590" s="44"/>
      <c r="C590" s="44"/>
      <c r="D590" s="44"/>
      <c r="E590" s="44"/>
      <c r="F590" s="44"/>
    </row>
    <row r="591" spans="1:6" x14ac:dyDescent="0.2">
      <c r="A591" s="44"/>
      <c r="B591" s="44"/>
      <c r="C591" s="44"/>
      <c r="D591" s="44"/>
      <c r="E591" s="44"/>
      <c r="F591" s="44"/>
    </row>
    <row r="592" spans="1:6" x14ac:dyDescent="0.2">
      <c r="A592" s="44"/>
      <c r="B592" s="44"/>
      <c r="C592" s="44"/>
      <c r="D592" s="44"/>
      <c r="E592" s="44"/>
      <c r="F592" s="44"/>
    </row>
    <row r="593" spans="1:6" x14ac:dyDescent="0.2">
      <c r="A593" s="44"/>
      <c r="B593" s="44"/>
      <c r="C593" s="44"/>
      <c r="D593" s="44"/>
      <c r="E593" s="44"/>
      <c r="F593" s="44"/>
    </row>
    <row r="594" spans="1:6" x14ac:dyDescent="0.2">
      <c r="A594" s="44"/>
      <c r="B594" s="44"/>
      <c r="C594" s="44"/>
      <c r="D594" s="44"/>
      <c r="E594" s="44"/>
      <c r="F594" s="44"/>
    </row>
    <row r="595" spans="1:6" x14ac:dyDescent="0.2">
      <c r="A595" s="44"/>
      <c r="B595" s="44"/>
      <c r="C595" s="44"/>
      <c r="D595" s="44"/>
      <c r="E595" s="44"/>
      <c r="F595" s="44"/>
    </row>
    <row r="596" spans="1:6" x14ac:dyDescent="0.2">
      <c r="A596" s="44"/>
      <c r="B596" s="44"/>
      <c r="C596" s="44"/>
      <c r="D596" s="44"/>
      <c r="E596" s="44"/>
      <c r="F596" s="44"/>
    </row>
    <row r="597" spans="1:6" x14ac:dyDescent="0.2">
      <c r="A597" s="44"/>
      <c r="B597" s="44"/>
      <c r="C597" s="44"/>
      <c r="D597" s="44"/>
      <c r="E597" s="44"/>
      <c r="F597" s="44"/>
    </row>
    <row r="598" spans="1:6" x14ac:dyDescent="0.2">
      <c r="A598" s="44"/>
      <c r="B598" s="44"/>
      <c r="C598" s="44"/>
      <c r="D598" s="44"/>
      <c r="E598" s="44"/>
      <c r="F598" s="44"/>
    </row>
    <row r="599" spans="1:6" x14ac:dyDescent="0.2">
      <c r="A599" s="44"/>
      <c r="B599" s="44"/>
      <c r="C599" s="44"/>
      <c r="D599" s="44"/>
      <c r="E599" s="44"/>
      <c r="F599" s="44"/>
    </row>
    <row r="600" spans="1:6" x14ac:dyDescent="0.2">
      <c r="A600" s="44"/>
      <c r="B600" s="44"/>
      <c r="C600" s="44"/>
      <c r="D600" s="44"/>
      <c r="E600" s="44"/>
      <c r="F600" s="44"/>
    </row>
    <row r="601" spans="1:6" x14ac:dyDescent="0.2">
      <c r="A601" s="44"/>
      <c r="B601" s="44"/>
      <c r="C601" s="44"/>
      <c r="D601" s="44"/>
      <c r="E601" s="44"/>
      <c r="F601" s="44"/>
    </row>
    <row r="602" spans="1:6" x14ac:dyDescent="0.2">
      <c r="A602" s="44"/>
      <c r="B602" s="44"/>
      <c r="C602" s="44"/>
      <c r="D602" s="44"/>
      <c r="E602" s="44"/>
      <c r="F602" s="44"/>
    </row>
    <row r="603" spans="1:6" x14ac:dyDescent="0.2">
      <c r="A603" s="44"/>
      <c r="B603" s="44"/>
      <c r="C603" s="44"/>
      <c r="D603" s="44"/>
      <c r="E603" s="44"/>
      <c r="F603" s="44"/>
    </row>
    <row r="604" spans="1:6" x14ac:dyDescent="0.2">
      <c r="A604" s="44"/>
      <c r="B604" s="44"/>
      <c r="C604" s="44"/>
      <c r="D604" s="44"/>
      <c r="E604" s="44"/>
      <c r="F604" s="44"/>
    </row>
    <row r="605" spans="1:6" x14ac:dyDescent="0.2">
      <c r="A605" s="44"/>
      <c r="B605" s="44"/>
      <c r="C605" s="44"/>
      <c r="D605" s="44"/>
      <c r="E605" s="44"/>
      <c r="F605" s="44"/>
    </row>
    <row r="606" spans="1:6" x14ac:dyDescent="0.2">
      <c r="A606" s="44"/>
      <c r="B606" s="44"/>
      <c r="C606" s="44"/>
      <c r="D606" s="44"/>
      <c r="E606" s="44"/>
      <c r="F606" s="44"/>
    </row>
    <row r="607" spans="1:6" x14ac:dyDescent="0.2">
      <c r="A607" s="44"/>
      <c r="B607" s="44"/>
      <c r="C607" s="44"/>
      <c r="D607" s="44"/>
      <c r="E607" s="44"/>
      <c r="F607" s="44"/>
    </row>
    <row r="608" spans="1:6" x14ac:dyDescent="0.2">
      <c r="A608" s="44"/>
      <c r="B608" s="44"/>
      <c r="C608" s="44"/>
      <c r="D608" s="44"/>
      <c r="E608" s="44"/>
      <c r="F608" s="44"/>
    </row>
    <row r="609" spans="1:6" x14ac:dyDescent="0.2">
      <c r="A609" s="44"/>
      <c r="B609" s="44"/>
      <c r="C609" s="44"/>
      <c r="D609" s="44"/>
      <c r="E609" s="44"/>
      <c r="F609" s="44"/>
    </row>
    <row r="610" spans="1:6" x14ac:dyDescent="0.2">
      <c r="A610" s="44"/>
      <c r="B610" s="44"/>
      <c r="C610" s="44"/>
      <c r="D610" s="44"/>
      <c r="E610" s="44"/>
      <c r="F610" s="44"/>
    </row>
    <row r="611" spans="1:6" x14ac:dyDescent="0.2">
      <c r="A611" s="44"/>
      <c r="B611" s="44"/>
      <c r="C611" s="44"/>
      <c r="D611" s="44"/>
      <c r="E611" s="44"/>
      <c r="F611" s="44"/>
    </row>
    <row r="612" spans="1:6" x14ac:dyDescent="0.2">
      <c r="A612" s="44"/>
      <c r="B612" s="44"/>
      <c r="C612" s="44"/>
      <c r="D612" s="44"/>
      <c r="E612" s="44"/>
      <c r="F612" s="44"/>
    </row>
    <row r="613" spans="1:6" x14ac:dyDescent="0.2">
      <c r="A613" s="44"/>
      <c r="B613" s="44"/>
      <c r="C613" s="44"/>
      <c r="D613" s="44"/>
      <c r="E613" s="44"/>
      <c r="F613" s="44"/>
    </row>
    <row r="614" spans="1:6" x14ac:dyDescent="0.2">
      <c r="A614" s="44"/>
      <c r="B614" s="44"/>
      <c r="C614" s="44"/>
      <c r="D614" s="44"/>
      <c r="E614" s="44"/>
      <c r="F614" s="44"/>
    </row>
    <row r="615" spans="1:6" x14ac:dyDescent="0.2">
      <c r="A615" s="44"/>
      <c r="B615" s="44"/>
      <c r="C615" s="44"/>
      <c r="D615" s="44"/>
      <c r="E615" s="44"/>
      <c r="F615" s="44"/>
    </row>
    <row r="616" spans="1:6" x14ac:dyDescent="0.2">
      <c r="A616" s="44"/>
      <c r="B616" s="44"/>
      <c r="C616" s="44"/>
      <c r="D616" s="44"/>
      <c r="E616" s="44"/>
      <c r="F616" s="44"/>
    </row>
    <row r="617" spans="1:6" x14ac:dyDescent="0.2">
      <c r="A617" s="44"/>
      <c r="B617" s="44"/>
      <c r="C617" s="44"/>
      <c r="D617" s="44"/>
      <c r="E617" s="44"/>
      <c r="F617" s="44"/>
    </row>
    <row r="618" spans="1:6" x14ac:dyDescent="0.2">
      <c r="A618" s="44"/>
      <c r="B618" s="44"/>
      <c r="C618" s="44"/>
      <c r="D618" s="44"/>
      <c r="E618" s="44"/>
      <c r="F618" s="44"/>
    </row>
    <row r="619" spans="1:6" x14ac:dyDescent="0.2">
      <c r="A619" s="44"/>
      <c r="B619" s="44"/>
      <c r="C619" s="44"/>
      <c r="D619" s="44"/>
      <c r="E619" s="44"/>
      <c r="F619" s="44"/>
    </row>
    <row r="620" spans="1:6" x14ac:dyDescent="0.2">
      <c r="A620" s="44"/>
      <c r="B620" s="44"/>
      <c r="C620" s="44"/>
      <c r="D620" s="44"/>
      <c r="E620" s="44"/>
      <c r="F620" s="44"/>
    </row>
    <row r="621" spans="1:6" x14ac:dyDescent="0.2">
      <c r="A621" s="44"/>
      <c r="B621" s="44"/>
      <c r="C621" s="44"/>
      <c r="D621" s="44"/>
      <c r="E621" s="44"/>
      <c r="F621" s="44"/>
    </row>
    <row r="622" spans="1:6" x14ac:dyDescent="0.2">
      <c r="A622" s="44"/>
      <c r="B622" s="44"/>
      <c r="C622" s="44"/>
      <c r="D622" s="44"/>
      <c r="E622" s="44"/>
      <c r="F622" s="44"/>
    </row>
    <row r="623" spans="1:6" x14ac:dyDescent="0.2">
      <c r="A623" s="44"/>
      <c r="B623" s="44"/>
      <c r="C623" s="44"/>
      <c r="D623" s="44"/>
      <c r="E623" s="44"/>
      <c r="F623" s="44"/>
    </row>
    <row r="624" spans="1:6" x14ac:dyDescent="0.2">
      <c r="A624" s="44"/>
      <c r="B624" s="44"/>
      <c r="C624" s="44"/>
      <c r="D624" s="44"/>
      <c r="E624" s="44"/>
      <c r="F624" s="44"/>
    </row>
    <row r="625" spans="1:6" x14ac:dyDescent="0.2">
      <c r="A625" s="44"/>
      <c r="B625" s="44"/>
      <c r="C625" s="44"/>
      <c r="D625" s="44"/>
      <c r="E625" s="44"/>
      <c r="F625" s="44"/>
    </row>
    <row r="626" spans="1:6" x14ac:dyDescent="0.2">
      <c r="A626" s="44"/>
      <c r="B626" s="44"/>
      <c r="C626" s="44"/>
      <c r="D626" s="44"/>
      <c r="E626" s="44"/>
      <c r="F626" s="44"/>
    </row>
    <row r="627" spans="1:6" x14ac:dyDescent="0.2">
      <c r="A627" s="44"/>
      <c r="B627" s="44"/>
      <c r="C627" s="44"/>
      <c r="D627" s="44"/>
      <c r="E627" s="44"/>
      <c r="F627" s="44"/>
    </row>
    <row r="628" spans="1:6" x14ac:dyDescent="0.2">
      <c r="A628" s="44"/>
      <c r="B628" s="44"/>
      <c r="C628" s="44"/>
      <c r="D628" s="44"/>
      <c r="E628" s="44"/>
      <c r="F628" s="44"/>
    </row>
    <row r="629" spans="1:6" x14ac:dyDescent="0.2">
      <c r="A629" s="44"/>
      <c r="B629" s="44"/>
      <c r="C629" s="44"/>
      <c r="D629" s="44"/>
      <c r="E629" s="44"/>
      <c r="F629" s="44"/>
    </row>
    <row r="630" spans="1:6" x14ac:dyDescent="0.2">
      <c r="A630" s="44"/>
      <c r="B630" s="44"/>
      <c r="C630" s="44"/>
      <c r="D630" s="44"/>
      <c r="E630" s="44"/>
      <c r="F630" s="44"/>
    </row>
    <row r="631" spans="1:6" x14ac:dyDescent="0.2">
      <c r="A631" s="44"/>
      <c r="B631" s="44"/>
      <c r="C631" s="44"/>
      <c r="D631" s="44"/>
      <c r="E631" s="44"/>
      <c r="F631" s="44"/>
    </row>
    <row r="632" spans="1:6" x14ac:dyDescent="0.2">
      <c r="A632" s="44"/>
      <c r="B632" s="44"/>
      <c r="C632" s="44"/>
      <c r="D632" s="44"/>
      <c r="E632" s="44"/>
      <c r="F632" s="44"/>
    </row>
    <row r="633" spans="1:6" x14ac:dyDescent="0.2">
      <c r="A633" s="44"/>
      <c r="B633" s="44"/>
      <c r="C633" s="44"/>
      <c r="D633" s="44"/>
      <c r="E633" s="44"/>
      <c r="F633" s="44"/>
    </row>
    <row r="634" spans="1:6" x14ac:dyDescent="0.2">
      <c r="A634" s="44"/>
      <c r="B634" s="44"/>
      <c r="C634" s="44"/>
      <c r="D634" s="44"/>
      <c r="E634" s="44"/>
      <c r="F634" s="44"/>
    </row>
    <row r="635" spans="1:6" x14ac:dyDescent="0.2">
      <c r="A635" s="44"/>
      <c r="B635" s="44"/>
      <c r="C635" s="44"/>
      <c r="D635" s="44"/>
      <c r="E635" s="44"/>
      <c r="F635" s="44"/>
    </row>
    <row r="636" spans="1:6" x14ac:dyDescent="0.2">
      <c r="A636" s="44"/>
      <c r="B636" s="44"/>
      <c r="C636" s="44"/>
      <c r="D636" s="44"/>
      <c r="E636" s="44"/>
      <c r="F636" s="44"/>
    </row>
    <row r="637" spans="1:6" x14ac:dyDescent="0.2">
      <c r="A637" s="44"/>
      <c r="B637" s="44"/>
      <c r="C637" s="44"/>
      <c r="D637" s="44"/>
      <c r="E637" s="44"/>
      <c r="F637" s="44"/>
    </row>
    <row r="638" spans="1:6" x14ac:dyDescent="0.2">
      <c r="A638" s="44"/>
      <c r="B638" s="44"/>
      <c r="C638" s="44"/>
      <c r="D638" s="44"/>
      <c r="E638" s="44"/>
      <c r="F638" s="44"/>
    </row>
    <row r="639" spans="1:6" x14ac:dyDescent="0.2">
      <c r="A639" s="44"/>
      <c r="B639" s="44"/>
      <c r="C639" s="44"/>
      <c r="D639" s="44"/>
      <c r="E639" s="44"/>
      <c r="F639" s="44"/>
    </row>
    <row r="640" spans="1:6" x14ac:dyDescent="0.2">
      <c r="A640" s="44"/>
      <c r="B640" s="44"/>
      <c r="C640" s="44"/>
      <c r="D640" s="44"/>
      <c r="E640" s="44"/>
      <c r="F640" s="44"/>
    </row>
    <row r="641" spans="1:6" x14ac:dyDescent="0.2">
      <c r="A641" s="44"/>
      <c r="B641" s="44"/>
      <c r="C641" s="44"/>
      <c r="D641" s="44"/>
      <c r="E641" s="44"/>
      <c r="F641" s="44"/>
    </row>
    <row r="642" spans="1:6" x14ac:dyDescent="0.2">
      <c r="A642" s="44"/>
      <c r="B642" s="44"/>
      <c r="C642" s="44"/>
      <c r="D642" s="44"/>
      <c r="E642" s="44"/>
      <c r="F642" s="44"/>
    </row>
    <row r="643" spans="1:6" x14ac:dyDescent="0.2">
      <c r="A643" s="44"/>
      <c r="B643" s="44"/>
      <c r="C643" s="44"/>
      <c r="D643" s="44"/>
      <c r="E643" s="44"/>
      <c r="F643" s="44"/>
    </row>
    <row r="644" spans="1:6" x14ac:dyDescent="0.2">
      <c r="A644" s="44"/>
      <c r="B644" s="44"/>
      <c r="C644" s="44"/>
      <c r="D644" s="44"/>
      <c r="E644" s="44"/>
      <c r="F644" s="44"/>
    </row>
    <row r="645" spans="1:6" x14ac:dyDescent="0.2">
      <c r="A645" s="44"/>
      <c r="B645" s="44"/>
      <c r="C645" s="44"/>
      <c r="D645" s="44"/>
      <c r="E645" s="44"/>
      <c r="F645" s="44"/>
    </row>
    <row r="646" spans="1:6" x14ac:dyDescent="0.2">
      <c r="A646" s="44"/>
      <c r="B646" s="44"/>
      <c r="C646" s="44"/>
      <c r="D646" s="44"/>
      <c r="E646" s="44"/>
      <c r="F646" s="44"/>
    </row>
    <row r="647" spans="1:6" x14ac:dyDescent="0.2">
      <c r="A647" s="44"/>
      <c r="B647" s="44"/>
      <c r="C647" s="44"/>
      <c r="D647" s="44"/>
      <c r="E647" s="44"/>
      <c r="F647" s="44"/>
    </row>
    <row r="648" spans="1:6" x14ac:dyDescent="0.2">
      <c r="A648" s="44"/>
      <c r="B648" s="44"/>
      <c r="C648" s="44"/>
      <c r="D648" s="44"/>
      <c r="E648" s="44"/>
      <c r="F648" s="44"/>
    </row>
    <row r="649" spans="1:6" x14ac:dyDescent="0.2">
      <c r="A649" s="44"/>
      <c r="B649" s="44"/>
      <c r="C649" s="44"/>
      <c r="D649" s="44"/>
      <c r="E649" s="44"/>
      <c r="F649" s="44"/>
    </row>
    <row r="650" spans="1:6" x14ac:dyDescent="0.2">
      <c r="A650" s="44"/>
      <c r="B650" s="44"/>
      <c r="C650" s="44"/>
      <c r="D650" s="44"/>
      <c r="E650" s="44"/>
      <c r="F650" s="44"/>
    </row>
    <row r="651" spans="1:6" x14ac:dyDescent="0.2">
      <c r="A651" s="44"/>
      <c r="B651" s="44"/>
      <c r="C651" s="44"/>
      <c r="D651" s="44"/>
      <c r="E651" s="44"/>
      <c r="F651" s="44"/>
    </row>
    <row r="652" spans="1:6" x14ac:dyDescent="0.2">
      <c r="A652" s="44"/>
      <c r="B652" s="44"/>
      <c r="C652" s="44"/>
      <c r="D652" s="44"/>
      <c r="E652" s="44"/>
      <c r="F652" s="44"/>
    </row>
    <row r="653" spans="1:6" x14ac:dyDescent="0.2">
      <c r="A653" s="44"/>
      <c r="B653" s="44"/>
      <c r="C653" s="44"/>
      <c r="D653" s="44"/>
      <c r="E653" s="44"/>
      <c r="F653" s="44"/>
    </row>
    <row r="654" spans="1:6" x14ac:dyDescent="0.2">
      <c r="A654" s="44"/>
      <c r="B654" s="44"/>
      <c r="C654" s="44"/>
      <c r="D654" s="44"/>
      <c r="E654" s="44"/>
      <c r="F654" s="44"/>
    </row>
    <row r="655" spans="1:6" x14ac:dyDescent="0.2">
      <c r="A655" s="44"/>
      <c r="B655" s="44"/>
      <c r="C655" s="44"/>
      <c r="D655" s="44"/>
      <c r="E655" s="44"/>
      <c r="F655" s="44"/>
    </row>
    <row r="656" spans="1:6" x14ac:dyDescent="0.2">
      <c r="A656" s="44"/>
      <c r="B656" s="44"/>
      <c r="C656" s="44"/>
      <c r="D656" s="44"/>
      <c r="E656" s="44"/>
      <c r="F656" s="44"/>
    </row>
    <row r="657" spans="1:6" x14ac:dyDescent="0.2">
      <c r="A657" s="44"/>
      <c r="B657" s="44"/>
      <c r="C657" s="44"/>
      <c r="D657" s="44"/>
      <c r="E657" s="44"/>
      <c r="F657" s="44"/>
    </row>
    <row r="658" spans="1:6" x14ac:dyDescent="0.2">
      <c r="A658" s="44"/>
      <c r="B658" s="44"/>
      <c r="C658" s="44"/>
      <c r="D658" s="44"/>
      <c r="E658" s="44"/>
      <c r="F658" s="44"/>
    </row>
    <row r="659" spans="1:6" x14ac:dyDescent="0.2">
      <c r="A659" s="44"/>
      <c r="B659" s="44"/>
      <c r="C659" s="44"/>
      <c r="D659" s="44"/>
      <c r="E659" s="44"/>
      <c r="F659" s="44"/>
    </row>
    <row r="660" spans="1:6" x14ac:dyDescent="0.2">
      <c r="A660" s="44"/>
      <c r="B660" s="44"/>
      <c r="C660" s="44"/>
      <c r="D660" s="44"/>
      <c r="E660" s="44"/>
      <c r="F660" s="44"/>
    </row>
    <row r="661" spans="1:6" x14ac:dyDescent="0.2">
      <c r="A661" s="44"/>
      <c r="B661" s="44"/>
      <c r="C661" s="44"/>
      <c r="D661" s="44"/>
      <c r="E661" s="44"/>
      <c r="F661" s="44"/>
    </row>
    <row r="662" spans="1:6" x14ac:dyDescent="0.2">
      <c r="A662" s="44"/>
      <c r="B662" s="44"/>
      <c r="C662" s="44"/>
      <c r="D662" s="44"/>
      <c r="E662" s="44"/>
      <c r="F662" s="44"/>
    </row>
    <row r="663" spans="1:6" x14ac:dyDescent="0.2">
      <c r="A663" s="44"/>
      <c r="B663" s="44"/>
      <c r="C663" s="44"/>
      <c r="D663" s="44"/>
      <c r="E663" s="44"/>
      <c r="F663" s="44"/>
    </row>
    <row r="664" spans="1:6" x14ac:dyDescent="0.2">
      <c r="A664" s="44"/>
      <c r="B664" s="44"/>
      <c r="C664" s="44"/>
      <c r="D664" s="44"/>
      <c r="E664" s="44"/>
      <c r="F664" s="44"/>
    </row>
    <row r="665" spans="1:6" x14ac:dyDescent="0.2">
      <c r="A665" s="44"/>
      <c r="B665" s="44"/>
      <c r="C665" s="44"/>
      <c r="D665" s="44"/>
      <c r="E665" s="44"/>
      <c r="F665" s="44"/>
    </row>
    <row r="666" spans="1:6" x14ac:dyDescent="0.2">
      <c r="A666" s="44"/>
      <c r="B666" s="44"/>
      <c r="C666" s="44"/>
      <c r="D666" s="44"/>
      <c r="E666" s="44"/>
      <c r="F666" s="44"/>
    </row>
    <row r="667" spans="1:6" x14ac:dyDescent="0.2">
      <c r="A667" s="44"/>
      <c r="B667" s="44"/>
      <c r="C667" s="44"/>
      <c r="D667" s="44"/>
      <c r="E667" s="44"/>
      <c r="F667" s="44"/>
    </row>
    <row r="668" spans="1:6" x14ac:dyDescent="0.2">
      <c r="A668" s="44"/>
      <c r="B668" s="44"/>
      <c r="C668" s="44"/>
      <c r="D668" s="44"/>
      <c r="E668" s="44"/>
      <c r="F668" s="44"/>
    </row>
    <row r="669" spans="1:6" x14ac:dyDescent="0.2">
      <c r="A669" s="44"/>
      <c r="B669" s="44"/>
      <c r="C669" s="44"/>
      <c r="D669" s="44"/>
      <c r="E669" s="44"/>
      <c r="F669" s="44"/>
    </row>
    <row r="670" spans="1:6" x14ac:dyDescent="0.2">
      <c r="A670" s="44"/>
      <c r="B670" s="44"/>
      <c r="C670" s="44"/>
      <c r="D670" s="44"/>
      <c r="E670" s="44"/>
      <c r="F670" s="44"/>
    </row>
    <row r="671" spans="1:6" x14ac:dyDescent="0.2">
      <c r="A671" s="44"/>
      <c r="B671" s="44"/>
      <c r="C671" s="44"/>
      <c r="D671" s="44"/>
      <c r="E671" s="44"/>
      <c r="F671" s="44"/>
    </row>
    <row r="672" spans="1:6" x14ac:dyDescent="0.2">
      <c r="A672" s="44"/>
      <c r="B672" s="44"/>
      <c r="C672" s="44"/>
      <c r="D672" s="44"/>
      <c r="E672" s="44"/>
      <c r="F672" s="44"/>
    </row>
    <row r="673" spans="1:6" x14ac:dyDescent="0.2">
      <c r="A673" s="44"/>
      <c r="B673" s="44"/>
      <c r="C673" s="44"/>
      <c r="D673" s="44"/>
      <c r="E673" s="44"/>
      <c r="F673" s="44"/>
    </row>
    <row r="674" spans="1:6" x14ac:dyDescent="0.2">
      <c r="A674" s="44"/>
      <c r="B674" s="44"/>
      <c r="C674" s="44"/>
      <c r="D674" s="44"/>
      <c r="E674" s="44"/>
      <c r="F674" s="44"/>
    </row>
    <row r="675" spans="1:6" x14ac:dyDescent="0.2">
      <c r="A675" s="44"/>
      <c r="B675" s="44"/>
      <c r="C675" s="44"/>
      <c r="D675" s="44"/>
      <c r="E675" s="44"/>
      <c r="F675" s="44"/>
    </row>
    <row r="676" spans="1:6" x14ac:dyDescent="0.2">
      <c r="A676" s="44"/>
      <c r="B676" s="44"/>
      <c r="C676" s="44"/>
      <c r="D676" s="44"/>
      <c r="E676" s="44"/>
      <c r="F676" s="44"/>
    </row>
    <row r="677" spans="1:6" x14ac:dyDescent="0.2">
      <c r="A677" s="44"/>
      <c r="B677" s="44"/>
      <c r="C677" s="44"/>
      <c r="D677" s="44"/>
      <c r="E677" s="44"/>
      <c r="F677" s="44"/>
    </row>
    <row r="678" spans="1:6" x14ac:dyDescent="0.2">
      <c r="A678" s="44"/>
      <c r="B678" s="44"/>
      <c r="C678" s="44"/>
      <c r="D678" s="44"/>
      <c r="E678" s="44"/>
      <c r="F678" s="44"/>
    </row>
    <row r="679" spans="1:6" x14ac:dyDescent="0.2">
      <c r="A679" s="44"/>
      <c r="B679" s="44"/>
      <c r="C679" s="44"/>
      <c r="D679" s="44"/>
      <c r="E679" s="44"/>
      <c r="F679" s="44"/>
    </row>
    <row r="680" spans="1:6" x14ac:dyDescent="0.2">
      <c r="A680" s="44"/>
      <c r="B680" s="44"/>
      <c r="C680" s="44"/>
      <c r="D680" s="44"/>
      <c r="E680" s="44"/>
      <c r="F680" s="44"/>
    </row>
    <row r="681" spans="1:6" x14ac:dyDescent="0.2">
      <c r="A681" s="44"/>
      <c r="B681" s="44"/>
      <c r="C681" s="44"/>
      <c r="D681" s="44"/>
      <c r="E681" s="44"/>
      <c r="F681" s="44"/>
    </row>
    <row r="682" spans="1:6" x14ac:dyDescent="0.2">
      <c r="A682" s="44"/>
      <c r="B682" s="44"/>
      <c r="C682" s="44"/>
      <c r="D682" s="44"/>
      <c r="E682" s="44"/>
      <c r="F682" s="44"/>
    </row>
    <row r="683" spans="1:6" x14ac:dyDescent="0.2">
      <c r="A683" s="44"/>
      <c r="B683" s="44"/>
      <c r="C683" s="44"/>
      <c r="D683" s="44"/>
      <c r="E683" s="44"/>
      <c r="F683" s="44"/>
    </row>
    <row r="684" spans="1:6" x14ac:dyDescent="0.2">
      <c r="A684" s="44"/>
      <c r="B684" s="44"/>
      <c r="C684" s="44"/>
      <c r="D684" s="44"/>
      <c r="E684" s="44"/>
      <c r="F684" s="44"/>
    </row>
    <row r="685" spans="1:6" x14ac:dyDescent="0.2">
      <c r="A685" s="44"/>
      <c r="B685" s="44"/>
      <c r="C685" s="44"/>
      <c r="D685" s="44"/>
      <c r="E685" s="44"/>
      <c r="F685" s="44"/>
    </row>
    <row r="686" spans="1:6" x14ac:dyDescent="0.2">
      <c r="A686" s="44"/>
      <c r="B686" s="44"/>
      <c r="C686" s="44"/>
      <c r="D686" s="44"/>
      <c r="E686" s="44"/>
      <c r="F686" s="44"/>
    </row>
    <row r="687" spans="1:6" x14ac:dyDescent="0.2">
      <c r="A687" s="44"/>
      <c r="B687" s="44"/>
      <c r="C687" s="44"/>
      <c r="D687" s="44"/>
      <c r="E687" s="44"/>
      <c r="F687" s="44"/>
    </row>
    <row r="688" spans="1:6" x14ac:dyDescent="0.2">
      <c r="A688" s="44"/>
      <c r="B688" s="44"/>
      <c r="C688" s="44"/>
      <c r="D688" s="44"/>
      <c r="E688" s="44"/>
      <c r="F688" s="44"/>
    </row>
    <row r="689" spans="1:6" x14ac:dyDescent="0.2">
      <c r="A689" s="44"/>
      <c r="B689" s="44"/>
      <c r="C689" s="44"/>
      <c r="D689" s="44"/>
      <c r="E689" s="44"/>
      <c r="F689" s="44"/>
    </row>
    <row r="690" spans="1:6" x14ac:dyDescent="0.2">
      <c r="A690" s="44"/>
      <c r="B690" s="44"/>
      <c r="C690" s="44"/>
      <c r="D690" s="44"/>
      <c r="E690" s="44"/>
      <c r="F690" s="44"/>
    </row>
    <row r="691" spans="1:6" x14ac:dyDescent="0.2">
      <c r="A691" s="44"/>
      <c r="B691" s="44"/>
      <c r="C691" s="44"/>
      <c r="D691" s="44"/>
      <c r="E691" s="44"/>
      <c r="F691" s="44"/>
    </row>
    <row r="692" spans="1:6" x14ac:dyDescent="0.2">
      <c r="A692" s="44"/>
      <c r="B692" s="44"/>
      <c r="C692" s="44"/>
      <c r="D692" s="44"/>
      <c r="E692" s="44"/>
      <c r="F692" s="44"/>
    </row>
    <row r="693" spans="1:6" x14ac:dyDescent="0.2">
      <c r="A693" s="44"/>
      <c r="B693" s="44"/>
      <c r="C693" s="44"/>
      <c r="D693" s="44"/>
      <c r="E693" s="44"/>
      <c r="F693" s="44"/>
    </row>
    <row r="694" spans="1:6" x14ac:dyDescent="0.2">
      <c r="A694" s="44"/>
      <c r="B694" s="44"/>
      <c r="C694" s="44"/>
      <c r="D694" s="44"/>
      <c r="E694" s="44"/>
      <c r="F694" s="44"/>
    </row>
    <row r="695" spans="1:6" x14ac:dyDescent="0.2">
      <c r="A695" s="44"/>
      <c r="B695" s="44"/>
      <c r="C695" s="44"/>
      <c r="D695" s="44"/>
      <c r="E695" s="44"/>
      <c r="F695" s="44"/>
    </row>
    <row r="696" spans="1:6" x14ac:dyDescent="0.2">
      <c r="A696" s="44"/>
      <c r="B696" s="44"/>
      <c r="C696" s="44"/>
      <c r="D696" s="44"/>
      <c r="E696" s="44"/>
      <c r="F696" s="44"/>
    </row>
    <row r="697" spans="1:6" x14ac:dyDescent="0.2">
      <c r="A697" s="44"/>
      <c r="B697" s="44"/>
      <c r="C697" s="44"/>
      <c r="D697" s="44"/>
      <c r="E697" s="44"/>
      <c r="F697" s="44"/>
    </row>
    <row r="698" spans="1:6" x14ac:dyDescent="0.2">
      <c r="A698" s="44"/>
      <c r="B698" s="44"/>
      <c r="C698" s="44"/>
      <c r="D698" s="44"/>
      <c r="E698" s="44"/>
      <c r="F698" s="44"/>
    </row>
    <row r="699" spans="1:6" x14ac:dyDescent="0.2">
      <c r="A699" s="44"/>
      <c r="B699" s="44"/>
      <c r="C699" s="44"/>
      <c r="D699" s="44"/>
      <c r="E699" s="44"/>
      <c r="F699" s="44"/>
    </row>
    <row r="700" spans="1:6" x14ac:dyDescent="0.2">
      <c r="A700" s="44"/>
      <c r="B700" s="44"/>
      <c r="C700" s="44"/>
      <c r="D700" s="44"/>
      <c r="E700" s="44"/>
      <c r="F700" s="44"/>
    </row>
    <row r="701" spans="1:6" x14ac:dyDescent="0.2">
      <c r="A701" s="44"/>
      <c r="B701" s="44"/>
      <c r="C701" s="44"/>
      <c r="D701" s="44"/>
      <c r="E701" s="44"/>
      <c r="F701" s="44"/>
    </row>
    <row r="702" spans="1:6" x14ac:dyDescent="0.2">
      <c r="A702" s="44"/>
      <c r="B702" s="44"/>
      <c r="C702" s="44"/>
      <c r="D702" s="44"/>
      <c r="E702" s="44"/>
      <c r="F702" s="44"/>
    </row>
    <row r="703" spans="1:6" x14ac:dyDescent="0.2">
      <c r="A703" s="44"/>
      <c r="B703" s="44"/>
      <c r="C703" s="44"/>
      <c r="D703" s="44"/>
      <c r="E703" s="44"/>
      <c r="F703" s="44"/>
    </row>
    <row r="704" spans="1:6" x14ac:dyDescent="0.2">
      <c r="A704" s="44"/>
      <c r="B704" s="44"/>
      <c r="C704" s="44"/>
      <c r="D704" s="44"/>
      <c r="E704" s="44"/>
      <c r="F704" s="44"/>
    </row>
    <row r="705" spans="1:6" x14ac:dyDescent="0.2">
      <c r="A705" s="44"/>
      <c r="B705" s="44"/>
      <c r="C705" s="44"/>
      <c r="D705" s="44"/>
      <c r="E705" s="44"/>
      <c r="F705" s="44"/>
    </row>
    <row r="706" spans="1:6" x14ac:dyDescent="0.2">
      <c r="A706" s="44"/>
      <c r="B706" s="44"/>
      <c r="C706" s="44"/>
      <c r="D706" s="44"/>
      <c r="E706" s="44"/>
      <c r="F706" s="44"/>
    </row>
    <row r="707" spans="1:6" x14ac:dyDescent="0.2">
      <c r="A707" s="44"/>
      <c r="B707" s="44"/>
      <c r="C707" s="44"/>
      <c r="D707" s="44"/>
      <c r="E707" s="44"/>
      <c r="F707" s="44"/>
    </row>
    <row r="708" spans="1:6" x14ac:dyDescent="0.2">
      <c r="A708" s="44"/>
      <c r="B708" s="44"/>
      <c r="C708" s="44"/>
      <c r="D708" s="44"/>
      <c r="E708" s="44"/>
      <c r="F708" s="44"/>
    </row>
    <row r="709" spans="1:6" x14ac:dyDescent="0.2">
      <c r="A709" s="44"/>
      <c r="B709" s="44"/>
      <c r="C709" s="44"/>
      <c r="D709" s="44"/>
      <c r="E709" s="44"/>
      <c r="F709" s="44"/>
    </row>
    <row r="710" spans="1:6" x14ac:dyDescent="0.2">
      <c r="A710" s="44"/>
      <c r="B710" s="44"/>
      <c r="C710" s="44"/>
      <c r="D710" s="44"/>
      <c r="E710" s="44"/>
      <c r="F710" s="44"/>
    </row>
    <row r="711" spans="1:6" x14ac:dyDescent="0.2">
      <c r="A711" s="44"/>
      <c r="B711" s="44"/>
      <c r="C711" s="44"/>
      <c r="D711" s="44"/>
      <c r="E711" s="44"/>
      <c r="F711" s="44"/>
    </row>
    <row r="712" spans="1:6" x14ac:dyDescent="0.2">
      <c r="A712" s="44"/>
      <c r="B712" s="44"/>
      <c r="C712" s="44"/>
      <c r="D712" s="44"/>
      <c r="E712" s="44"/>
      <c r="F712" s="44"/>
    </row>
    <row r="713" spans="1:6" x14ac:dyDescent="0.2">
      <c r="A713" s="44"/>
      <c r="B713" s="44"/>
      <c r="C713" s="44"/>
      <c r="D713" s="44"/>
      <c r="E713" s="44"/>
      <c r="F713" s="44"/>
    </row>
    <row r="714" spans="1:6" x14ac:dyDescent="0.2">
      <c r="A714" s="44"/>
      <c r="B714" s="44"/>
      <c r="C714" s="44"/>
      <c r="D714" s="44"/>
      <c r="E714" s="44"/>
      <c r="F714" s="44"/>
    </row>
    <row r="715" spans="1:6" x14ac:dyDescent="0.2">
      <c r="A715" s="44"/>
      <c r="B715" s="44"/>
      <c r="C715" s="44"/>
      <c r="D715" s="44"/>
      <c r="E715" s="44"/>
      <c r="F715" s="44"/>
    </row>
    <row r="716" spans="1:6" x14ac:dyDescent="0.2">
      <c r="A716" s="44"/>
      <c r="B716" s="44"/>
      <c r="C716" s="44"/>
      <c r="D716" s="44"/>
      <c r="E716" s="44"/>
      <c r="F716" s="44"/>
    </row>
    <row r="717" spans="1:6" x14ac:dyDescent="0.2">
      <c r="A717" s="44"/>
      <c r="B717" s="44"/>
      <c r="C717" s="44"/>
      <c r="D717" s="44"/>
      <c r="E717" s="44"/>
      <c r="F717" s="44"/>
    </row>
    <row r="718" spans="1:6" x14ac:dyDescent="0.2">
      <c r="A718" s="44"/>
      <c r="B718" s="44"/>
      <c r="C718" s="44"/>
      <c r="D718" s="44"/>
      <c r="E718" s="44"/>
      <c r="F718" s="44"/>
    </row>
    <row r="719" spans="1:6" x14ac:dyDescent="0.2">
      <c r="A719" s="44"/>
      <c r="B719" s="44"/>
      <c r="C719" s="44"/>
      <c r="D719" s="44"/>
      <c r="E719" s="44"/>
      <c r="F719" s="44"/>
    </row>
    <row r="720" spans="1:6" x14ac:dyDescent="0.2">
      <c r="A720" s="44"/>
      <c r="B720" s="44"/>
      <c r="C720" s="44"/>
      <c r="D720" s="44"/>
      <c r="E720" s="44"/>
      <c r="F720" s="44"/>
    </row>
    <row r="721" spans="1:6" x14ac:dyDescent="0.2">
      <c r="A721" s="44"/>
      <c r="B721" s="44"/>
      <c r="C721" s="44"/>
      <c r="D721" s="44"/>
      <c r="E721" s="44"/>
      <c r="F721" s="44"/>
    </row>
    <row r="722" spans="1:6" x14ac:dyDescent="0.2">
      <c r="A722" s="44"/>
      <c r="B722" s="44"/>
      <c r="C722" s="44"/>
      <c r="D722" s="44"/>
      <c r="E722" s="44"/>
      <c r="F722" s="44"/>
    </row>
    <row r="723" spans="1:6" x14ac:dyDescent="0.2">
      <c r="A723" s="44"/>
      <c r="B723" s="44"/>
      <c r="C723" s="44"/>
      <c r="D723" s="44"/>
      <c r="E723" s="44"/>
      <c r="F723" s="44"/>
    </row>
    <row r="724" spans="1:6" x14ac:dyDescent="0.2">
      <c r="A724" s="44"/>
      <c r="B724" s="44"/>
      <c r="C724" s="44"/>
      <c r="D724" s="44"/>
      <c r="E724" s="44"/>
      <c r="F724" s="44"/>
    </row>
    <row r="725" spans="1:6" x14ac:dyDescent="0.2">
      <c r="A725" s="44"/>
      <c r="B725" s="44"/>
      <c r="C725" s="44"/>
      <c r="D725" s="44"/>
      <c r="E725" s="44"/>
      <c r="F725" s="44"/>
    </row>
    <row r="726" spans="1:6" x14ac:dyDescent="0.2">
      <c r="A726" s="44"/>
      <c r="B726" s="44"/>
      <c r="C726" s="44"/>
      <c r="D726" s="44"/>
      <c r="E726" s="44"/>
      <c r="F726" s="44"/>
    </row>
    <row r="727" spans="1:6" x14ac:dyDescent="0.2">
      <c r="A727" s="44"/>
      <c r="B727" s="44"/>
      <c r="C727" s="44"/>
      <c r="D727" s="44"/>
      <c r="E727" s="44"/>
      <c r="F727" s="44"/>
    </row>
    <row r="728" spans="1:6" x14ac:dyDescent="0.2">
      <c r="A728" s="44"/>
      <c r="B728" s="44"/>
      <c r="C728" s="44"/>
      <c r="D728" s="44"/>
      <c r="E728" s="44"/>
      <c r="F728" s="44"/>
    </row>
    <row r="729" spans="1:6" x14ac:dyDescent="0.2">
      <c r="A729" s="44"/>
      <c r="B729" s="44"/>
      <c r="C729" s="44"/>
      <c r="D729" s="44"/>
      <c r="E729" s="44"/>
      <c r="F729" s="44"/>
    </row>
    <row r="730" spans="1:6" x14ac:dyDescent="0.2">
      <c r="A730" s="44"/>
      <c r="B730" s="44"/>
      <c r="C730" s="44"/>
      <c r="D730" s="44"/>
      <c r="E730" s="44"/>
      <c r="F730" s="44"/>
    </row>
    <row r="731" spans="1:6" x14ac:dyDescent="0.2">
      <c r="A731" s="44"/>
      <c r="B731" s="44"/>
      <c r="C731" s="44"/>
      <c r="D731" s="44"/>
      <c r="E731" s="44"/>
      <c r="F731" s="44"/>
    </row>
    <row r="732" spans="1:6" x14ac:dyDescent="0.2">
      <c r="A732" s="44"/>
      <c r="B732" s="44"/>
      <c r="C732" s="44"/>
      <c r="D732" s="44"/>
      <c r="E732" s="44"/>
      <c r="F732" s="44"/>
    </row>
    <row r="733" spans="1:6" x14ac:dyDescent="0.2">
      <c r="A733" s="44"/>
      <c r="B733" s="44"/>
      <c r="C733" s="44"/>
      <c r="D733" s="44"/>
      <c r="E733" s="44"/>
      <c r="F733" s="44"/>
    </row>
    <row r="734" spans="1:6" x14ac:dyDescent="0.2">
      <c r="A734" s="44"/>
      <c r="B734" s="44"/>
      <c r="C734" s="44"/>
      <c r="D734" s="44"/>
      <c r="E734" s="44"/>
      <c r="F734" s="44"/>
    </row>
    <row r="735" spans="1:6" x14ac:dyDescent="0.2">
      <c r="A735" s="44"/>
      <c r="B735" s="44"/>
      <c r="C735" s="44"/>
      <c r="D735" s="44"/>
      <c r="E735" s="44"/>
      <c r="F735" s="44"/>
    </row>
    <row r="736" spans="1:6" x14ac:dyDescent="0.2">
      <c r="A736" s="44"/>
      <c r="B736" s="44"/>
      <c r="C736" s="44"/>
      <c r="D736" s="44"/>
      <c r="E736" s="44"/>
      <c r="F736" s="44"/>
    </row>
    <row r="737" spans="1:6" x14ac:dyDescent="0.2">
      <c r="A737" s="44"/>
      <c r="B737" s="44"/>
      <c r="C737" s="44"/>
      <c r="D737" s="44"/>
      <c r="E737" s="44"/>
      <c r="F737" s="44"/>
    </row>
    <row r="738" spans="1:6" x14ac:dyDescent="0.2">
      <c r="A738" s="44"/>
      <c r="B738" s="44"/>
      <c r="C738" s="44"/>
      <c r="D738" s="44"/>
      <c r="E738" s="44"/>
      <c r="F738" s="44"/>
    </row>
    <row r="739" spans="1:6" x14ac:dyDescent="0.2">
      <c r="A739" s="44"/>
      <c r="B739" s="44"/>
      <c r="C739" s="44"/>
      <c r="D739" s="44"/>
      <c r="E739" s="44"/>
      <c r="F739" s="44"/>
    </row>
    <row r="740" spans="1:6" x14ac:dyDescent="0.2">
      <c r="A740" s="44"/>
      <c r="B740" s="44"/>
      <c r="C740" s="44"/>
      <c r="D740" s="44"/>
      <c r="E740" s="44"/>
      <c r="F740" s="44"/>
    </row>
    <row r="741" spans="1:6" x14ac:dyDescent="0.2">
      <c r="A741" s="44"/>
      <c r="B741" s="44"/>
      <c r="C741" s="44"/>
      <c r="D741" s="44"/>
      <c r="E741" s="44"/>
      <c r="F741" s="44"/>
    </row>
    <row r="742" spans="1:6" x14ac:dyDescent="0.2">
      <c r="A742" s="44"/>
      <c r="B742" s="44"/>
      <c r="C742" s="44"/>
      <c r="D742" s="44"/>
      <c r="E742" s="44"/>
      <c r="F742" s="44"/>
    </row>
    <row r="743" spans="1:6" x14ac:dyDescent="0.2">
      <c r="A743" s="44"/>
      <c r="B743" s="44"/>
      <c r="C743" s="44"/>
      <c r="D743" s="44"/>
      <c r="E743" s="44"/>
      <c r="F743" s="44"/>
    </row>
    <row r="744" spans="1:6" x14ac:dyDescent="0.2">
      <c r="A744" s="44"/>
      <c r="B744" s="44"/>
      <c r="C744" s="44"/>
      <c r="D744" s="44"/>
      <c r="E744" s="44"/>
      <c r="F744" s="44"/>
    </row>
    <row r="745" spans="1:6" x14ac:dyDescent="0.2">
      <c r="A745" s="44"/>
      <c r="B745" s="44"/>
      <c r="C745" s="44"/>
      <c r="D745" s="44"/>
      <c r="E745" s="44"/>
      <c r="F745" s="44"/>
    </row>
    <row r="746" spans="1:6" x14ac:dyDescent="0.2">
      <c r="A746" s="44"/>
      <c r="B746" s="44"/>
      <c r="C746" s="44"/>
      <c r="D746" s="44"/>
      <c r="E746" s="44"/>
      <c r="F746" s="44"/>
    </row>
    <row r="747" spans="1:6" x14ac:dyDescent="0.2">
      <c r="A747" s="44"/>
      <c r="B747" s="44"/>
      <c r="C747" s="44"/>
      <c r="D747" s="44"/>
      <c r="E747" s="44"/>
      <c r="F747" s="44"/>
    </row>
    <row r="748" spans="1:6" x14ac:dyDescent="0.2">
      <c r="A748" s="44"/>
      <c r="B748" s="44"/>
      <c r="C748" s="44"/>
      <c r="D748" s="44"/>
      <c r="E748" s="44"/>
      <c r="F748" s="44"/>
    </row>
    <row r="749" spans="1:6" x14ac:dyDescent="0.2">
      <c r="A749" s="44"/>
      <c r="B749" s="44"/>
      <c r="C749" s="44"/>
      <c r="D749" s="44"/>
      <c r="E749" s="44"/>
      <c r="F749" s="44"/>
    </row>
    <row r="750" spans="1:6" x14ac:dyDescent="0.2">
      <c r="A750" s="44"/>
      <c r="B750" s="44"/>
      <c r="C750" s="44"/>
      <c r="D750" s="44"/>
      <c r="E750" s="44"/>
      <c r="F750" s="44"/>
    </row>
    <row r="751" spans="1:6" x14ac:dyDescent="0.2">
      <c r="A751" s="44"/>
      <c r="B751" s="44"/>
      <c r="C751" s="44"/>
      <c r="D751" s="44"/>
      <c r="E751" s="44"/>
      <c r="F751" s="44"/>
    </row>
    <row r="752" spans="1:6" x14ac:dyDescent="0.2">
      <c r="A752" s="44"/>
      <c r="B752" s="44"/>
      <c r="C752" s="44"/>
      <c r="D752" s="44"/>
      <c r="E752" s="44"/>
      <c r="F752" s="44"/>
    </row>
    <row r="753" spans="1:6" x14ac:dyDescent="0.2">
      <c r="A753" s="44"/>
      <c r="B753" s="44"/>
      <c r="C753" s="44"/>
      <c r="D753" s="44"/>
      <c r="E753" s="44"/>
      <c r="F753" s="44"/>
    </row>
    <row r="754" spans="1:6" x14ac:dyDescent="0.2">
      <c r="A754" s="44"/>
      <c r="B754" s="44"/>
      <c r="C754" s="44"/>
      <c r="D754" s="44"/>
      <c r="E754" s="44"/>
      <c r="F754" s="44"/>
    </row>
    <row r="755" spans="1:6" x14ac:dyDescent="0.2">
      <c r="A755" s="44"/>
      <c r="B755" s="44"/>
      <c r="C755" s="44"/>
      <c r="D755" s="44"/>
      <c r="E755" s="44"/>
      <c r="F755" s="44"/>
    </row>
    <row r="756" spans="1:6" x14ac:dyDescent="0.2">
      <c r="A756" s="44"/>
      <c r="B756" s="44"/>
      <c r="C756" s="44"/>
      <c r="D756" s="44"/>
      <c r="E756" s="44"/>
      <c r="F756" s="44"/>
    </row>
    <row r="757" spans="1:6" x14ac:dyDescent="0.2">
      <c r="A757" s="44"/>
      <c r="B757" s="44"/>
      <c r="C757" s="44"/>
      <c r="D757" s="44"/>
      <c r="E757" s="44"/>
      <c r="F757" s="44"/>
    </row>
    <row r="758" spans="1:6" x14ac:dyDescent="0.2">
      <c r="A758" s="44"/>
      <c r="B758" s="44"/>
      <c r="C758" s="44"/>
      <c r="D758" s="44"/>
      <c r="E758" s="44"/>
      <c r="F758" s="44"/>
    </row>
    <row r="759" spans="1:6" x14ac:dyDescent="0.2">
      <c r="A759" s="44"/>
      <c r="B759" s="44"/>
      <c r="C759" s="44"/>
      <c r="D759" s="44"/>
      <c r="E759" s="44"/>
      <c r="F759" s="44"/>
    </row>
    <row r="760" spans="1:6" x14ac:dyDescent="0.2">
      <c r="A760" s="44"/>
      <c r="B760" s="44"/>
      <c r="C760" s="44"/>
      <c r="D760" s="44"/>
      <c r="E760" s="44"/>
      <c r="F760" s="44"/>
    </row>
    <row r="761" spans="1:6" x14ac:dyDescent="0.2">
      <c r="A761" s="44"/>
      <c r="B761" s="44"/>
      <c r="C761" s="44"/>
      <c r="D761" s="44"/>
      <c r="E761" s="44"/>
      <c r="F761" s="44"/>
    </row>
    <row r="762" spans="1:6" x14ac:dyDescent="0.2">
      <c r="A762" s="44"/>
      <c r="B762" s="44"/>
      <c r="C762" s="44"/>
      <c r="D762" s="44"/>
      <c r="E762" s="44"/>
      <c r="F762" s="44"/>
    </row>
    <row r="763" spans="1:6" x14ac:dyDescent="0.2">
      <c r="A763" s="44"/>
      <c r="B763" s="44"/>
      <c r="C763" s="44"/>
      <c r="D763" s="44"/>
      <c r="E763" s="44"/>
      <c r="F763" s="44"/>
    </row>
    <row r="764" spans="1:6" x14ac:dyDescent="0.2">
      <c r="A764" s="44"/>
      <c r="B764" s="44"/>
      <c r="C764" s="44"/>
      <c r="D764" s="44"/>
      <c r="E764" s="44"/>
      <c r="F764" s="44"/>
    </row>
    <row r="765" spans="1:6" x14ac:dyDescent="0.2">
      <c r="A765" s="44"/>
      <c r="B765" s="44"/>
      <c r="C765" s="44"/>
      <c r="D765" s="44"/>
      <c r="E765" s="44"/>
      <c r="F765" s="44"/>
    </row>
    <row r="766" spans="1:6" x14ac:dyDescent="0.2">
      <c r="A766" s="44"/>
      <c r="B766" s="44"/>
      <c r="C766" s="44"/>
      <c r="D766" s="44"/>
      <c r="E766" s="44"/>
      <c r="F766" s="44"/>
    </row>
    <row r="767" spans="1:6" x14ac:dyDescent="0.2">
      <c r="A767" s="44"/>
      <c r="B767" s="44"/>
      <c r="C767" s="44"/>
      <c r="D767" s="44"/>
      <c r="E767" s="44"/>
      <c r="F767" s="44"/>
    </row>
    <row r="768" spans="1:6" x14ac:dyDescent="0.2">
      <c r="A768" s="44"/>
      <c r="B768" s="44"/>
      <c r="C768" s="44"/>
      <c r="D768" s="44"/>
      <c r="E768" s="44"/>
      <c r="F768" s="44"/>
    </row>
    <row r="769" spans="1:6" x14ac:dyDescent="0.2">
      <c r="A769" s="44"/>
      <c r="B769" s="44"/>
      <c r="C769" s="44"/>
      <c r="D769" s="44"/>
      <c r="E769" s="44"/>
      <c r="F769" s="44"/>
    </row>
    <row r="770" spans="1:6" x14ac:dyDescent="0.2">
      <c r="A770" s="44"/>
      <c r="B770" s="44"/>
      <c r="C770" s="44"/>
      <c r="D770" s="44"/>
      <c r="E770" s="44"/>
      <c r="F770" s="44"/>
    </row>
    <row r="771" spans="1:6" x14ac:dyDescent="0.2">
      <c r="A771" s="44"/>
      <c r="B771" s="44"/>
      <c r="C771" s="44"/>
      <c r="D771" s="44"/>
      <c r="E771" s="44"/>
      <c r="F771" s="44"/>
    </row>
    <row r="772" spans="1:6" x14ac:dyDescent="0.2">
      <c r="A772" s="44"/>
      <c r="B772" s="44"/>
      <c r="C772" s="44"/>
      <c r="D772" s="44"/>
      <c r="E772" s="44"/>
      <c r="F772" s="44"/>
    </row>
    <row r="773" spans="1:6" x14ac:dyDescent="0.2">
      <c r="A773" s="44"/>
      <c r="B773" s="44"/>
      <c r="C773" s="44"/>
      <c r="D773" s="44"/>
      <c r="E773" s="44"/>
      <c r="F773" s="44"/>
    </row>
    <row r="774" spans="1:6" x14ac:dyDescent="0.2">
      <c r="A774" s="44"/>
      <c r="B774" s="44"/>
      <c r="C774" s="44"/>
      <c r="D774" s="44"/>
      <c r="E774" s="44"/>
      <c r="F774" s="44"/>
    </row>
    <row r="775" spans="1:6" x14ac:dyDescent="0.2">
      <c r="A775" s="44"/>
      <c r="B775" s="44"/>
      <c r="C775" s="44"/>
      <c r="D775" s="44"/>
      <c r="E775" s="44"/>
      <c r="F775" s="44"/>
    </row>
    <row r="776" spans="1:6" x14ac:dyDescent="0.2">
      <c r="A776" s="44"/>
      <c r="B776" s="44"/>
      <c r="C776" s="44"/>
      <c r="D776" s="44"/>
      <c r="E776" s="44"/>
      <c r="F776" s="44"/>
    </row>
    <row r="777" spans="1:6" x14ac:dyDescent="0.2">
      <c r="A777" s="44"/>
      <c r="B777" s="44"/>
      <c r="C777" s="44"/>
      <c r="D777" s="44"/>
      <c r="E777" s="44"/>
      <c r="F777" s="44"/>
    </row>
    <row r="778" spans="1:6" x14ac:dyDescent="0.2">
      <c r="A778" s="44"/>
      <c r="B778" s="44"/>
      <c r="C778" s="44"/>
      <c r="D778" s="44"/>
      <c r="E778" s="44"/>
      <c r="F778" s="44"/>
    </row>
    <row r="779" spans="1:6" x14ac:dyDescent="0.2">
      <c r="A779" s="44"/>
      <c r="B779" s="44"/>
      <c r="C779" s="44"/>
      <c r="D779" s="44"/>
      <c r="E779" s="44"/>
      <c r="F779" s="44"/>
    </row>
    <row r="780" spans="1:6" x14ac:dyDescent="0.2">
      <c r="A780" s="44"/>
      <c r="B780" s="44"/>
      <c r="C780" s="44"/>
      <c r="D780" s="44"/>
      <c r="E780" s="44"/>
      <c r="F780" s="44"/>
    </row>
    <row r="781" spans="1:6" x14ac:dyDescent="0.2">
      <c r="A781" s="44"/>
      <c r="B781" s="44"/>
      <c r="C781" s="44"/>
      <c r="D781" s="44"/>
      <c r="E781" s="44"/>
      <c r="F781" s="44"/>
    </row>
    <row r="782" spans="1:6" x14ac:dyDescent="0.2">
      <c r="A782" s="44"/>
      <c r="B782" s="44"/>
      <c r="C782" s="44"/>
      <c r="D782" s="44"/>
      <c r="E782" s="44"/>
      <c r="F782" s="44"/>
    </row>
    <row r="783" spans="1:6" x14ac:dyDescent="0.2">
      <c r="A783" s="44"/>
      <c r="B783" s="44"/>
      <c r="C783" s="44"/>
      <c r="D783" s="44"/>
      <c r="E783" s="44"/>
      <c r="F783" s="44"/>
    </row>
    <row r="784" spans="1:6" x14ac:dyDescent="0.2">
      <c r="A784" s="44"/>
      <c r="B784" s="44"/>
      <c r="C784" s="44"/>
      <c r="D784" s="44"/>
      <c r="E784" s="44"/>
      <c r="F784" s="44"/>
    </row>
    <row r="785" spans="1:6" x14ac:dyDescent="0.2">
      <c r="A785" s="44"/>
      <c r="B785" s="44"/>
      <c r="C785" s="44"/>
      <c r="D785" s="44"/>
      <c r="E785" s="44"/>
      <c r="F785" s="44"/>
    </row>
    <row r="786" spans="1:6" x14ac:dyDescent="0.2">
      <c r="A786" s="44"/>
      <c r="B786" s="44"/>
      <c r="C786" s="44"/>
      <c r="D786" s="44"/>
      <c r="E786" s="44"/>
      <c r="F786" s="44"/>
    </row>
    <row r="787" spans="1:6" x14ac:dyDescent="0.2">
      <c r="A787" s="44"/>
      <c r="B787" s="44"/>
      <c r="C787" s="44"/>
      <c r="D787" s="44"/>
      <c r="E787" s="44"/>
      <c r="F787" s="44"/>
    </row>
    <row r="788" spans="1:6" x14ac:dyDescent="0.2">
      <c r="A788" s="44"/>
      <c r="B788" s="44"/>
      <c r="C788" s="44"/>
      <c r="D788" s="44"/>
      <c r="E788" s="44"/>
      <c r="F788" s="44"/>
    </row>
    <row r="789" spans="1:6" x14ac:dyDescent="0.2">
      <c r="A789" s="44"/>
      <c r="B789" s="44"/>
      <c r="C789" s="44"/>
      <c r="D789" s="44"/>
      <c r="E789" s="44"/>
      <c r="F789" s="44"/>
    </row>
    <row r="790" spans="1:6" x14ac:dyDescent="0.2">
      <c r="A790" s="44"/>
      <c r="B790" s="44"/>
      <c r="C790" s="44"/>
      <c r="D790" s="44"/>
      <c r="E790" s="44"/>
      <c r="F790" s="44"/>
    </row>
    <row r="791" spans="1:6" x14ac:dyDescent="0.2">
      <c r="A791" s="44"/>
      <c r="B791" s="44"/>
      <c r="C791" s="44"/>
      <c r="D791" s="44"/>
      <c r="E791" s="44"/>
      <c r="F791" s="44"/>
    </row>
    <row r="792" spans="1:6" x14ac:dyDescent="0.2">
      <c r="A792" s="44"/>
      <c r="B792" s="44"/>
      <c r="C792" s="44"/>
      <c r="D792" s="44"/>
      <c r="E792" s="44"/>
      <c r="F792" s="44"/>
    </row>
    <row r="793" spans="1:6" x14ac:dyDescent="0.2">
      <c r="A793" s="44"/>
      <c r="B793" s="44"/>
      <c r="C793" s="44"/>
      <c r="D793" s="44"/>
      <c r="E793" s="44"/>
      <c r="F793" s="44"/>
    </row>
    <row r="794" spans="1:6" x14ac:dyDescent="0.2">
      <c r="A794" s="44"/>
      <c r="B794" s="44"/>
      <c r="C794" s="44"/>
      <c r="D794" s="44"/>
      <c r="E794" s="44"/>
      <c r="F794" s="44"/>
    </row>
    <row r="795" spans="1:6" x14ac:dyDescent="0.2">
      <c r="A795" s="44"/>
      <c r="B795" s="44"/>
      <c r="C795" s="44"/>
      <c r="D795" s="44"/>
      <c r="E795" s="44"/>
      <c r="F795" s="44"/>
    </row>
    <row r="796" spans="1:6" x14ac:dyDescent="0.2">
      <c r="A796" s="44"/>
      <c r="B796" s="44"/>
      <c r="C796" s="44"/>
      <c r="D796" s="44"/>
      <c r="E796" s="44"/>
      <c r="F796" s="44"/>
    </row>
    <row r="797" spans="1:6" x14ac:dyDescent="0.2">
      <c r="A797" s="44"/>
      <c r="B797" s="44"/>
      <c r="C797" s="44"/>
      <c r="D797" s="44"/>
      <c r="E797" s="44"/>
      <c r="F797" s="44"/>
    </row>
    <row r="798" spans="1:6" x14ac:dyDescent="0.2">
      <c r="A798" s="44"/>
      <c r="B798" s="44"/>
      <c r="C798" s="44"/>
      <c r="D798" s="44"/>
      <c r="E798" s="44"/>
      <c r="F798" s="44"/>
    </row>
    <row r="799" spans="1:6" x14ac:dyDescent="0.2">
      <c r="A799" s="44"/>
      <c r="B799" s="44"/>
      <c r="C799" s="44"/>
      <c r="D799" s="44"/>
      <c r="E799" s="44"/>
      <c r="F799" s="44"/>
    </row>
    <row r="800" spans="1:6" x14ac:dyDescent="0.2">
      <c r="A800" s="44"/>
      <c r="B800" s="44"/>
      <c r="C800" s="44"/>
      <c r="D800" s="44"/>
      <c r="E800" s="44"/>
      <c r="F800" s="44"/>
    </row>
    <row r="801" spans="1:6" x14ac:dyDescent="0.2">
      <c r="A801" s="44"/>
      <c r="B801" s="44"/>
      <c r="C801" s="44"/>
      <c r="D801" s="44"/>
      <c r="E801" s="44"/>
      <c r="F801" s="44"/>
    </row>
    <row r="802" spans="1:6" x14ac:dyDescent="0.2">
      <c r="A802" s="44"/>
      <c r="B802" s="44"/>
      <c r="C802" s="44"/>
      <c r="D802" s="44"/>
      <c r="E802" s="44"/>
      <c r="F802" s="44"/>
    </row>
    <row r="803" spans="1:6" x14ac:dyDescent="0.2">
      <c r="A803" s="44"/>
      <c r="B803" s="44"/>
      <c r="C803" s="44"/>
      <c r="D803" s="44"/>
      <c r="E803" s="44"/>
      <c r="F803" s="44"/>
    </row>
    <row r="804" spans="1:6" x14ac:dyDescent="0.2">
      <c r="A804" s="44"/>
      <c r="B804" s="44"/>
      <c r="C804" s="44"/>
      <c r="D804" s="44"/>
      <c r="E804" s="44"/>
      <c r="F804" s="44"/>
    </row>
    <row r="805" spans="1:6" x14ac:dyDescent="0.2">
      <c r="A805" s="44"/>
      <c r="B805" s="44"/>
      <c r="C805" s="44"/>
      <c r="D805" s="44"/>
      <c r="E805" s="44"/>
      <c r="F805" s="44"/>
    </row>
    <row r="806" spans="1:6" x14ac:dyDescent="0.2">
      <c r="A806" s="44"/>
      <c r="B806" s="44"/>
      <c r="C806" s="44"/>
      <c r="D806" s="44"/>
      <c r="E806" s="44"/>
      <c r="F806" s="44"/>
    </row>
    <row r="807" spans="1:6" x14ac:dyDescent="0.2">
      <c r="A807" s="44"/>
      <c r="B807" s="44"/>
      <c r="C807" s="44"/>
      <c r="D807" s="44"/>
      <c r="E807" s="44"/>
      <c r="F807" s="44"/>
    </row>
    <row r="808" spans="1:6" x14ac:dyDescent="0.2">
      <c r="A808" s="44"/>
      <c r="B808" s="44"/>
      <c r="C808" s="44"/>
      <c r="D808" s="44"/>
      <c r="E808" s="44"/>
      <c r="F808" s="44"/>
    </row>
    <row r="809" spans="1:6" x14ac:dyDescent="0.2">
      <c r="A809" s="44"/>
      <c r="B809" s="44"/>
      <c r="C809" s="44"/>
      <c r="D809" s="44"/>
      <c r="E809" s="44"/>
      <c r="F809" s="44"/>
    </row>
    <row r="810" spans="1:6" x14ac:dyDescent="0.2">
      <c r="A810" s="44"/>
      <c r="B810" s="44"/>
      <c r="C810" s="44"/>
      <c r="D810" s="44"/>
      <c r="E810" s="44"/>
      <c r="F810" s="44"/>
    </row>
    <row r="811" spans="1:6" x14ac:dyDescent="0.2">
      <c r="A811" s="44"/>
      <c r="B811" s="44"/>
      <c r="C811" s="44"/>
      <c r="D811" s="44"/>
      <c r="E811" s="44"/>
      <c r="F811" s="44"/>
    </row>
    <row r="812" spans="1:6" x14ac:dyDescent="0.2">
      <c r="A812" s="44"/>
      <c r="B812" s="44"/>
      <c r="C812" s="44"/>
      <c r="D812" s="44"/>
      <c r="E812" s="44"/>
      <c r="F812" s="44"/>
    </row>
    <row r="813" spans="1:6" x14ac:dyDescent="0.2">
      <c r="A813" s="44"/>
      <c r="B813" s="44"/>
      <c r="C813" s="44"/>
      <c r="D813" s="44"/>
      <c r="E813" s="44"/>
      <c r="F813" s="44"/>
    </row>
    <row r="814" spans="1:6" x14ac:dyDescent="0.2">
      <c r="A814" s="44"/>
      <c r="B814" s="44"/>
      <c r="C814" s="44"/>
      <c r="D814" s="44"/>
      <c r="E814" s="44"/>
      <c r="F814" s="44"/>
    </row>
    <row r="815" spans="1:6" x14ac:dyDescent="0.2">
      <c r="A815" s="44"/>
      <c r="B815" s="44"/>
      <c r="C815" s="44"/>
      <c r="D815" s="44"/>
      <c r="E815" s="44"/>
      <c r="F815" s="44"/>
    </row>
    <row r="816" spans="1:6" x14ac:dyDescent="0.2">
      <c r="A816" s="44"/>
      <c r="B816" s="44"/>
      <c r="C816" s="44"/>
      <c r="D816" s="44"/>
      <c r="E816" s="44"/>
      <c r="F816" s="44"/>
    </row>
    <row r="817" spans="1:6" x14ac:dyDescent="0.2">
      <c r="A817" s="44"/>
      <c r="B817" s="44"/>
      <c r="C817" s="44"/>
      <c r="D817" s="44"/>
      <c r="E817" s="44"/>
      <c r="F817" s="44"/>
    </row>
    <row r="818" spans="1:6" x14ac:dyDescent="0.2">
      <c r="A818" s="44"/>
      <c r="B818" s="44"/>
      <c r="C818" s="44"/>
      <c r="D818" s="44"/>
      <c r="E818" s="44"/>
      <c r="F818" s="44"/>
    </row>
    <row r="819" spans="1:6" x14ac:dyDescent="0.2">
      <c r="A819" s="44"/>
      <c r="B819" s="44"/>
      <c r="C819" s="44"/>
      <c r="D819" s="44"/>
      <c r="E819" s="44"/>
      <c r="F819" s="44"/>
    </row>
    <row r="820" spans="1:6" x14ac:dyDescent="0.2">
      <c r="A820" s="44"/>
      <c r="B820" s="44"/>
      <c r="C820" s="44"/>
      <c r="D820" s="44"/>
      <c r="E820" s="44"/>
      <c r="F820" s="44"/>
    </row>
    <row r="821" spans="1:6" x14ac:dyDescent="0.2">
      <c r="A821" s="44"/>
      <c r="B821" s="44"/>
      <c r="C821" s="44"/>
      <c r="D821" s="44"/>
      <c r="E821" s="44"/>
      <c r="F821" s="44"/>
    </row>
    <row r="822" spans="1:6" x14ac:dyDescent="0.2">
      <c r="A822" s="44"/>
      <c r="B822" s="44"/>
      <c r="C822" s="44"/>
      <c r="D822" s="44"/>
      <c r="E822" s="44"/>
      <c r="F822" s="44"/>
    </row>
    <row r="823" spans="1:6" x14ac:dyDescent="0.2">
      <c r="A823" s="44"/>
      <c r="B823" s="44"/>
      <c r="C823" s="44"/>
      <c r="D823" s="44"/>
      <c r="E823" s="44"/>
      <c r="F823" s="44"/>
    </row>
    <row r="824" spans="1:6" x14ac:dyDescent="0.2">
      <c r="A824" s="44"/>
      <c r="B824" s="44"/>
      <c r="C824" s="44"/>
      <c r="D824" s="44"/>
      <c r="E824" s="44"/>
      <c r="F824" s="44"/>
    </row>
    <row r="825" spans="1:6" x14ac:dyDescent="0.2">
      <c r="A825" s="44"/>
      <c r="B825" s="44"/>
      <c r="C825" s="44"/>
      <c r="D825" s="44"/>
      <c r="E825" s="44"/>
      <c r="F825" s="44"/>
    </row>
    <row r="826" spans="1:6" x14ac:dyDescent="0.2">
      <c r="A826" s="44"/>
      <c r="B826" s="44"/>
      <c r="C826" s="44"/>
      <c r="D826" s="44"/>
      <c r="E826" s="44"/>
      <c r="F826" s="44"/>
    </row>
    <row r="827" spans="1:6" x14ac:dyDescent="0.2">
      <c r="A827" s="44"/>
      <c r="B827" s="44"/>
      <c r="C827" s="44"/>
      <c r="D827" s="44"/>
      <c r="E827" s="44"/>
      <c r="F827" s="44"/>
    </row>
    <row r="828" spans="1:6" x14ac:dyDescent="0.2">
      <c r="A828" s="44"/>
      <c r="B828" s="44"/>
      <c r="C828" s="44"/>
      <c r="D828" s="44"/>
      <c r="E828" s="44"/>
      <c r="F828" s="44"/>
    </row>
    <row r="829" spans="1:6" x14ac:dyDescent="0.2">
      <c r="A829" s="44"/>
      <c r="B829" s="44"/>
      <c r="C829" s="44"/>
      <c r="D829" s="44"/>
      <c r="E829" s="44"/>
      <c r="F829" s="44"/>
    </row>
    <row r="830" spans="1:6" x14ac:dyDescent="0.2">
      <c r="A830" s="44"/>
      <c r="B830" s="44"/>
      <c r="C830" s="44"/>
      <c r="D830" s="44"/>
      <c r="E830" s="44"/>
      <c r="F830" s="44"/>
    </row>
    <row r="831" spans="1:6" x14ac:dyDescent="0.2">
      <c r="A831" s="44"/>
      <c r="B831" s="44"/>
      <c r="C831" s="44"/>
      <c r="D831" s="44"/>
      <c r="E831" s="44"/>
      <c r="F831" s="44"/>
    </row>
    <row r="832" spans="1:6" x14ac:dyDescent="0.2">
      <c r="A832" s="44"/>
      <c r="B832" s="44"/>
      <c r="C832" s="44"/>
      <c r="D832" s="44"/>
      <c r="E832" s="44"/>
      <c r="F832" s="44"/>
    </row>
    <row r="833" spans="1:6" x14ac:dyDescent="0.2">
      <c r="A833" s="44"/>
      <c r="B833" s="44"/>
      <c r="C833" s="44"/>
      <c r="D833" s="44"/>
      <c r="E833" s="44"/>
      <c r="F833" s="44"/>
    </row>
    <row r="834" spans="1:6" x14ac:dyDescent="0.2">
      <c r="A834" s="44"/>
      <c r="B834" s="44"/>
      <c r="C834" s="44"/>
      <c r="D834" s="44"/>
      <c r="E834" s="44"/>
      <c r="F834" s="44"/>
    </row>
    <row r="835" spans="1:6" x14ac:dyDescent="0.2">
      <c r="A835" s="44"/>
      <c r="B835" s="44"/>
      <c r="C835" s="44"/>
      <c r="D835" s="44"/>
      <c r="E835" s="44"/>
      <c r="F835" s="44"/>
    </row>
    <row r="836" spans="1:6" x14ac:dyDescent="0.2">
      <c r="A836" s="44"/>
      <c r="B836" s="44"/>
      <c r="C836" s="44"/>
      <c r="D836" s="44"/>
      <c r="E836" s="44"/>
      <c r="F836" s="44"/>
    </row>
    <row r="837" spans="1:6" x14ac:dyDescent="0.2">
      <c r="A837" s="44"/>
      <c r="B837" s="44"/>
      <c r="C837" s="44"/>
      <c r="D837" s="44"/>
      <c r="E837" s="44"/>
      <c r="F837" s="44"/>
    </row>
    <row r="838" spans="1:6" x14ac:dyDescent="0.2">
      <c r="A838" s="44"/>
      <c r="B838" s="44"/>
      <c r="C838" s="44"/>
      <c r="D838" s="44"/>
      <c r="E838" s="44"/>
      <c r="F838" s="44"/>
    </row>
    <row r="839" spans="1:6" x14ac:dyDescent="0.2">
      <c r="A839" s="44"/>
      <c r="B839" s="44"/>
      <c r="C839" s="44"/>
      <c r="D839" s="44"/>
      <c r="E839" s="44"/>
      <c r="F839" s="44"/>
    </row>
    <row r="840" spans="1:6" x14ac:dyDescent="0.2">
      <c r="A840" s="44"/>
      <c r="B840" s="44"/>
      <c r="C840" s="44"/>
      <c r="D840" s="44"/>
      <c r="E840" s="44"/>
      <c r="F840" s="44"/>
    </row>
    <row r="841" spans="1:6" x14ac:dyDescent="0.2">
      <c r="A841" s="44"/>
      <c r="B841" s="44"/>
      <c r="C841" s="44"/>
      <c r="D841" s="44"/>
      <c r="E841" s="44"/>
      <c r="F841" s="44"/>
    </row>
    <row r="842" spans="1:6" x14ac:dyDescent="0.2">
      <c r="A842" s="44"/>
      <c r="B842" s="44"/>
      <c r="C842" s="44"/>
      <c r="D842" s="44"/>
      <c r="E842" s="44"/>
      <c r="F842" s="44"/>
    </row>
    <row r="843" spans="1:6" x14ac:dyDescent="0.2">
      <c r="A843" s="44"/>
      <c r="B843" s="44"/>
      <c r="C843" s="44"/>
      <c r="D843" s="44"/>
      <c r="E843" s="44"/>
      <c r="F843" s="44"/>
    </row>
    <row r="844" spans="1:6" x14ac:dyDescent="0.2">
      <c r="A844" s="44"/>
      <c r="B844" s="44"/>
      <c r="C844" s="44"/>
      <c r="D844" s="44"/>
      <c r="E844" s="44"/>
      <c r="F844" s="44"/>
    </row>
    <row r="845" spans="1:6" x14ac:dyDescent="0.2">
      <c r="A845" s="44"/>
      <c r="B845" s="44"/>
      <c r="C845" s="44"/>
      <c r="D845" s="44"/>
      <c r="E845" s="44"/>
      <c r="F845" s="44"/>
    </row>
    <row r="846" spans="1:6" x14ac:dyDescent="0.2">
      <c r="A846" s="44"/>
      <c r="B846" s="44"/>
      <c r="C846" s="44"/>
      <c r="D846" s="44"/>
      <c r="E846" s="44"/>
      <c r="F846" s="44"/>
    </row>
    <row r="847" spans="1:6" x14ac:dyDescent="0.2">
      <c r="A847" s="44"/>
      <c r="B847" s="44"/>
      <c r="C847" s="44"/>
      <c r="D847" s="44"/>
      <c r="E847" s="44"/>
      <c r="F847" s="44"/>
    </row>
    <row r="848" spans="1:6" x14ac:dyDescent="0.2">
      <c r="A848" s="44"/>
      <c r="B848" s="44"/>
      <c r="C848" s="44"/>
      <c r="D848" s="44"/>
      <c r="E848" s="44"/>
      <c r="F848" s="44"/>
    </row>
    <row r="849" spans="1:6" x14ac:dyDescent="0.2">
      <c r="A849" s="44"/>
      <c r="B849" s="44"/>
      <c r="C849" s="44"/>
      <c r="D849" s="44"/>
      <c r="E849" s="44"/>
      <c r="F849" s="44"/>
    </row>
    <row r="850" spans="1:6" x14ac:dyDescent="0.2">
      <c r="A850" s="44"/>
      <c r="B850" s="44"/>
      <c r="C850" s="44"/>
      <c r="D850" s="44"/>
      <c r="E850" s="44"/>
      <c r="F850" s="44"/>
    </row>
    <row r="851" spans="1:6" x14ac:dyDescent="0.2">
      <c r="A851" s="44"/>
      <c r="B851" s="44"/>
      <c r="C851" s="44"/>
      <c r="D851" s="44"/>
      <c r="E851" s="44"/>
      <c r="F851" s="44"/>
    </row>
    <row r="852" spans="1:6" x14ac:dyDescent="0.2">
      <c r="A852" s="44"/>
      <c r="B852" s="44"/>
      <c r="C852" s="44"/>
      <c r="D852" s="44"/>
      <c r="E852" s="44"/>
      <c r="F852" s="44"/>
    </row>
    <row r="853" spans="1:6" x14ac:dyDescent="0.2">
      <c r="A853" s="44"/>
      <c r="B853" s="44"/>
      <c r="C853" s="44"/>
      <c r="D853" s="44"/>
      <c r="E853" s="44"/>
      <c r="F853" s="44"/>
    </row>
    <row r="854" spans="1:6" x14ac:dyDescent="0.2">
      <c r="A854" s="44"/>
      <c r="B854" s="44"/>
      <c r="C854" s="44"/>
      <c r="D854" s="44"/>
      <c r="E854" s="44"/>
      <c r="F854" s="44"/>
    </row>
    <row r="855" spans="1:6" x14ac:dyDescent="0.2">
      <c r="A855" s="44"/>
      <c r="B855" s="44"/>
      <c r="C855" s="44"/>
      <c r="D855" s="44"/>
      <c r="E855" s="44"/>
      <c r="F855" s="44"/>
    </row>
    <row r="856" spans="1:6" x14ac:dyDescent="0.2">
      <c r="A856" s="44"/>
      <c r="B856" s="44"/>
      <c r="C856" s="44"/>
      <c r="D856" s="44"/>
      <c r="E856" s="44"/>
      <c r="F856" s="44"/>
    </row>
    <row r="857" spans="1:6" x14ac:dyDescent="0.2">
      <c r="A857" s="44"/>
      <c r="B857" s="44"/>
      <c r="C857" s="44"/>
      <c r="D857" s="44"/>
      <c r="E857" s="44"/>
      <c r="F857" s="44"/>
    </row>
    <row r="858" spans="1:6" x14ac:dyDescent="0.2">
      <c r="A858" s="44"/>
      <c r="B858" s="44"/>
      <c r="C858" s="44"/>
      <c r="D858" s="44"/>
      <c r="E858" s="44"/>
      <c r="F858" s="44"/>
    </row>
    <row r="859" spans="1:6" x14ac:dyDescent="0.2">
      <c r="A859" s="44"/>
      <c r="B859" s="44"/>
      <c r="C859" s="44"/>
      <c r="D859" s="44"/>
      <c r="E859" s="44"/>
      <c r="F859" s="44"/>
    </row>
    <row r="860" spans="1:6" x14ac:dyDescent="0.2">
      <c r="A860" s="44"/>
      <c r="B860" s="44"/>
      <c r="C860" s="44"/>
      <c r="D860" s="44"/>
      <c r="E860" s="44"/>
      <c r="F860" s="44"/>
    </row>
    <row r="861" spans="1:6" x14ac:dyDescent="0.2">
      <c r="A861" s="44"/>
      <c r="B861" s="44"/>
      <c r="C861" s="44"/>
      <c r="D861" s="44"/>
      <c r="E861" s="44"/>
      <c r="F861" s="44"/>
    </row>
    <row r="862" spans="1:6" x14ac:dyDescent="0.2">
      <c r="A862" s="44"/>
      <c r="B862" s="44"/>
      <c r="C862" s="44"/>
      <c r="D862" s="44"/>
      <c r="E862" s="44"/>
      <c r="F862" s="44"/>
    </row>
    <row r="863" spans="1:6" x14ac:dyDescent="0.2">
      <c r="A863" s="44"/>
      <c r="B863" s="44"/>
      <c r="C863" s="44"/>
      <c r="D863" s="44"/>
      <c r="E863" s="44"/>
      <c r="F863" s="44"/>
    </row>
    <row r="864" spans="1:6" x14ac:dyDescent="0.2">
      <c r="A864" s="44"/>
      <c r="B864" s="44"/>
      <c r="C864" s="44"/>
      <c r="D864" s="44"/>
      <c r="E864" s="44"/>
      <c r="F864" s="44"/>
    </row>
    <row r="865" spans="1:6" x14ac:dyDescent="0.2">
      <c r="A865" s="44"/>
      <c r="B865" s="44"/>
      <c r="C865" s="44"/>
      <c r="D865" s="44"/>
      <c r="E865" s="44"/>
      <c r="F865" s="44"/>
    </row>
    <row r="866" spans="1:6" x14ac:dyDescent="0.2">
      <c r="A866" s="44"/>
      <c r="B866" s="44"/>
      <c r="C866" s="44"/>
      <c r="D866" s="44"/>
      <c r="E866" s="44"/>
      <c r="F866" s="44"/>
    </row>
    <row r="867" spans="1:6" x14ac:dyDescent="0.2">
      <c r="A867" s="44"/>
      <c r="B867" s="44"/>
      <c r="C867" s="44"/>
      <c r="D867" s="44"/>
      <c r="E867" s="44"/>
      <c r="F867" s="44"/>
    </row>
    <row r="868" spans="1:6" x14ac:dyDescent="0.2">
      <c r="A868" s="44"/>
      <c r="B868" s="44"/>
      <c r="C868" s="44"/>
      <c r="D868" s="44"/>
      <c r="E868" s="44"/>
      <c r="F868" s="44"/>
    </row>
    <row r="869" spans="1:6" x14ac:dyDescent="0.2">
      <c r="A869" s="44"/>
      <c r="B869" s="44"/>
      <c r="C869" s="44"/>
      <c r="D869" s="44"/>
      <c r="E869" s="44"/>
      <c r="F869" s="44"/>
    </row>
    <row r="870" spans="1:6" x14ac:dyDescent="0.2">
      <c r="A870" s="44"/>
      <c r="B870" s="44"/>
      <c r="C870" s="44"/>
      <c r="D870" s="44"/>
      <c r="E870" s="44"/>
      <c r="F870" s="44"/>
    </row>
    <row r="871" spans="1:6" x14ac:dyDescent="0.2">
      <c r="A871" s="44"/>
      <c r="B871" s="44"/>
      <c r="C871" s="44"/>
      <c r="D871" s="44"/>
      <c r="E871" s="44"/>
      <c r="F871" s="44"/>
    </row>
    <row r="872" spans="1:6" x14ac:dyDescent="0.2">
      <c r="A872" s="44"/>
      <c r="B872" s="44"/>
      <c r="C872" s="44"/>
      <c r="D872" s="44"/>
      <c r="E872" s="44"/>
      <c r="F872" s="44"/>
    </row>
    <row r="873" spans="1:6" x14ac:dyDescent="0.2">
      <c r="A873" s="44"/>
      <c r="B873" s="44"/>
      <c r="C873" s="44"/>
      <c r="D873" s="44"/>
      <c r="E873" s="44"/>
      <c r="F873" s="44"/>
    </row>
    <row r="874" spans="1:6" x14ac:dyDescent="0.2">
      <c r="A874" s="44"/>
      <c r="B874" s="44"/>
      <c r="C874" s="44"/>
      <c r="D874" s="44"/>
      <c r="E874" s="44"/>
      <c r="F874" s="44"/>
    </row>
    <row r="875" spans="1:6" x14ac:dyDescent="0.2">
      <c r="A875" s="44"/>
      <c r="B875" s="44"/>
      <c r="C875" s="44"/>
      <c r="D875" s="44"/>
      <c r="E875" s="44"/>
      <c r="F875" s="44"/>
    </row>
    <row r="876" spans="1:6" x14ac:dyDescent="0.2">
      <c r="A876" s="44"/>
      <c r="B876" s="44"/>
      <c r="C876" s="44"/>
      <c r="D876" s="44"/>
      <c r="E876" s="44"/>
      <c r="F876" s="44"/>
    </row>
    <row r="877" spans="1:6" x14ac:dyDescent="0.2">
      <c r="A877" s="44"/>
      <c r="B877" s="44"/>
      <c r="C877" s="44"/>
      <c r="D877" s="44"/>
      <c r="E877" s="44"/>
      <c r="F877" s="44"/>
    </row>
    <row r="878" spans="1:6" x14ac:dyDescent="0.2">
      <c r="A878" s="44"/>
      <c r="B878" s="44"/>
      <c r="C878" s="44"/>
      <c r="D878" s="44"/>
      <c r="E878" s="44"/>
      <c r="F878" s="44"/>
    </row>
    <row r="879" spans="1:6" x14ac:dyDescent="0.2">
      <c r="A879" s="44"/>
      <c r="B879" s="44"/>
      <c r="C879" s="44"/>
      <c r="D879" s="44"/>
      <c r="E879" s="44"/>
      <c r="F879" s="44"/>
    </row>
    <row r="880" spans="1:6" x14ac:dyDescent="0.2">
      <c r="A880" s="44"/>
      <c r="B880" s="44"/>
      <c r="C880" s="44"/>
      <c r="D880" s="44"/>
      <c r="E880" s="44"/>
      <c r="F880" s="44"/>
    </row>
    <row r="881" spans="1:6" x14ac:dyDescent="0.2">
      <c r="A881" s="44"/>
      <c r="B881" s="44"/>
      <c r="C881" s="44"/>
      <c r="D881" s="44"/>
      <c r="E881" s="44"/>
      <c r="F881" s="44"/>
    </row>
    <row r="882" spans="1:6" x14ac:dyDescent="0.2">
      <c r="A882" s="44"/>
      <c r="B882" s="44"/>
      <c r="C882" s="44"/>
      <c r="D882" s="44"/>
      <c r="E882" s="44"/>
      <c r="F882" s="44"/>
    </row>
    <row r="883" spans="1:6" x14ac:dyDescent="0.2">
      <c r="A883" s="44"/>
      <c r="B883" s="44"/>
      <c r="C883" s="44"/>
      <c r="D883" s="44"/>
      <c r="E883" s="44"/>
      <c r="F883" s="44"/>
    </row>
    <row r="884" spans="1:6" x14ac:dyDescent="0.2">
      <c r="A884" s="44"/>
      <c r="B884" s="44"/>
      <c r="C884" s="44"/>
      <c r="D884" s="44"/>
      <c r="E884" s="44"/>
      <c r="F884" s="44"/>
    </row>
    <row r="885" spans="1:6" x14ac:dyDescent="0.2">
      <c r="A885" s="44"/>
      <c r="B885" s="44"/>
      <c r="C885" s="44"/>
      <c r="D885" s="44"/>
      <c r="E885" s="44"/>
      <c r="F885" s="44"/>
    </row>
    <row r="886" spans="1:6" x14ac:dyDescent="0.2">
      <c r="A886" s="44"/>
      <c r="B886" s="44"/>
      <c r="C886" s="44"/>
      <c r="D886" s="44"/>
      <c r="E886" s="44"/>
      <c r="F886" s="44"/>
    </row>
    <row r="887" spans="1:6" x14ac:dyDescent="0.2">
      <c r="A887" s="44"/>
      <c r="B887" s="44"/>
      <c r="C887" s="44"/>
      <c r="D887" s="44"/>
      <c r="E887" s="44"/>
      <c r="F887" s="44"/>
    </row>
    <row r="888" spans="1:6" x14ac:dyDescent="0.2">
      <c r="A888" s="44"/>
      <c r="B888" s="44"/>
      <c r="C888" s="44"/>
      <c r="D888" s="44"/>
      <c r="E888" s="44"/>
      <c r="F888" s="44"/>
    </row>
    <row r="889" spans="1:6" x14ac:dyDescent="0.2">
      <c r="A889" s="44"/>
      <c r="B889" s="44"/>
      <c r="C889" s="44"/>
      <c r="D889" s="44"/>
      <c r="E889" s="44"/>
      <c r="F889" s="44"/>
    </row>
    <row r="890" spans="1:6" x14ac:dyDescent="0.2">
      <c r="A890" s="44"/>
      <c r="B890" s="44"/>
      <c r="C890" s="44"/>
      <c r="D890" s="44"/>
      <c r="E890" s="44"/>
      <c r="F890" s="44"/>
    </row>
    <row r="891" spans="1:6" x14ac:dyDescent="0.2">
      <c r="A891" s="44"/>
      <c r="B891" s="44"/>
      <c r="C891" s="44"/>
      <c r="D891" s="44"/>
      <c r="E891" s="44"/>
      <c r="F891" s="44"/>
    </row>
    <row r="892" spans="1:6" x14ac:dyDescent="0.2">
      <c r="A892" s="44"/>
      <c r="B892" s="44"/>
      <c r="C892" s="44"/>
      <c r="D892" s="44"/>
      <c r="E892" s="44"/>
      <c r="F892" s="44"/>
    </row>
    <row r="893" spans="1:6" x14ac:dyDescent="0.2">
      <c r="A893" s="44"/>
      <c r="B893" s="44"/>
      <c r="C893" s="44"/>
      <c r="D893" s="44"/>
      <c r="E893" s="44"/>
      <c r="F893" s="44"/>
    </row>
    <row r="894" spans="1:6" x14ac:dyDescent="0.2">
      <c r="A894" s="44"/>
      <c r="B894" s="44"/>
      <c r="C894" s="44"/>
      <c r="D894" s="44"/>
      <c r="E894" s="44"/>
      <c r="F894" s="44"/>
    </row>
    <row r="895" spans="1:6" x14ac:dyDescent="0.2">
      <c r="A895" s="44"/>
      <c r="B895" s="44"/>
      <c r="C895" s="44"/>
      <c r="D895" s="44"/>
      <c r="E895" s="44"/>
      <c r="F895" s="44"/>
    </row>
    <row r="896" spans="1:6" x14ac:dyDescent="0.2">
      <c r="A896" s="44"/>
      <c r="B896" s="44"/>
      <c r="C896" s="44"/>
      <c r="D896" s="44"/>
      <c r="E896" s="44"/>
      <c r="F896" s="44"/>
    </row>
    <row r="897" spans="1:6" x14ac:dyDescent="0.2">
      <c r="A897" s="44"/>
      <c r="B897" s="44"/>
      <c r="C897" s="44"/>
      <c r="D897" s="44"/>
      <c r="E897" s="44"/>
      <c r="F897" s="44"/>
    </row>
    <row r="898" spans="1:6" x14ac:dyDescent="0.2">
      <c r="A898" s="44"/>
      <c r="B898" s="44"/>
      <c r="C898" s="44"/>
      <c r="D898" s="44"/>
      <c r="E898" s="44"/>
      <c r="F898" s="44"/>
    </row>
    <row r="899" spans="1:6" x14ac:dyDescent="0.2">
      <c r="A899" s="44"/>
      <c r="B899" s="44"/>
      <c r="C899" s="44"/>
      <c r="D899" s="44"/>
      <c r="E899" s="44"/>
      <c r="F899" s="44"/>
    </row>
    <row r="900" spans="1:6" x14ac:dyDescent="0.2">
      <c r="A900" s="44"/>
      <c r="B900" s="44"/>
      <c r="C900" s="44"/>
      <c r="D900" s="44"/>
      <c r="E900" s="44"/>
      <c r="F900" s="44"/>
    </row>
    <row r="901" spans="1:6" x14ac:dyDescent="0.2">
      <c r="A901" s="44"/>
      <c r="B901" s="44"/>
      <c r="C901" s="44"/>
      <c r="D901" s="44"/>
      <c r="E901" s="44"/>
      <c r="F901" s="44"/>
    </row>
    <row r="902" spans="1:6" x14ac:dyDescent="0.2">
      <c r="A902" s="44"/>
      <c r="B902" s="44"/>
      <c r="C902" s="44"/>
      <c r="D902" s="44"/>
      <c r="E902" s="44"/>
      <c r="F902" s="44"/>
    </row>
    <row r="903" spans="1:6" x14ac:dyDescent="0.2">
      <c r="A903" s="44"/>
      <c r="B903" s="44"/>
      <c r="C903" s="44"/>
      <c r="D903" s="44"/>
      <c r="E903" s="44"/>
      <c r="F903" s="44"/>
    </row>
    <row r="904" spans="1:6" x14ac:dyDescent="0.2">
      <c r="A904" s="44"/>
      <c r="B904" s="44"/>
      <c r="C904" s="44"/>
      <c r="D904" s="44"/>
      <c r="E904" s="44"/>
      <c r="F904" s="44"/>
    </row>
    <row r="905" spans="1:6" x14ac:dyDescent="0.2">
      <c r="A905" s="44"/>
      <c r="B905" s="44"/>
      <c r="C905" s="44"/>
      <c r="D905" s="44"/>
      <c r="E905" s="44"/>
      <c r="F905" s="44"/>
    </row>
    <row r="906" spans="1:6" x14ac:dyDescent="0.2">
      <c r="A906" s="44"/>
      <c r="B906" s="44"/>
      <c r="C906" s="44"/>
      <c r="D906" s="44"/>
      <c r="E906" s="44"/>
      <c r="F906" s="44"/>
    </row>
    <row r="907" spans="1:6" x14ac:dyDescent="0.2">
      <c r="A907" s="44"/>
      <c r="B907" s="44"/>
      <c r="C907" s="44"/>
      <c r="D907" s="44"/>
      <c r="E907" s="44"/>
      <c r="F907" s="44"/>
    </row>
    <row r="908" spans="1:6" x14ac:dyDescent="0.2">
      <c r="A908" s="44"/>
      <c r="B908" s="44"/>
      <c r="C908" s="44"/>
      <c r="D908" s="44"/>
      <c r="E908" s="44"/>
      <c r="F908" s="44"/>
    </row>
    <row r="909" spans="1:6" x14ac:dyDescent="0.2">
      <c r="A909" s="44"/>
      <c r="B909" s="44"/>
      <c r="C909" s="44"/>
      <c r="D909" s="44"/>
      <c r="E909" s="44"/>
      <c r="F909" s="44"/>
    </row>
    <row r="910" spans="1:6" x14ac:dyDescent="0.2">
      <c r="A910" s="44"/>
      <c r="B910" s="44"/>
      <c r="C910" s="44"/>
      <c r="D910" s="44"/>
      <c r="E910" s="44"/>
      <c r="F910" s="44"/>
    </row>
    <row r="911" spans="1:6" x14ac:dyDescent="0.2">
      <c r="A911" s="44"/>
      <c r="B911" s="44"/>
      <c r="C911" s="44"/>
      <c r="D911" s="44"/>
      <c r="E911" s="44"/>
      <c r="F911" s="44"/>
    </row>
    <row r="912" spans="1:6" x14ac:dyDescent="0.2">
      <c r="A912" s="44"/>
      <c r="B912" s="44"/>
      <c r="C912" s="44"/>
      <c r="D912" s="44"/>
      <c r="E912" s="44"/>
      <c r="F912" s="44"/>
    </row>
    <row r="913" spans="1:6" x14ac:dyDescent="0.2">
      <c r="A913" s="44"/>
      <c r="B913" s="44"/>
      <c r="C913" s="44"/>
      <c r="D913" s="44"/>
      <c r="E913" s="44"/>
      <c r="F913" s="44"/>
    </row>
    <row r="914" spans="1:6" x14ac:dyDescent="0.2">
      <c r="A914" s="44"/>
      <c r="B914" s="44"/>
      <c r="C914" s="44"/>
      <c r="D914" s="44"/>
      <c r="E914" s="44"/>
      <c r="F914" s="44"/>
    </row>
    <row r="915" spans="1:6" x14ac:dyDescent="0.2">
      <c r="A915" s="44"/>
      <c r="B915" s="44"/>
      <c r="C915" s="44"/>
      <c r="D915" s="44"/>
      <c r="E915" s="44"/>
      <c r="F915" s="44"/>
    </row>
    <row r="916" spans="1:6" x14ac:dyDescent="0.2">
      <c r="A916" s="44"/>
      <c r="B916" s="44"/>
      <c r="C916" s="44"/>
      <c r="D916" s="44"/>
      <c r="E916" s="44"/>
      <c r="F916" s="44"/>
    </row>
    <row r="917" spans="1:6" x14ac:dyDescent="0.2">
      <c r="A917" s="44"/>
      <c r="B917" s="44"/>
      <c r="C917" s="44"/>
      <c r="D917" s="44"/>
      <c r="E917" s="44"/>
      <c r="F917" s="44"/>
    </row>
    <row r="918" spans="1:6" x14ac:dyDescent="0.2">
      <c r="A918" s="44"/>
      <c r="B918" s="44"/>
      <c r="C918" s="44"/>
      <c r="D918" s="44"/>
      <c r="E918" s="44"/>
      <c r="F918" s="44"/>
    </row>
    <row r="919" spans="1:6" x14ac:dyDescent="0.2">
      <c r="A919" s="44"/>
      <c r="B919" s="44"/>
      <c r="C919" s="44"/>
      <c r="D919" s="44"/>
      <c r="E919" s="44"/>
      <c r="F919" s="44"/>
    </row>
    <row r="920" spans="1:6" x14ac:dyDescent="0.2">
      <c r="A920" s="44"/>
      <c r="B920" s="44"/>
      <c r="C920" s="44"/>
      <c r="D920" s="44"/>
      <c r="E920" s="44"/>
      <c r="F920" s="44"/>
    </row>
    <row r="921" spans="1:6" x14ac:dyDescent="0.2">
      <c r="A921" s="44"/>
      <c r="B921" s="44"/>
      <c r="C921" s="44"/>
      <c r="D921" s="44"/>
      <c r="E921" s="44"/>
      <c r="F921" s="44"/>
    </row>
    <row r="922" spans="1:6" x14ac:dyDescent="0.2">
      <c r="A922" s="44"/>
      <c r="B922" s="44"/>
      <c r="C922" s="44"/>
      <c r="D922" s="44"/>
      <c r="E922" s="44"/>
      <c r="F922" s="44"/>
    </row>
    <row r="923" spans="1:6" x14ac:dyDescent="0.2">
      <c r="A923" s="44"/>
      <c r="B923" s="44"/>
      <c r="C923" s="44"/>
      <c r="D923" s="44"/>
      <c r="E923" s="44"/>
      <c r="F923" s="44"/>
    </row>
    <row r="924" spans="1:6" x14ac:dyDescent="0.2">
      <c r="A924" s="44"/>
      <c r="B924" s="44"/>
      <c r="C924" s="44"/>
      <c r="D924" s="44"/>
      <c r="E924" s="44"/>
      <c r="F924" s="44"/>
    </row>
    <row r="925" spans="1:6" x14ac:dyDescent="0.2">
      <c r="A925" s="44"/>
      <c r="B925" s="44"/>
      <c r="C925" s="44"/>
      <c r="D925" s="44"/>
      <c r="E925" s="44"/>
      <c r="F925" s="44"/>
    </row>
    <row r="926" spans="1:6" x14ac:dyDescent="0.2">
      <c r="A926" s="44"/>
      <c r="B926" s="44"/>
      <c r="C926" s="44"/>
      <c r="D926" s="44"/>
      <c r="E926" s="44"/>
      <c r="F926" s="44"/>
    </row>
    <row r="927" spans="1:6" x14ac:dyDescent="0.2">
      <c r="A927" s="44"/>
      <c r="B927" s="44"/>
      <c r="C927" s="44"/>
      <c r="D927" s="44"/>
      <c r="E927" s="44"/>
      <c r="F927" s="44"/>
    </row>
    <row r="928" spans="1:6" x14ac:dyDescent="0.2">
      <c r="A928" s="44"/>
      <c r="B928" s="44"/>
      <c r="C928" s="44"/>
      <c r="D928" s="44"/>
      <c r="E928" s="44"/>
      <c r="F928" s="44"/>
    </row>
    <row r="929" spans="1:6" x14ac:dyDescent="0.2">
      <c r="A929" s="44"/>
      <c r="B929" s="44"/>
      <c r="C929" s="44"/>
      <c r="D929" s="44"/>
      <c r="E929" s="44"/>
      <c r="F929" s="44"/>
    </row>
    <row r="930" spans="1:6" x14ac:dyDescent="0.2">
      <c r="A930" s="44"/>
      <c r="B930" s="44"/>
      <c r="C930" s="44"/>
      <c r="D930" s="44"/>
      <c r="E930" s="44"/>
      <c r="F930" s="44"/>
    </row>
    <row r="931" spans="1:6" x14ac:dyDescent="0.2">
      <c r="A931" s="44"/>
      <c r="B931" s="44"/>
      <c r="C931" s="44"/>
      <c r="D931" s="44"/>
      <c r="E931" s="44"/>
      <c r="F931" s="44"/>
    </row>
    <row r="932" spans="1:6" x14ac:dyDescent="0.2">
      <c r="A932" s="44"/>
      <c r="B932" s="44"/>
      <c r="C932" s="44"/>
      <c r="D932" s="44"/>
      <c r="E932" s="44"/>
      <c r="F932" s="44"/>
    </row>
    <row r="933" spans="1:6" x14ac:dyDescent="0.2">
      <c r="A933" s="44"/>
      <c r="B933" s="44"/>
      <c r="C933" s="44"/>
      <c r="D933" s="44"/>
      <c r="E933" s="44"/>
      <c r="F933" s="44"/>
    </row>
    <row r="934" spans="1:6" x14ac:dyDescent="0.2">
      <c r="A934" s="44"/>
      <c r="B934" s="44"/>
      <c r="C934" s="44"/>
      <c r="D934" s="44"/>
      <c r="E934" s="44"/>
      <c r="F934" s="44"/>
    </row>
    <row r="935" spans="1:6" x14ac:dyDescent="0.2">
      <c r="A935" s="44"/>
      <c r="B935" s="44"/>
      <c r="C935" s="44"/>
      <c r="D935" s="44"/>
      <c r="E935" s="44"/>
      <c r="F935" s="44"/>
    </row>
    <row r="936" spans="1:6" x14ac:dyDescent="0.2">
      <c r="A936" s="44"/>
      <c r="B936" s="44"/>
      <c r="C936" s="44"/>
      <c r="D936" s="44"/>
      <c r="E936" s="44"/>
      <c r="F936" s="44"/>
    </row>
    <row r="937" spans="1:6" x14ac:dyDescent="0.2">
      <c r="A937" s="44"/>
      <c r="B937" s="44"/>
      <c r="C937" s="44"/>
      <c r="D937" s="44"/>
      <c r="E937" s="44"/>
      <c r="F937" s="44"/>
    </row>
    <row r="938" spans="1:6" x14ac:dyDescent="0.2">
      <c r="A938" s="44"/>
      <c r="B938" s="44"/>
      <c r="C938" s="44"/>
      <c r="D938" s="44"/>
      <c r="E938" s="44"/>
      <c r="F938" s="44"/>
    </row>
    <row r="939" spans="1:6" x14ac:dyDescent="0.2">
      <c r="A939" s="44"/>
      <c r="B939" s="44"/>
      <c r="C939" s="44"/>
      <c r="D939" s="44"/>
      <c r="E939" s="44"/>
      <c r="F939" s="44"/>
    </row>
    <row r="940" spans="1:6" x14ac:dyDescent="0.2">
      <c r="A940" s="44"/>
      <c r="B940" s="44"/>
      <c r="C940" s="44"/>
      <c r="D940" s="44"/>
      <c r="E940" s="44"/>
      <c r="F940" s="44"/>
    </row>
    <row r="941" spans="1:6" x14ac:dyDescent="0.2">
      <c r="A941" s="44"/>
      <c r="B941" s="44"/>
      <c r="C941" s="44"/>
      <c r="D941" s="44"/>
      <c r="E941" s="44"/>
      <c r="F941" s="44"/>
    </row>
    <row r="942" spans="1:6" x14ac:dyDescent="0.2">
      <c r="A942" s="44"/>
      <c r="B942" s="44"/>
      <c r="C942" s="44"/>
      <c r="D942" s="44"/>
      <c r="E942" s="44"/>
      <c r="F942" s="44"/>
    </row>
    <row r="943" spans="1:6" x14ac:dyDescent="0.2">
      <c r="A943" s="44"/>
      <c r="B943" s="44"/>
      <c r="C943" s="44"/>
      <c r="D943" s="44"/>
      <c r="E943" s="44"/>
      <c r="F943" s="44"/>
    </row>
    <row r="944" spans="1:6" x14ac:dyDescent="0.2">
      <c r="A944" s="44"/>
      <c r="B944" s="44"/>
      <c r="C944" s="44"/>
      <c r="D944" s="44"/>
      <c r="E944" s="44"/>
      <c r="F944" s="44"/>
    </row>
    <row r="945" spans="1:6" x14ac:dyDescent="0.2">
      <c r="A945" s="44"/>
      <c r="B945" s="44"/>
      <c r="C945" s="44"/>
      <c r="D945" s="44"/>
      <c r="E945" s="44"/>
      <c r="F945" s="44"/>
    </row>
    <row r="946" spans="1:6" x14ac:dyDescent="0.2">
      <c r="A946" s="44"/>
      <c r="B946" s="44"/>
      <c r="C946" s="44"/>
      <c r="D946" s="44"/>
      <c r="E946" s="44"/>
      <c r="F946" s="44"/>
    </row>
    <row r="947" spans="1:6" x14ac:dyDescent="0.2">
      <c r="A947" s="44"/>
      <c r="B947" s="44"/>
      <c r="C947" s="44"/>
      <c r="D947" s="44"/>
      <c r="E947" s="44"/>
      <c r="F947" s="44"/>
    </row>
    <row r="948" spans="1:6" x14ac:dyDescent="0.2">
      <c r="A948" s="44"/>
      <c r="B948" s="44"/>
      <c r="C948" s="44"/>
      <c r="D948" s="44"/>
      <c r="E948" s="44"/>
      <c r="F948" s="44"/>
    </row>
    <row r="949" spans="1:6" x14ac:dyDescent="0.2">
      <c r="A949" s="44"/>
      <c r="B949" s="44"/>
      <c r="C949" s="44"/>
      <c r="D949" s="44"/>
      <c r="E949" s="44"/>
      <c r="F949" s="44"/>
    </row>
    <row r="950" spans="1:6" x14ac:dyDescent="0.2">
      <c r="A950" s="44"/>
      <c r="B950" s="44"/>
      <c r="C950" s="44"/>
      <c r="D950" s="44"/>
      <c r="E950" s="44"/>
      <c r="F950" s="44"/>
    </row>
    <row r="951" spans="1:6" x14ac:dyDescent="0.2">
      <c r="A951" s="44"/>
      <c r="B951" s="44"/>
      <c r="C951" s="44"/>
      <c r="D951" s="44"/>
      <c r="E951" s="44"/>
      <c r="F951" s="44"/>
    </row>
    <row r="952" spans="1:6" x14ac:dyDescent="0.2">
      <c r="A952" s="44"/>
      <c r="B952" s="44"/>
      <c r="C952" s="44"/>
      <c r="D952" s="44"/>
      <c r="E952" s="44"/>
      <c r="F952" s="44"/>
    </row>
    <row r="953" spans="1:6" x14ac:dyDescent="0.2">
      <c r="A953" s="44"/>
      <c r="B953" s="44"/>
      <c r="C953" s="44"/>
      <c r="D953" s="44"/>
      <c r="E953" s="44"/>
      <c r="F953" s="44"/>
    </row>
    <row r="954" spans="1:6" x14ac:dyDescent="0.2">
      <c r="A954" s="44"/>
      <c r="B954" s="44"/>
      <c r="C954" s="44"/>
      <c r="D954" s="44"/>
      <c r="E954" s="44"/>
      <c r="F954" s="44"/>
    </row>
    <row r="955" spans="1:6" x14ac:dyDescent="0.2">
      <c r="A955" s="44"/>
      <c r="B955" s="44"/>
      <c r="C955" s="44"/>
      <c r="D955" s="44"/>
      <c r="E955" s="44"/>
      <c r="F955" s="44"/>
    </row>
    <row r="956" spans="1:6" x14ac:dyDescent="0.2">
      <c r="A956" s="44"/>
      <c r="B956" s="44"/>
      <c r="C956" s="44"/>
      <c r="D956" s="44"/>
      <c r="E956" s="44"/>
      <c r="F956" s="44"/>
    </row>
    <row r="957" spans="1:6" x14ac:dyDescent="0.2">
      <c r="A957" s="44"/>
      <c r="B957" s="44"/>
      <c r="C957" s="44"/>
      <c r="D957" s="44"/>
      <c r="E957" s="44"/>
      <c r="F957" s="44"/>
    </row>
    <row r="958" spans="1:6" x14ac:dyDescent="0.2">
      <c r="A958" s="44"/>
      <c r="B958" s="44"/>
      <c r="C958" s="44"/>
      <c r="D958" s="44"/>
      <c r="E958" s="44"/>
      <c r="F958" s="44"/>
    </row>
    <row r="959" spans="1:6" x14ac:dyDescent="0.2">
      <c r="A959" s="44"/>
      <c r="B959" s="44"/>
      <c r="C959" s="44"/>
      <c r="D959" s="44"/>
      <c r="E959" s="44"/>
      <c r="F959" s="44"/>
    </row>
    <row r="960" spans="1:6" x14ac:dyDescent="0.2">
      <c r="A960" s="44"/>
      <c r="B960" s="44"/>
      <c r="C960" s="44"/>
      <c r="D960" s="44"/>
      <c r="E960" s="44"/>
      <c r="F960" s="44"/>
    </row>
    <row r="961" spans="1:6" x14ac:dyDescent="0.2">
      <c r="A961" s="44"/>
      <c r="B961" s="44"/>
      <c r="C961" s="44"/>
      <c r="D961" s="44"/>
      <c r="E961" s="44"/>
      <c r="F961" s="44"/>
    </row>
    <row r="962" spans="1:6" x14ac:dyDescent="0.2">
      <c r="A962" s="44"/>
      <c r="B962" s="44"/>
      <c r="C962" s="44"/>
      <c r="D962" s="44"/>
      <c r="E962" s="44"/>
      <c r="F962" s="44"/>
    </row>
    <row r="963" spans="1:6" x14ac:dyDescent="0.2">
      <c r="A963" s="44"/>
      <c r="B963" s="44"/>
      <c r="C963" s="44"/>
      <c r="D963" s="44"/>
      <c r="E963" s="44"/>
      <c r="F963" s="44"/>
    </row>
    <row r="964" spans="1:6" x14ac:dyDescent="0.2">
      <c r="A964" s="44"/>
      <c r="B964" s="44"/>
      <c r="C964" s="44"/>
      <c r="D964" s="44"/>
      <c r="E964" s="44"/>
      <c r="F964" s="44"/>
    </row>
    <row r="965" spans="1:6" x14ac:dyDescent="0.2">
      <c r="A965" s="44"/>
      <c r="B965" s="44"/>
      <c r="C965" s="44"/>
      <c r="D965" s="44"/>
      <c r="E965" s="44"/>
      <c r="F965" s="44"/>
    </row>
    <row r="966" spans="1:6" x14ac:dyDescent="0.2">
      <c r="A966" s="44"/>
      <c r="B966" s="44"/>
      <c r="C966" s="44"/>
      <c r="D966" s="44"/>
      <c r="E966" s="44"/>
      <c r="F966" s="44"/>
    </row>
    <row r="967" spans="1:6" x14ac:dyDescent="0.2">
      <c r="A967" s="44"/>
      <c r="B967" s="44"/>
      <c r="C967" s="44"/>
      <c r="D967" s="44"/>
      <c r="E967" s="44"/>
      <c r="F967" s="44"/>
    </row>
    <row r="968" spans="1:6" x14ac:dyDescent="0.2">
      <c r="A968" s="44"/>
      <c r="B968" s="44"/>
      <c r="C968" s="44"/>
      <c r="D968" s="44"/>
      <c r="E968" s="44"/>
      <c r="F968" s="44"/>
    </row>
    <row r="969" spans="1:6" x14ac:dyDescent="0.2">
      <c r="A969" s="44"/>
      <c r="B969" s="44"/>
      <c r="C969" s="44"/>
      <c r="D969" s="44"/>
      <c r="E969" s="44"/>
      <c r="F969" s="44"/>
    </row>
    <row r="970" spans="1:6" x14ac:dyDescent="0.2">
      <c r="A970" s="44"/>
      <c r="B970" s="44"/>
      <c r="C970" s="44"/>
      <c r="D970" s="44"/>
      <c r="E970" s="44"/>
      <c r="F970" s="44"/>
    </row>
    <row r="971" spans="1:6" x14ac:dyDescent="0.2">
      <c r="A971" s="44"/>
      <c r="B971" s="44"/>
      <c r="C971" s="44"/>
      <c r="D971" s="44"/>
      <c r="E971" s="44"/>
      <c r="F971" s="44"/>
    </row>
    <row r="972" spans="1:6" x14ac:dyDescent="0.2">
      <c r="A972" s="44"/>
      <c r="B972" s="44"/>
      <c r="C972" s="44"/>
      <c r="D972" s="44"/>
      <c r="E972" s="44"/>
      <c r="F972" s="44"/>
    </row>
    <row r="973" spans="1:6" x14ac:dyDescent="0.2">
      <c r="A973" s="44"/>
      <c r="B973" s="44"/>
      <c r="C973" s="44"/>
      <c r="D973" s="44"/>
      <c r="E973" s="44"/>
      <c r="F973" s="44"/>
    </row>
    <row r="974" spans="1:6" x14ac:dyDescent="0.2">
      <c r="A974" s="44"/>
      <c r="B974" s="44"/>
      <c r="C974" s="44"/>
      <c r="D974" s="44"/>
      <c r="E974" s="44"/>
      <c r="F974" s="44"/>
    </row>
    <row r="975" spans="1:6" x14ac:dyDescent="0.2">
      <c r="A975" s="44"/>
      <c r="B975" s="44"/>
      <c r="C975" s="44"/>
      <c r="D975" s="44"/>
      <c r="E975" s="44"/>
      <c r="F975" s="44"/>
    </row>
    <row r="976" spans="1:6" x14ac:dyDescent="0.2">
      <c r="A976" s="44"/>
      <c r="B976" s="44"/>
      <c r="C976" s="44"/>
      <c r="D976" s="44"/>
      <c r="E976" s="44"/>
      <c r="F976" s="44"/>
    </row>
    <row r="977" spans="1:6" x14ac:dyDescent="0.2">
      <c r="A977" s="44"/>
      <c r="B977" s="44"/>
      <c r="C977" s="44"/>
      <c r="D977" s="44"/>
      <c r="E977" s="44"/>
      <c r="F977" s="44"/>
    </row>
    <row r="978" spans="1:6" x14ac:dyDescent="0.2">
      <c r="A978" s="44"/>
      <c r="B978" s="44"/>
      <c r="C978" s="44"/>
      <c r="D978" s="44"/>
      <c r="E978" s="44"/>
      <c r="F978" s="44"/>
    </row>
    <row r="979" spans="1:6" x14ac:dyDescent="0.2">
      <c r="A979" s="44"/>
      <c r="B979" s="44"/>
      <c r="C979" s="44"/>
      <c r="D979" s="44"/>
      <c r="E979" s="44"/>
      <c r="F979" s="44"/>
    </row>
    <row r="980" spans="1:6" x14ac:dyDescent="0.2">
      <c r="A980" s="44"/>
      <c r="B980" s="44"/>
      <c r="C980" s="44"/>
      <c r="D980" s="44"/>
      <c r="E980" s="44"/>
      <c r="F980" s="44"/>
    </row>
    <row r="981" spans="1:6" x14ac:dyDescent="0.2">
      <c r="A981" s="44"/>
      <c r="B981" s="44"/>
      <c r="C981" s="44"/>
      <c r="D981" s="44"/>
      <c r="E981" s="44"/>
      <c r="F981" s="44"/>
    </row>
    <row r="982" spans="1:6" x14ac:dyDescent="0.2">
      <c r="A982" s="44"/>
      <c r="B982" s="44"/>
      <c r="C982" s="44"/>
      <c r="D982" s="44"/>
      <c r="E982" s="44"/>
      <c r="F982" s="44"/>
    </row>
    <row r="983" spans="1:6" x14ac:dyDescent="0.2">
      <c r="A983" s="44"/>
      <c r="B983" s="44"/>
      <c r="C983" s="44"/>
      <c r="D983" s="44"/>
      <c r="E983" s="44"/>
      <c r="F983" s="44"/>
    </row>
    <row r="984" spans="1:6" x14ac:dyDescent="0.2">
      <c r="A984" s="44"/>
      <c r="B984" s="44"/>
      <c r="C984" s="44"/>
      <c r="D984" s="44"/>
      <c r="E984" s="44"/>
      <c r="F984" s="44"/>
    </row>
    <row r="985" spans="1:6" x14ac:dyDescent="0.2">
      <c r="A985" s="44"/>
      <c r="B985" s="44"/>
      <c r="C985" s="44"/>
      <c r="D985" s="44"/>
      <c r="E985" s="44"/>
      <c r="F985" s="44"/>
    </row>
    <row r="986" spans="1:6" x14ac:dyDescent="0.2">
      <c r="A986" s="44"/>
      <c r="B986" s="44"/>
      <c r="C986" s="44"/>
      <c r="D986" s="44"/>
      <c r="E986" s="44"/>
      <c r="F986" s="44"/>
    </row>
    <row r="987" spans="1:6" x14ac:dyDescent="0.2">
      <c r="A987" s="44"/>
      <c r="B987" s="44"/>
      <c r="C987" s="44"/>
      <c r="D987" s="44"/>
      <c r="E987" s="44"/>
      <c r="F987" s="44"/>
    </row>
    <row r="988" spans="1:6" x14ac:dyDescent="0.2">
      <c r="A988" s="44"/>
      <c r="B988" s="44"/>
      <c r="C988" s="44"/>
      <c r="D988" s="44"/>
      <c r="E988" s="44"/>
      <c r="F988" s="44"/>
    </row>
    <row r="989" spans="1:6" x14ac:dyDescent="0.2">
      <c r="A989" s="44"/>
      <c r="B989" s="44"/>
      <c r="C989" s="44"/>
      <c r="D989" s="44"/>
      <c r="E989" s="44"/>
      <c r="F989" s="44"/>
    </row>
    <row r="990" spans="1:6" x14ac:dyDescent="0.2">
      <c r="A990" s="44"/>
      <c r="B990" s="44"/>
      <c r="C990" s="44"/>
      <c r="D990" s="44"/>
      <c r="E990" s="44"/>
      <c r="F990" s="44"/>
    </row>
    <row r="991" spans="1:6" x14ac:dyDescent="0.2">
      <c r="A991" s="44"/>
      <c r="B991" s="44"/>
      <c r="C991" s="44"/>
      <c r="D991" s="44"/>
      <c r="E991" s="44"/>
      <c r="F991" s="44"/>
    </row>
    <row r="992" spans="1:6" x14ac:dyDescent="0.2">
      <c r="A992" s="44"/>
      <c r="B992" s="44"/>
      <c r="C992" s="44"/>
      <c r="D992" s="44"/>
      <c r="E992" s="44"/>
      <c r="F992" s="44"/>
    </row>
    <row r="993" spans="1:6" x14ac:dyDescent="0.2">
      <c r="A993" s="44"/>
      <c r="B993" s="44"/>
      <c r="C993" s="44"/>
      <c r="D993" s="44"/>
      <c r="E993" s="44"/>
      <c r="F993" s="44"/>
    </row>
    <row r="994" spans="1:6" x14ac:dyDescent="0.2">
      <c r="A994" s="44"/>
      <c r="B994" s="44"/>
      <c r="C994" s="44"/>
      <c r="D994" s="44"/>
      <c r="E994" s="44"/>
      <c r="F994" s="44"/>
    </row>
    <row r="995" spans="1:6" x14ac:dyDescent="0.2">
      <c r="A995" s="44"/>
      <c r="B995" s="44"/>
      <c r="C995" s="44"/>
      <c r="D995" s="44"/>
      <c r="E995" s="44"/>
      <c r="F995" s="44"/>
    </row>
    <row r="996" spans="1:6" x14ac:dyDescent="0.2">
      <c r="A996" s="44"/>
      <c r="B996" s="44"/>
      <c r="C996" s="44"/>
      <c r="D996" s="44"/>
      <c r="E996" s="44"/>
      <c r="F996" s="44"/>
    </row>
    <row r="997" spans="1:6" x14ac:dyDescent="0.2">
      <c r="A997" s="44"/>
      <c r="B997" s="44"/>
      <c r="C997" s="44"/>
      <c r="D997" s="44"/>
      <c r="E997" s="44"/>
      <c r="F997" s="44"/>
    </row>
    <row r="998" spans="1:6" x14ac:dyDescent="0.2">
      <c r="A998" s="44"/>
      <c r="B998" s="44"/>
      <c r="C998" s="44"/>
      <c r="D998" s="44"/>
      <c r="E998" s="44"/>
      <c r="F998" s="44"/>
    </row>
    <row r="999" spans="1:6" x14ac:dyDescent="0.2">
      <c r="A999" s="44"/>
      <c r="B999" s="44"/>
      <c r="C999" s="44"/>
      <c r="D999" s="44"/>
      <c r="E999" s="44"/>
      <c r="F999" s="44"/>
    </row>
    <row r="1000" spans="1:6" x14ac:dyDescent="0.2">
      <c r="A1000" s="44"/>
      <c r="B1000" s="44"/>
      <c r="C1000" s="44"/>
      <c r="D1000" s="44"/>
      <c r="E1000" s="44"/>
      <c r="F1000" s="44"/>
    </row>
    <row r="1001" spans="1:6" x14ac:dyDescent="0.2">
      <c r="A1001" s="44"/>
      <c r="B1001" s="44"/>
      <c r="C1001" s="44"/>
      <c r="D1001" s="44"/>
      <c r="E1001" s="44"/>
      <c r="F1001" s="44"/>
    </row>
    <row r="1002" spans="1:6" x14ac:dyDescent="0.2">
      <c r="A1002" s="44"/>
      <c r="B1002" s="44"/>
      <c r="C1002" s="44"/>
      <c r="D1002" s="44"/>
      <c r="E1002" s="44"/>
      <c r="F1002" s="44"/>
    </row>
    <row r="1003" spans="1:6" x14ac:dyDescent="0.2">
      <c r="A1003" s="44"/>
      <c r="B1003" s="44"/>
      <c r="C1003" s="44"/>
      <c r="D1003" s="44"/>
      <c r="E1003" s="44"/>
      <c r="F1003" s="44"/>
    </row>
    <row r="1004" spans="1:6" x14ac:dyDescent="0.2">
      <c r="A1004" s="44"/>
      <c r="B1004" s="44"/>
      <c r="C1004" s="44"/>
      <c r="D1004" s="44"/>
      <c r="E1004" s="44"/>
      <c r="F1004" s="44"/>
    </row>
    <row r="1005" spans="1:6" x14ac:dyDescent="0.2">
      <c r="A1005" s="44"/>
      <c r="B1005" s="44"/>
      <c r="C1005" s="44"/>
      <c r="D1005" s="44"/>
      <c r="E1005" s="44"/>
      <c r="F1005" s="44"/>
    </row>
    <row r="1006" spans="1:6" x14ac:dyDescent="0.2">
      <c r="A1006" s="44"/>
      <c r="B1006" s="44"/>
      <c r="C1006" s="44"/>
      <c r="D1006" s="44"/>
      <c r="E1006" s="44"/>
      <c r="F1006" s="44"/>
    </row>
    <row r="1007" spans="1:6" x14ac:dyDescent="0.2">
      <c r="A1007" s="44"/>
      <c r="B1007" s="44"/>
      <c r="C1007" s="44"/>
      <c r="D1007" s="44"/>
      <c r="E1007" s="44"/>
      <c r="F1007" s="44"/>
    </row>
    <row r="1008" spans="1:6" x14ac:dyDescent="0.2">
      <c r="A1008" s="44"/>
      <c r="B1008" s="44"/>
      <c r="C1008" s="44"/>
      <c r="D1008" s="44"/>
      <c r="E1008" s="44"/>
      <c r="F1008" s="44"/>
    </row>
    <row r="1009" spans="1:6" x14ac:dyDescent="0.2">
      <c r="A1009" s="44"/>
      <c r="B1009" s="44"/>
      <c r="C1009" s="44"/>
      <c r="D1009" s="44"/>
      <c r="E1009" s="44"/>
      <c r="F1009" s="44"/>
    </row>
    <row r="1010" spans="1:6" x14ac:dyDescent="0.2">
      <c r="A1010" s="44"/>
      <c r="B1010" s="44"/>
      <c r="C1010" s="44"/>
      <c r="D1010" s="44"/>
      <c r="E1010" s="44"/>
      <c r="F1010" s="44"/>
    </row>
    <row r="1011" spans="1:6" x14ac:dyDescent="0.2">
      <c r="A1011" s="44"/>
      <c r="B1011" s="44"/>
      <c r="C1011" s="44"/>
      <c r="D1011" s="44"/>
      <c r="E1011" s="44"/>
      <c r="F1011" s="44"/>
    </row>
    <row r="1012" spans="1:6" x14ac:dyDescent="0.2">
      <c r="A1012" s="44"/>
      <c r="B1012" s="44"/>
      <c r="C1012" s="44"/>
      <c r="D1012" s="44"/>
      <c r="E1012" s="44"/>
      <c r="F1012" s="44"/>
    </row>
    <row r="1013" spans="1:6" x14ac:dyDescent="0.2">
      <c r="A1013" s="44"/>
      <c r="B1013" s="44"/>
      <c r="C1013" s="44"/>
      <c r="D1013" s="44"/>
      <c r="E1013" s="44"/>
      <c r="F1013" s="44"/>
    </row>
    <row r="1014" spans="1:6" x14ac:dyDescent="0.2">
      <c r="A1014" s="44"/>
      <c r="B1014" s="44"/>
      <c r="C1014" s="44"/>
      <c r="D1014" s="44"/>
      <c r="E1014" s="44"/>
      <c r="F1014" s="44"/>
    </row>
    <row r="1015" spans="1:6" x14ac:dyDescent="0.2">
      <c r="A1015" s="44"/>
      <c r="B1015" s="44"/>
      <c r="C1015" s="44"/>
      <c r="D1015" s="44"/>
      <c r="E1015" s="44"/>
      <c r="F1015" s="44"/>
    </row>
    <row r="1016" spans="1:6" x14ac:dyDescent="0.2">
      <c r="A1016" s="44"/>
      <c r="B1016" s="44"/>
      <c r="C1016" s="44"/>
      <c r="D1016" s="44"/>
      <c r="E1016" s="44"/>
      <c r="F1016" s="44"/>
    </row>
    <row r="1017" spans="1:6" x14ac:dyDescent="0.2">
      <c r="A1017" s="44"/>
      <c r="B1017" s="44"/>
      <c r="C1017" s="44"/>
      <c r="D1017" s="44"/>
      <c r="E1017" s="44"/>
      <c r="F1017" s="44"/>
    </row>
    <row r="1018" spans="1:6" x14ac:dyDescent="0.2">
      <c r="A1018" s="44"/>
      <c r="B1018" s="44"/>
      <c r="C1018" s="44"/>
      <c r="D1018" s="44"/>
      <c r="E1018" s="44"/>
      <c r="F1018" s="44"/>
    </row>
    <row r="1019" spans="1:6" x14ac:dyDescent="0.2">
      <c r="A1019" s="44"/>
      <c r="B1019" s="44"/>
      <c r="C1019" s="44"/>
      <c r="D1019" s="44"/>
      <c r="E1019" s="44"/>
      <c r="F1019" s="44"/>
    </row>
    <row r="1020" spans="1:6" x14ac:dyDescent="0.2">
      <c r="A1020" s="44"/>
      <c r="B1020" s="44"/>
      <c r="C1020" s="44"/>
      <c r="D1020" s="44"/>
      <c r="E1020" s="44"/>
      <c r="F1020" s="44"/>
    </row>
    <row r="1021" spans="1:6" x14ac:dyDescent="0.2">
      <c r="A1021" s="44"/>
      <c r="B1021" s="44"/>
      <c r="C1021" s="44"/>
      <c r="D1021" s="44"/>
      <c r="E1021" s="44"/>
      <c r="F1021" s="44"/>
    </row>
    <row r="1022" spans="1:6" x14ac:dyDescent="0.2">
      <c r="A1022" s="44"/>
      <c r="B1022" s="44"/>
      <c r="C1022" s="44"/>
      <c r="D1022" s="44"/>
      <c r="E1022" s="44"/>
      <c r="F1022" s="44"/>
    </row>
    <row r="1023" spans="1:6" x14ac:dyDescent="0.2">
      <c r="A1023" s="44"/>
      <c r="B1023" s="44"/>
      <c r="C1023" s="44"/>
      <c r="D1023" s="44"/>
      <c r="E1023" s="44"/>
      <c r="F1023" s="44"/>
    </row>
    <row r="1024" spans="1:6" x14ac:dyDescent="0.2">
      <c r="A1024" s="44"/>
      <c r="B1024" s="44"/>
      <c r="C1024" s="44"/>
      <c r="D1024" s="44"/>
      <c r="E1024" s="44"/>
      <c r="F1024" s="44"/>
    </row>
    <row r="1025" spans="1:6" x14ac:dyDescent="0.2">
      <c r="A1025" s="44"/>
      <c r="B1025" s="44"/>
      <c r="C1025" s="44"/>
      <c r="D1025" s="44"/>
      <c r="E1025" s="44"/>
      <c r="F1025" s="44"/>
    </row>
    <row r="1026" spans="1:6" x14ac:dyDescent="0.2">
      <c r="A1026" s="44"/>
      <c r="B1026" s="44"/>
      <c r="C1026" s="44"/>
      <c r="D1026" s="44"/>
      <c r="E1026" s="44"/>
      <c r="F1026" s="44"/>
    </row>
    <row r="1027" spans="1:6" x14ac:dyDescent="0.2">
      <c r="A1027" s="44"/>
      <c r="B1027" s="44"/>
      <c r="C1027" s="44"/>
      <c r="D1027" s="44"/>
      <c r="E1027" s="44"/>
      <c r="F1027" s="44"/>
    </row>
    <row r="1028" spans="1:6" x14ac:dyDescent="0.2">
      <c r="A1028" s="44"/>
      <c r="B1028" s="44"/>
      <c r="C1028" s="44"/>
      <c r="D1028" s="44"/>
      <c r="E1028" s="44"/>
      <c r="F1028" s="44"/>
    </row>
    <row r="1029" spans="1:6" x14ac:dyDescent="0.2">
      <c r="A1029" s="44"/>
      <c r="B1029" s="44"/>
      <c r="C1029" s="44"/>
      <c r="D1029" s="44"/>
      <c r="E1029" s="44"/>
      <c r="F1029" s="44"/>
    </row>
    <row r="1030" spans="1:6" x14ac:dyDescent="0.2">
      <c r="A1030" s="44"/>
      <c r="B1030" s="44"/>
      <c r="C1030" s="44"/>
      <c r="D1030" s="44"/>
      <c r="E1030" s="44"/>
      <c r="F1030" s="44"/>
    </row>
    <row r="1031" spans="1:6" x14ac:dyDescent="0.2">
      <c r="A1031" s="44"/>
      <c r="B1031" s="44"/>
      <c r="C1031" s="44"/>
      <c r="D1031" s="44"/>
      <c r="E1031" s="44"/>
      <c r="F1031" s="44"/>
    </row>
    <row r="1032" spans="1:6" x14ac:dyDescent="0.2">
      <c r="A1032" s="44"/>
      <c r="B1032" s="44"/>
      <c r="C1032" s="44"/>
      <c r="D1032" s="44"/>
      <c r="E1032" s="44"/>
      <c r="F1032" s="44"/>
    </row>
    <row r="1033" spans="1:6" x14ac:dyDescent="0.2">
      <c r="A1033" s="44"/>
      <c r="B1033" s="44"/>
      <c r="C1033" s="44"/>
      <c r="D1033" s="44"/>
      <c r="E1033" s="44"/>
      <c r="F1033" s="44"/>
    </row>
    <row r="1034" spans="1:6" x14ac:dyDescent="0.2">
      <c r="A1034" s="44"/>
      <c r="B1034" s="44"/>
      <c r="C1034" s="44"/>
      <c r="D1034" s="44"/>
      <c r="E1034" s="44"/>
      <c r="F1034" s="44"/>
    </row>
    <row r="1035" spans="1:6" x14ac:dyDescent="0.2">
      <c r="A1035" s="44"/>
      <c r="B1035" s="44"/>
      <c r="C1035" s="44"/>
      <c r="D1035" s="44"/>
      <c r="E1035" s="44"/>
      <c r="F1035" s="44"/>
    </row>
    <row r="1036" spans="1:6" x14ac:dyDescent="0.2">
      <c r="A1036" s="44"/>
      <c r="B1036" s="44"/>
      <c r="C1036" s="44"/>
      <c r="D1036" s="44"/>
      <c r="E1036" s="44"/>
      <c r="F1036" s="44"/>
    </row>
    <row r="1037" spans="1:6" x14ac:dyDescent="0.2">
      <c r="A1037" s="44"/>
      <c r="B1037" s="44"/>
      <c r="C1037" s="44"/>
      <c r="D1037" s="44"/>
      <c r="E1037" s="44"/>
      <c r="F1037" s="44"/>
    </row>
    <row r="1038" spans="1:6" x14ac:dyDescent="0.2">
      <c r="A1038" s="44"/>
      <c r="B1038" s="44"/>
      <c r="C1038" s="44"/>
      <c r="D1038" s="44"/>
      <c r="E1038" s="44"/>
      <c r="F1038" s="44"/>
    </row>
    <row r="1039" spans="1:6" x14ac:dyDescent="0.2">
      <c r="A1039" s="44"/>
      <c r="B1039" s="44"/>
      <c r="C1039" s="44"/>
      <c r="D1039" s="44"/>
      <c r="E1039" s="44"/>
      <c r="F1039" s="44"/>
    </row>
    <row r="1040" spans="1:6" x14ac:dyDescent="0.2">
      <c r="A1040" s="44"/>
      <c r="B1040" s="44"/>
      <c r="C1040" s="44"/>
      <c r="D1040" s="44"/>
      <c r="E1040" s="44"/>
      <c r="F1040" s="44"/>
    </row>
    <row r="1041" spans="1:6" x14ac:dyDescent="0.2">
      <c r="A1041" s="44"/>
      <c r="B1041" s="44"/>
      <c r="C1041" s="44"/>
      <c r="D1041" s="44"/>
      <c r="E1041" s="44"/>
      <c r="F1041" s="44"/>
    </row>
    <row r="1042" spans="1:6" x14ac:dyDescent="0.2">
      <c r="A1042" s="44"/>
      <c r="B1042" s="44"/>
      <c r="C1042" s="44"/>
      <c r="D1042" s="44"/>
      <c r="E1042" s="44"/>
      <c r="F1042" s="44"/>
    </row>
    <row r="1043" spans="1:6" x14ac:dyDescent="0.2">
      <c r="A1043" s="44"/>
      <c r="B1043" s="44"/>
      <c r="C1043" s="44"/>
      <c r="D1043" s="44"/>
      <c r="E1043" s="44"/>
      <c r="F1043" s="44"/>
    </row>
    <row r="1044" spans="1:6" x14ac:dyDescent="0.2">
      <c r="A1044" s="44"/>
      <c r="B1044" s="44"/>
      <c r="C1044" s="44"/>
      <c r="D1044" s="44"/>
      <c r="E1044" s="44"/>
      <c r="F1044" s="44"/>
    </row>
    <row r="1045" spans="1:6" x14ac:dyDescent="0.2">
      <c r="A1045" s="44"/>
      <c r="B1045" s="44"/>
      <c r="C1045" s="44"/>
      <c r="D1045" s="44"/>
      <c r="E1045" s="44"/>
      <c r="F1045" s="44"/>
    </row>
    <row r="1046" spans="1:6" x14ac:dyDescent="0.2">
      <c r="A1046" s="44"/>
      <c r="B1046" s="44"/>
      <c r="C1046" s="44"/>
      <c r="D1046" s="44"/>
      <c r="E1046" s="44"/>
      <c r="F1046" s="44"/>
    </row>
    <row r="1047" spans="1:6" x14ac:dyDescent="0.2">
      <c r="A1047" s="44"/>
      <c r="B1047" s="44"/>
      <c r="C1047" s="44"/>
      <c r="D1047" s="44"/>
      <c r="E1047" s="44"/>
      <c r="F1047" s="44"/>
    </row>
    <row r="1048" spans="1:6" x14ac:dyDescent="0.2">
      <c r="A1048" s="44"/>
      <c r="B1048" s="44"/>
      <c r="C1048" s="44"/>
      <c r="D1048" s="44"/>
      <c r="E1048" s="44"/>
      <c r="F1048" s="44"/>
    </row>
    <row r="1049" spans="1:6" x14ac:dyDescent="0.2">
      <c r="A1049" s="44"/>
      <c r="B1049" s="44"/>
      <c r="C1049" s="44"/>
      <c r="D1049" s="44"/>
      <c r="E1049" s="44"/>
      <c r="F1049" s="44"/>
    </row>
    <row r="1050" spans="1:6" x14ac:dyDescent="0.2">
      <c r="A1050" s="44"/>
      <c r="B1050" s="44"/>
      <c r="C1050" s="44"/>
      <c r="D1050" s="44"/>
      <c r="E1050" s="44"/>
      <c r="F1050" s="44"/>
    </row>
    <row r="1051" spans="1:6" x14ac:dyDescent="0.2">
      <c r="A1051" s="44"/>
      <c r="B1051" s="44"/>
      <c r="C1051" s="44"/>
      <c r="D1051" s="44"/>
      <c r="E1051" s="44"/>
      <c r="F1051" s="44"/>
    </row>
    <row r="1052" spans="1:6" x14ac:dyDescent="0.2">
      <c r="A1052" s="44"/>
      <c r="B1052" s="44"/>
      <c r="C1052" s="44"/>
      <c r="D1052" s="44"/>
      <c r="E1052" s="44"/>
      <c r="F1052" s="44"/>
    </row>
    <row r="1053" spans="1:6" x14ac:dyDescent="0.2">
      <c r="A1053" s="44"/>
      <c r="B1053" s="44"/>
      <c r="C1053" s="44"/>
      <c r="D1053" s="44"/>
      <c r="E1053" s="44"/>
      <c r="F1053" s="44"/>
    </row>
    <row r="1054" spans="1:6" x14ac:dyDescent="0.2">
      <c r="A1054" s="44"/>
      <c r="B1054" s="44"/>
      <c r="C1054" s="44"/>
      <c r="D1054" s="44"/>
      <c r="E1054" s="44"/>
      <c r="F1054" s="44"/>
    </row>
    <row r="1055" spans="1:6" x14ac:dyDescent="0.2">
      <c r="A1055" s="44"/>
      <c r="B1055" s="44"/>
      <c r="C1055" s="44"/>
      <c r="D1055" s="44"/>
      <c r="E1055" s="44"/>
      <c r="F1055" s="44"/>
    </row>
    <row r="1056" spans="1:6" x14ac:dyDescent="0.2">
      <c r="A1056" s="44"/>
      <c r="B1056" s="44"/>
      <c r="C1056" s="44"/>
      <c r="D1056" s="44"/>
      <c r="E1056" s="44"/>
      <c r="F1056" s="44"/>
    </row>
    <row r="1057" spans="1:6" x14ac:dyDescent="0.2">
      <c r="A1057" s="44"/>
      <c r="B1057" s="44"/>
      <c r="C1057" s="44"/>
      <c r="D1057" s="44"/>
      <c r="E1057" s="44"/>
      <c r="F1057" s="44"/>
    </row>
    <row r="1058" spans="1:6" x14ac:dyDescent="0.2">
      <c r="A1058" s="44"/>
      <c r="B1058" s="44"/>
      <c r="C1058" s="44"/>
      <c r="D1058" s="44"/>
      <c r="E1058" s="44"/>
      <c r="F1058" s="44"/>
    </row>
    <row r="1059" spans="1:6" x14ac:dyDescent="0.2">
      <c r="A1059" s="44"/>
      <c r="B1059" s="44"/>
      <c r="C1059" s="44"/>
      <c r="D1059" s="44"/>
      <c r="E1059" s="44"/>
      <c r="F1059" s="44"/>
    </row>
    <row r="1060" spans="1:6" x14ac:dyDescent="0.2">
      <c r="A1060" s="44"/>
      <c r="B1060" s="44"/>
      <c r="C1060" s="44"/>
      <c r="D1060" s="44"/>
      <c r="E1060" s="44"/>
      <c r="F1060" s="44"/>
    </row>
    <row r="1061" spans="1:6" x14ac:dyDescent="0.2">
      <c r="A1061" s="44"/>
      <c r="B1061" s="44"/>
      <c r="C1061" s="44"/>
      <c r="D1061" s="44"/>
      <c r="E1061" s="44"/>
      <c r="F1061" s="44"/>
    </row>
    <row r="1062" spans="1:6" x14ac:dyDescent="0.2">
      <c r="A1062" s="44"/>
      <c r="B1062" s="44"/>
      <c r="C1062" s="44"/>
      <c r="D1062" s="44"/>
      <c r="E1062" s="44"/>
      <c r="F1062" s="44"/>
    </row>
    <row r="1063" spans="1:6" x14ac:dyDescent="0.2">
      <c r="A1063" s="44"/>
      <c r="B1063" s="44"/>
      <c r="C1063" s="44"/>
      <c r="D1063" s="44"/>
      <c r="E1063" s="44"/>
      <c r="F1063" s="44"/>
    </row>
    <row r="1064" spans="1:6" x14ac:dyDescent="0.2">
      <c r="A1064" s="44"/>
      <c r="B1064" s="44"/>
      <c r="C1064" s="44"/>
      <c r="D1064" s="44"/>
      <c r="E1064" s="44"/>
      <c r="F1064" s="44"/>
    </row>
    <row r="1065" spans="1:6" x14ac:dyDescent="0.2">
      <c r="A1065" s="44"/>
      <c r="B1065" s="44"/>
      <c r="C1065" s="44"/>
      <c r="D1065" s="44"/>
      <c r="E1065" s="44"/>
      <c r="F1065" s="44"/>
    </row>
    <row r="1066" spans="1:6" x14ac:dyDescent="0.2">
      <c r="A1066" s="44"/>
      <c r="B1066" s="44"/>
      <c r="C1066" s="44"/>
      <c r="D1066" s="44"/>
      <c r="E1066" s="44"/>
      <c r="F1066" s="44"/>
    </row>
    <row r="1067" spans="1:6" x14ac:dyDescent="0.2">
      <c r="A1067" s="44"/>
      <c r="B1067" s="44"/>
      <c r="C1067" s="44"/>
      <c r="D1067" s="44"/>
      <c r="E1067" s="44"/>
      <c r="F1067" s="44"/>
    </row>
    <row r="1068" spans="1:6" x14ac:dyDescent="0.2">
      <c r="A1068" s="44"/>
      <c r="B1068" s="44"/>
      <c r="C1068" s="44"/>
      <c r="D1068" s="44"/>
      <c r="E1068" s="44"/>
      <c r="F1068" s="44"/>
    </row>
    <row r="1069" spans="1:6" x14ac:dyDescent="0.2">
      <c r="A1069" s="44"/>
      <c r="B1069" s="44"/>
      <c r="C1069" s="44"/>
      <c r="D1069" s="44"/>
      <c r="E1069" s="44"/>
      <c r="F1069" s="44"/>
    </row>
    <row r="1070" spans="1:6" x14ac:dyDescent="0.2">
      <c r="A1070" s="44"/>
      <c r="B1070" s="44"/>
      <c r="C1070" s="44"/>
      <c r="D1070" s="44"/>
      <c r="E1070" s="44"/>
      <c r="F1070" s="44"/>
    </row>
    <row r="1071" spans="1:6" x14ac:dyDescent="0.2">
      <c r="A1071" s="44"/>
      <c r="B1071" s="44"/>
      <c r="C1071" s="44"/>
      <c r="D1071" s="44"/>
      <c r="E1071" s="44"/>
      <c r="F1071" s="44"/>
    </row>
    <row r="1072" spans="1:6" x14ac:dyDescent="0.2">
      <c r="A1072" s="44"/>
      <c r="B1072" s="44"/>
      <c r="C1072" s="44"/>
      <c r="D1072" s="44"/>
      <c r="E1072" s="44"/>
      <c r="F1072" s="44"/>
    </row>
    <row r="1073" spans="1:6" x14ac:dyDescent="0.2">
      <c r="A1073" s="44"/>
      <c r="B1073" s="44"/>
      <c r="C1073" s="44"/>
      <c r="D1073" s="44"/>
      <c r="E1073" s="44"/>
      <c r="F1073" s="44"/>
    </row>
    <row r="1074" spans="1:6" x14ac:dyDescent="0.2">
      <c r="A1074" s="44"/>
      <c r="B1074" s="44"/>
      <c r="C1074" s="44"/>
      <c r="D1074" s="44"/>
      <c r="E1074" s="44"/>
      <c r="F1074" s="44"/>
    </row>
    <row r="1075" spans="1:6" x14ac:dyDescent="0.2">
      <c r="A1075" s="44"/>
      <c r="B1075" s="44"/>
      <c r="C1075" s="44"/>
      <c r="D1075" s="44"/>
      <c r="E1075" s="44"/>
      <c r="F1075" s="44"/>
    </row>
    <row r="1076" spans="1:6" x14ac:dyDescent="0.2">
      <c r="A1076" s="44"/>
      <c r="B1076" s="44"/>
      <c r="C1076" s="44"/>
      <c r="D1076" s="44"/>
      <c r="E1076" s="44"/>
      <c r="F1076" s="44"/>
    </row>
    <row r="1077" spans="1:6" x14ac:dyDescent="0.2">
      <c r="A1077" s="44"/>
      <c r="B1077" s="44"/>
      <c r="C1077" s="44"/>
      <c r="D1077" s="44"/>
      <c r="E1077" s="44"/>
      <c r="F1077" s="44"/>
    </row>
    <row r="1078" spans="1:6" x14ac:dyDescent="0.2">
      <c r="A1078" s="44"/>
      <c r="B1078" s="44"/>
      <c r="C1078" s="44"/>
      <c r="D1078" s="44"/>
      <c r="E1078" s="44"/>
      <c r="F1078" s="44"/>
    </row>
    <row r="1079" spans="1:6" x14ac:dyDescent="0.2">
      <c r="A1079" s="44"/>
      <c r="B1079" s="44"/>
      <c r="C1079" s="44"/>
      <c r="D1079" s="44"/>
      <c r="E1079" s="44"/>
      <c r="F1079" s="44"/>
    </row>
    <row r="1080" spans="1:6" x14ac:dyDescent="0.2">
      <c r="A1080" s="44"/>
      <c r="B1080" s="44"/>
      <c r="C1080" s="44"/>
      <c r="D1080" s="44"/>
      <c r="E1080" s="44"/>
      <c r="F1080" s="44"/>
    </row>
    <row r="1081" spans="1:6" x14ac:dyDescent="0.2">
      <c r="A1081" s="44"/>
      <c r="B1081" s="44"/>
      <c r="C1081" s="44"/>
      <c r="D1081" s="44"/>
      <c r="E1081" s="44"/>
      <c r="F1081" s="44"/>
    </row>
    <row r="1082" spans="1:6" x14ac:dyDescent="0.2">
      <c r="A1082" s="44"/>
      <c r="B1082" s="44"/>
      <c r="C1082" s="44"/>
      <c r="D1082" s="44"/>
      <c r="E1082" s="44"/>
      <c r="F1082" s="44"/>
    </row>
    <row r="1083" spans="1:6" x14ac:dyDescent="0.2">
      <c r="A1083" s="44"/>
      <c r="B1083" s="44"/>
      <c r="C1083" s="44"/>
      <c r="D1083" s="44"/>
      <c r="E1083" s="44"/>
      <c r="F1083" s="44"/>
    </row>
    <row r="1084" spans="1:6" x14ac:dyDescent="0.2">
      <c r="A1084" s="44"/>
      <c r="B1084" s="44"/>
      <c r="C1084" s="44"/>
      <c r="D1084" s="44"/>
      <c r="E1084" s="44"/>
      <c r="F1084" s="44"/>
    </row>
    <row r="1085" spans="1:6" x14ac:dyDescent="0.2">
      <c r="A1085" s="44"/>
      <c r="B1085" s="44"/>
      <c r="C1085" s="44"/>
      <c r="D1085" s="44"/>
      <c r="E1085" s="44"/>
      <c r="F1085" s="44"/>
    </row>
    <row r="1086" spans="1:6" x14ac:dyDescent="0.2">
      <c r="A1086" s="44"/>
      <c r="B1086" s="44"/>
      <c r="C1086" s="44"/>
      <c r="D1086" s="44"/>
      <c r="E1086" s="44"/>
      <c r="F1086" s="44"/>
    </row>
    <row r="1087" spans="1:6" x14ac:dyDescent="0.2">
      <c r="A1087" s="44"/>
      <c r="B1087" s="44"/>
      <c r="C1087" s="44"/>
      <c r="D1087" s="44"/>
      <c r="E1087" s="44"/>
      <c r="F1087" s="44"/>
    </row>
    <row r="1088" spans="1:6" x14ac:dyDescent="0.2">
      <c r="A1088" s="44"/>
      <c r="B1088" s="44"/>
      <c r="C1088" s="44"/>
      <c r="D1088" s="44"/>
      <c r="E1088" s="44"/>
      <c r="F1088" s="44"/>
    </row>
    <row r="1089" spans="1:6" x14ac:dyDescent="0.2">
      <c r="A1089" s="44"/>
      <c r="B1089" s="44"/>
      <c r="C1089" s="44"/>
      <c r="D1089" s="44"/>
      <c r="E1089" s="44"/>
      <c r="F1089" s="44"/>
    </row>
    <row r="1090" spans="1:6" x14ac:dyDescent="0.2">
      <c r="A1090" s="44"/>
      <c r="B1090" s="44"/>
      <c r="C1090" s="44"/>
      <c r="D1090" s="44"/>
      <c r="E1090" s="44"/>
      <c r="F1090" s="44"/>
    </row>
    <row r="1091" spans="1:6" x14ac:dyDescent="0.2">
      <c r="A1091" s="44"/>
      <c r="B1091" s="44"/>
      <c r="C1091" s="44"/>
      <c r="D1091" s="44"/>
      <c r="E1091" s="44"/>
      <c r="F1091" s="44"/>
    </row>
    <row r="1092" spans="1:6" x14ac:dyDescent="0.2">
      <c r="A1092" s="44"/>
      <c r="B1092" s="44"/>
      <c r="C1092" s="44"/>
      <c r="D1092" s="44"/>
      <c r="E1092" s="44"/>
      <c r="F1092" s="44"/>
    </row>
    <row r="1093" spans="1:6" x14ac:dyDescent="0.2">
      <c r="A1093" s="44"/>
      <c r="B1093" s="44"/>
      <c r="C1093" s="44"/>
      <c r="D1093" s="44"/>
      <c r="E1093" s="44"/>
      <c r="F1093" s="44"/>
    </row>
    <row r="1094" spans="1:6" x14ac:dyDescent="0.2">
      <c r="A1094" s="44"/>
      <c r="B1094" s="44"/>
      <c r="C1094" s="44"/>
      <c r="D1094" s="44"/>
      <c r="E1094" s="44"/>
      <c r="F1094" s="44"/>
    </row>
    <row r="1095" spans="1:6" x14ac:dyDescent="0.2">
      <c r="A1095" s="44"/>
      <c r="B1095" s="44"/>
      <c r="C1095" s="44"/>
      <c r="D1095" s="44"/>
      <c r="E1095" s="44"/>
      <c r="F1095" s="44"/>
    </row>
    <row r="1096" spans="1:6" x14ac:dyDescent="0.2">
      <c r="A1096" s="44"/>
      <c r="B1096" s="44"/>
      <c r="C1096" s="44"/>
      <c r="D1096" s="44"/>
      <c r="E1096" s="44"/>
      <c r="F1096" s="44"/>
    </row>
    <row r="1097" spans="1:6" x14ac:dyDescent="0.2">
      <c r="A1097" s="44"/>
      <c r="B1097" s="44"/>
      <c r="C1097" s="44"/>
      <c r="D1097" s="44"/>
      <c r="E1097" s="44"/>
      <c r="F1097" s="44"/>
    </row>
    <row r="1098" spans="1:6" x14ac:dyDescent="0.2">
      <c r="A1098" s="44"/>
      <c r="B1098" s="44"/>
      <c r="C1098" s="44"/>
      <c r="D1098" s="44"/>
      <c r="E1098" s="44"/>
      <c r="F1098" s="44"/>
    </row>
    <row r="1099" spans="1:6" x14ac:dyDescent="0.2">
      <c r="A1099" s="44"/>
      <c r="B1099" s="44"/>
      <c r="C1099" s="44"/>
      <c r="D1099" s="44"/>
      <c r="E1099" s="44"/>
      <c r="F1099" s="44"/>
    </row>
    <row r="1100" spans="1:6" x14ac:dyDescent="0.2">
      <c r="A1100" s="44"/>
      <c r="B1100" s="44"/>
      <c r="C1100" s="44"/>
      <c r="D1100" s="44"/>
      <c r="E1100" s="44"/>
      <c r="F1100" s="44"/>
    </row>
    <row r="1101" spans="1:6" x14ac:dyDescent="0.2">
      <c r="A1101" s="44"/>
      <c r="B1101" s="44"/>
      <c r="C1101" s="44"/>
      <c r="D1101" s="44"/>
      <c r="E1101" s="44"/>
      <c r="F1101" s="44"/>
    </row>
    <row r="1102" spans="1:6" x14ac:dyDescent="0.2">
      <c r="A1102" s="44"/>
      <c r="B1102" s="44"/>
      <c r="C1102" s="44"/>
      <c r="D1102" s="44"/>
      <c r="E1102" s="44"/>
      <c r="F1102" s="44"/>
    </row>
    <row r="1103" spans="1:6" x14ac:dyDescent="0.2">
      <c r="A1103" s="44"/>
      <c r="B1103" s="44"/>
      <c r="C1103" s="44"/>
      <c r="D1103" s="44"/>
      <c r="E1103" s="44"/>
      <c r="F1103" s="44"/>
    </row>
    <row r="1104" spans="1:6" x14ac:dyDescent="0.2">
      <c r="A1104" s="44"/>
      <c r="B1104" s="44"/>
      <c r="C1104" s="44"/>
      <c r="D1104" s="44"/>
      <c r="E1104" s="44"/>
      <c r="F1104" s="44"/>
    </row>
    <row r="1105" spans="1:6" x14ac:dyDescent="0.2">
      <c r="A1105" s="44"/>
      <c r="B1105" s="44"/>
      <c r="C1105" s="44"/>
      <c r="D1105" s="44"/>
      <c r="E1105" s="44"/>
      <c r="F1105" s="44"/>
    </row>
    <row r="1106" spans="1:6" x14ac:dyDescent="0.2">
      <c r="A1106" s="44"/>
      <c r="B1106" s="44"/>
      <c r="C1106" s="44"/>
      <c r="D1106" s="44"/>
      <c r="E1106" s="44"/>
      <c r="F1106" s="44"/>
    </row>
    <row r="1107" spans="1:6" x14ac:dyDescent="0.2">
      <c r="A1107" s="44"/>
      <c r="B1107" s="44"/>
      <c r="C1107" s="44"/>
      <c r="D1107" s="44"/>
      <c r="E1107" s="44"/>
      <c r="F1107" s="44"/>
    </row>
    <row r="1108" spans="1:6" x14ac:dyDescent="0.2">
      <c r="A1108" s="44"/>
      <c r="B1108" s="44"/>
      <c r="C1108" s="44"/>
      <c r="D1108" s="44"/>
      <c r="E1108" s="44"/>
      <c r="F1108" s="44"/>
    </row>
    <row r="1109" spans="1:6" x14ac:dyDescent="0.2">
      <c r="A1109" s="44"/>
      <c r="B1109" s="44"/>
      <c r="C1109" s="44"/>
      <c r="D1109" s="44"/>
      <c r="E1109" s="44"/>
      <c r="F1109" s="44"/>
    </row>
    <row r="1110" spans="1:6" x14ac:dyDescent="0.2">
      <c r="A1110" s="44"/>
      <c r="B1110" s="44"/>
      <c r="C1110" s="44"/>
      <c r="D1110" s="44"/>
      <c r="E1110" s="44"/>
      <c r="F1110" s="44"/>
    </row>
    <row r="1111" spans="1:6" x14ac:dyDescent="0.2">
      <c r="A1111" s="44"/>
      <c r="B1111" s="44"/>
      <c r="C1111" s="44"/>
      <c r="D1111" s="44"/>
      <c r="E1111" s="44"/>
      <c r="F1111" s="44"/>
    </row>
    <row r="1112" spans="1:6" x14ac:dyDescent="0.2">
      <c r="A1112" s="44"/>
      <c r="B1112" s="44"/>
      <c r="C1112" s="44"/>
      <c r="D1112" s="44"/>
      <c r="E1112" s="44"/>
      <c r="F1112" s="44"/>
    </row>
    <row r="1113" spans="1:6" x14ac:dyDescent="0.2">
      <c r="A1113" s="44"/>
      <c r="B1113" s="44"/>
      <c r="C1113" s="44"/>
      <c r="D1113" s="44"/>
      <c r="E1113" s="44"/>
      <c r="F1113" s="44"/>
    </row>
    <row r="1114" spans="1:6" x14ac:dyDescent="0.2">
      <c r="A1114" s="44"/>
      <c r="B1114" s="44"/>
      <c r="C1114" s="44"/>
      <c r="D1114" s="44"/>
      <c r="E1114" s="44"/>
      <c r="F1114" s="44"/>
    </row>
    <row r="1115" spans="1:6" x14ac:dyDescent="0.2">
      <c r="A1115" s="44"/>
      <c r="B1115" s="44"/>
      <c r="C1115" s="44"/>
      <c r="D1115" s="44"/>
      <c r="E1115" s="44"/>
      <c r="F1115" s="44"/>
    </row>
    <row r="1116" spans="1:6" x14ac:dyDescent="0.2">
      <c r="A1116" s="44"/>
      <c r="B1116" s="44"/>
      <c r="C1116" s="44"/>
      <c r="D1116" s="44"/>
      <c r="E1116" s="44"/>
      <c r="F1116" s="44"/>
    </row>
    <row r="1117" spans="1:6" x14ac:dyDescent="0.2">
      <c r="A1117" s="44"/>
      <c r="B1117" s="44"/>
      <c r="C1117" s="44"/>
      <c r="D1117" s="44"/>
      <c r="E1117" s="44"/>
      <c r="F1117" s="44"/>
    </row>
    <row r="1118" spans="1:6" x14ac:dyDescent="0.2">
      <c r="A1118" s="44"/>
      <c r="B1118" s="44"/>
      <c r="C1118" s="44"/>
      <c r="D1118" s="44"/>
      <c r="E1118" s="44"/>
      <c r="F1118" s="44"/>
    </row>
    <row r="1119" spans="1:6" x14ac:dyDescent="0.2">
      <c r="A1119" s="44"/>
      <c r="B1119" s="44"/>
      <c r="C1119" s="44"/>
      <c r="D1119" s="44"/>
      <c r="E1119" s="44"/>
      <c r="F1119" s="44"/>
    </row>
    <row r="1120" spans="1:6" x14ac:dyDescent="0.2">
      <c r="A1120" s="44"/>
      <c r="B1120" s="44"/>
      <c r="C1120" s="44"/>
      <c r="D1120" s="44"/>
      <c r="E1120" s="44"/>
      <c r="F1120" s="44"/>
    </row>
    <row r="1121" spans="1:6" x14ac:dyDescent="0.2">
      <c r="A1121" s="44"/>
      <c r="B1121" s="44"/>
      <c r="C1121" s="44"/>
      <c r="D1121" s="44"/>
      <c r="E1121" s="44"/>
      <c r="F1121" s="44"/>
    </row>
    <row r="1122" spans="1:6" x14ac:dyDescent="0.2">
      <c r="A1122" s="44"/>
      <c r="B1122" s="44"/>
      <c r="C1122" s="44"/>
      <c r="D1122" s="44"/>
      <c r="E1122" s="44"/>
      <c r="F1122" s="44"/>
    </row>
    <row r="1123" spans="1:6" x14ac:dyDescent="0.2">
      <c r="A1123" s="44"/>
      <c r="B1123" s="44"/>
      <c r="C1123" s="44"/>
      <c r="D1123" s="44"/>
      <c r="E1123" s="44"/>
      <c r="F1123" s="44"/>
    </row>
    <row r="1124" spans="1:6" x14ac:dyDescent="0.2">
      <c r="A1124" s="44"/>
      <c r="B1124" s="44"/>
      <c r="C1124" s="44"/>
      <c r="D1124" s="44"/>
      <c r="E1124" s="44"/>
      <c r="F1124" s="44"/>
    </row>
    <row r="1125" spans="1:6" x14ac:dyDescent="0.2">
      <c r="A1125" s="44"/>
      <c r="B1125" s="44"/>
      <c r="C1125" s="44"/>
      <c r="D1125" s="44"/>
      <c r="E1125" s="44"/>
      <c r="F1125" s="44"/>
    </row>
    <row r="1126" spans="1:6" x14ac:dyDescent="0.2">
      <c r="A1126" s="44"/>
      <c r="B1126" s="44"/>
      <c r="C1126" s="44"/>
      <c r="D1126" s="44"/>
      <c r="E1126" s="44"/>
      <c r="F1126" s="44"/>
    </row>
    <row r="1127" spans="1:6" x14ac:dyDescent="0.2">
      <c r="A1127" s="44"/>
      <c r="B1127" s="44"/>
      <c r="C1127" s="44"/>
      <c r="D1127" s="44"/>
      <c r="E1127" s="44"/>
      <c r="F1127" s="44"/>
    </row>
    <row r="1128" spans="1:6" x14ac:dyDescent="0.2">
      <c r="A1128" s="44"/>
      <c r="B1128" s="44"/>
      <c r="C1128" s="44"/>
      <c r="D1128" s="44"/>
      <c r="E1128" s="44"/>
      <c r="F1128" s="44"/>
    </row>
    <row r="1129" spans="1:6" x14ac:dyDescent="0.2">
      <c r="A1129" s="44"/>
      <c r="B1129" s="44"/>
      <c r="C1129" s="44"/>
      <c r="D1129" s="44"/>
      <c r="E1129" s="44"/>
      <c r="F1129" s="44"/>
    </row>
    <row r="1130" spans="1:6" x14ac:dyDescent="0.2">
      <c r="A1130" s="44"/>
      <c r="B1130" s="44"/>
      <c r="C1130" s="44"/>
      <c r="D1130" s="44"/>
      <c r="E1130" s="44"/>
      <c r="F1130" s="44"/>
    </row>
    <row r="1131" spans="1:6" x14ac:dyDescent="0.2">
      <c r="A1131" s="44"/>
      <c r="B1131" s="44"/>
      <c r="C1131" s="44"/>
      <c r="D1131" s="44"/>
      <c r="E1131" s="44"/>
      <c r="F1131" s="44"/>
    </row>
    <row r="1132" spans="1:6" x14ac:dyDescent="0.2">
      <c r="A1132" s="44"/>
      <c r="B1132" s="44"/>
      <c r="C1132" s="44"/>
      <c r="D1132" s="44"/>
      <c r="E1132" s="44"/>
      <c r="F1132" s="44"/>
    </row>
    <row r="1133" spans="1:6" x14ac:dyDescent="0.2">
      <c r="A1133" s="44"/>
      <c r="B1133" s="44"/>
      <c r="C1133" s="44"/>
      <c r="D1133" s="44"/>
      <c r="E1133" s="44"/>
      <c r="F1133" s="44"/>
    </row>
    <row r="1134" spans="1:6" x14ac:dyDescent="0.2">
      <c r="A1134" s="44"/>
      <c r="B1134" s="44"/>
      <c r="C1134" s="44"/>
      <c r="D1134" s="44"/>
      <c r="E1134" s="44"/>
      <c r="F1134" s="44"/>
    </row>
    <row r="1135" spans="1:6" x14ac:dyDescent="0.2">
      <c r="A1135" s="44"/>
      <c r="B1135" s="44"/>
      <c r="C1135" s="44"/>
      <c r="D1135" s="44"/>
      <c r="E1135" s="44"/>
      <c r="F1135" s="44"/>
    </row>
    <row r="1136" spans="1:6" x14ac:dyDescent="0.2">
      <c r="A1136" s="44"/>
      <c r="B1136" s="44"/>
      <c r="C1136" s="44"/>
      <c r="D1136" s="44"/>
      <c r="E1136" s="44"/>
      <c r="F1136" s="44"/>
    </row>
    <row r="1137" spans="1:6" x14ac:dyDescent="0.2">
      <c r="A1137" s="44"/>
      <c r="B1137" s="44"/>
      <c r="C1137" s="44"/>
      <c r="D1137" s="44"/>
      <c r="E1137" s="44"/>
      <c r="F1137" s="44"/>
    </row>
    <row r="1138" spans="1:6" x14ac:dyDescent="0.2">
      <c r="A1138" s="44"/>
      <c r="B1138" s="44"/>
      <c r="C1138" s="44"/>
      <c r="D1138" s="44"/>
      <c r="E1138" s="44"/>
      <c r="F1138" s="44"/>
    </row>
    <row r="1139" spans="1:6" x14ac:dyDescent="0.2">
      <c r="A1139" s="44"/>
      <c r="B1139" s="44"/>
      <c r="C1139" s="44"/>
      <c r="D1139" s="44"/>
      <c r="E1139" s="44"/>
      <c r="F1139" s="44"/>
    </row>
    <row r="1140" spans="1:6" x14ac:dyDescent="0.2">
      <c r="A1140" s="44"/>
      <c r="B1140" s="44"/>
      <c r="C1140" s="44"/>
      <c r="D1140" s="44"/>
      <c r="E1140" s="44"/>
      <c r="F1140" s="44"/>
    </row>
    <row r="1141" spans="1:6" x14ac:dyDescent="0.2">
      <c r="A1141" s="44"/>
      <c r="B1141" s="44"/>
      <c r="C1141" s="44"/>
      <c r="D1141" s="44"/>
      <c r="E1141" s="44"/>
      <c r="F1141" s="44"/>
    </row>
    <row r="1142" spans="1:6" x14ac:dyDescent="0.2">
      <c r="A1142" s="44"/>
      <c r="B1142" s="44"/>
      <c r="C1142" s="44"/>
      <c r="D1142" s="44"/>
      <c r="E1142" s="44"/>
      <c r="F1142" s="44"/>
    </row>
    <row r="1143" spans="1:6" x14ac:dyDescent="0.2">
      <c r="A1143" s="44"/>
      <c r="B1143" s="44"/>
      <c r="C1143" s="44"/>
      <c r="D1143" s="44"/>
      <c r="E1143" s="44"/>
      <c r="F1143" s="44"/>
    </row>
    <row r="1144" spans="1:6" x14ac:dyDescent="0.2">
      <c r="A1144" s="44"/>
      <c r="B1144" s="44"/>
      <c r="C1144" s="44"/>
      <c r="D1144" s="44"/>
      <c r="E1144" s="44"/>
      <c r="F1144" s="44"/>
    </row>
    <row r="1145" spans="1:6" x14ac:dyDescent="0.2">
      <c r="A1145" s="44"/>
      <c r="B1145" s="44"/>
      <c r="C1145" s="44"/>
      <c r="D1145" s="44"/>
      <c r="E1145" s="44"/>
      <c r="F1145" s="44"/>
    </row>
    <row r="1146" spans="1:6" x14ac:dyDescent="0.2">
      <c r="A1146" s="44"/>
      <c r="B1146" s="44"/>
      <c r="C1146" s="44"/>
      <c r="D1146" s="44"/>
      <c r="E1146" s="44"/>
      <c r="F1146" s="44"/>
    </row>
    <row r="1147" spans="1:6" x14ac:dyDescent="0.2">
      <c r="A1147" s="44"/>
      <c r="B1147" s="44"/>
      <c r="C1147" s="44"/>
      <c r="D1147" s="44"/>
      <c r="E1147" s="44"/>
      <c r="F1147" s="44"/>
    </row>
    <row r="1148" spans="1:6" x14ac:dyDescent="0.2">
      <c r="A1148" s="44"/>
      <c r="B1148" s="44"/>
      <c r="C1148" s="44"/>
      <c r="D1148" s="44"/>
      <c r="E1148" s="44"/>
      <c r="F1148" s="44"/>
    </row>
    <row r="1149" spans="1:6" x14ac:dyDescent="0.2">
      <c r="A1149" s="44"/>
      <c r="B1149" s="44"/>
      <c r="C1149" s="44"/>
      <c r="D1149" s="44"/>
      <c r="E1149" s="44"/>
      <c r="F1149" s="44"/>
    </row>
    <row r="1150" spans="1:6" x14ac:dyDescent="0.2">
      <c r="A1150" s="44"/>
      <c r="B1150" s="44"/>
      <c r="C1150" s="44"/>
      <c r="D1150" s="44"/>
      <c r="E1150" s="44"/>
      <c r="F1150" s="44"/>
    </row>
    <row r="1151" spans="1:6" x14ac:dyDescent="0.2">
      <c r="A1151" s="44"/>
      <c r="B1151" s="44"/>
      <c r="C1151" s="44"/>
      <c r="D1151" s="44"/>
      <c r="E1151" s="44"/>
      <c r="F1151" s="44"/>
    </row>
    <row r="1152" spans="1:6" x14ac:dyDescent="0.2">
      <c r="A1152" s="44"/>
      <c r="B1152" s="44"/>
      <c r="C1152" s="44"/>
      <c r="D1152" s="44"/>
      <c r="E1152" s="44"/>
      <c r="F1152" s="44"/>
    </row>
    <row r="1153" spans="1:6" x14ac:dyDescent="0.2">
      <c r="A1153" s="44"/>
      <c r="B1153" s="44"/>
      <c r="C1153" s="44"/>
      <c r="D1153" s="44"/>
      <c r="E1153" s="44"/>
      <c r="F1153" s="44"/>
    </row>
    <row r="1154" spans="1:6" x14ac:dyDescent="0.2">
      <c r="A1154" s="44"/>
      <c r="B1154" s="44"/>
      <c r="C1154" s="44"/>
      <c r="D1154" s="44"/>
      <c r="E1154" s="44"/>
      <c r="F1154" s="44"/>
    </row>
    <row r="1155" spans="1:6" x14ac:dyDescent="0.2">
      <c r="A1155" s="44"/>
      <c r="B1155" s="44"/>
      <c r="C1155" s="44"/>
      <c r="D1155" s="44"/>
      <c r="E1155" s="44"/>
      <c r="F1155" s="44"/>
    </row>
    <row r="1156" spans="1:6" x14ac:dyDescent="0.2">
      <c r="A1156" s="44"/>
      <c r="B1156" s="44"/>
      <c r="C1156" s="44"/>
      <c r="D1156" s="44"/>
      <c r="E1156" s="44"/>
      <c r="F1156" s="44"/>
    </row>
    <row r="1157" spans="1:6" x14ac:dyDescent="0.2">
      <c r="A1157" s="44"/>
      <c r="B1157" s="44"/>
      <c r="C1157" s="44"/>
      <c r="D1157" s="44"/>
      <c r="E1157" s="44"/>
      <c r="F1157" s="44"/>
    </row>
    <row r="1158" spans="1:6" x14ac:dyDescent="0.2">
      <c r="A1158" s="44"/>
      <c r="B1158" s="44"/>
      <c r="C1158" s="44"/>
      <c r="D1158" s="44"/>
      <c r="E1158" s="44"/>
      <c r="F1158" s="44"/>
    </row>
    <row r="1159" spans="1:6" x14ac:dyDescent="0.2">
      <c r="A1159" s="44"/>
      <c r="B1159" s="44"/>
      <c r="C1159" s="44"/>
      <c r="D1159" s="44"/>
      <c r="E1159" s="44"/>
      <c r="F1159" s="44"/>
    </row>
    <row r="1160" spans="1:6" x14ac:dyDescent="0.2">
      <c r="A1160" s="44"/>
      <c r="B1160" s="44"/>
      <c r="C1160" s="44"/>
      <c r="D1160" s="44"/>
      <c r="E1160" s="44"/>
      <c r="F1160" s="44"/>
    </row>
    <row r="1161" spans="1:6" x14ac:dyDescent="0.2">
      <c r="A1161" s="44"/>
      <c r="B1161" s="44"/>
      <c r="C1161" s="44"/>
      <c r="D1161" s="44"/>
      <c r="E1161" s="44"/>
      <c r="F1161" s="44"/>
    </row>
    <row r="1162" spans="1:6" x14ac:dyDescent="0.2">
      <c r="A1162" s="44"/>
      <c r="B1162" s="44"/>
      <c r="C1162" s="44"/>
      <c r="D1162" s="44"/>
      <c r="E1162" s="44"/>
      <c r="F1162" s="44"/>
    </row>
    <row r="1163" spans="1:6" x14ac:dyDescent="0.2">
      <c r="A1163" s="44"/>
      <c r="B1163" s="44"/>
      <c r="C1163" s="44"/>
      <c r="D1163" s="44"/>
      <c r="E1163" s="44"/>
      <c r="F1163" s="44"/>
    </row>
    <row r="1164" spans="1:6" x14ac:dyDescent="0.2">
      <c r="A1164" s="44"/>
      <c r="B1164" s="44"/>
      <c r="C1164" s="44"/>
      <c r="D1164" s="44"/>
      <c r="E1164" s="44"/>
      <c r="F1164" s="44"/>
    </row>
    <row r="1165" spans="1:6" x14ac:dyDescent="0.2">
      <c r="A1165" s="44"/>
      <c r="B1165" s="44"/>
      <c r="C1165" s="44"/>
      <c r="D1165" s="44"/>
      <c r="E1165" s="44"/>
      <c r="F1165" s="44"/>
    </row>
    <row r="1166" spans="1:6" x14ac:dyDescent="0.2">
      <c r="A1166" s="44"/>
      <c r="B1166" s="44"/>
      <c r="C1166" s="44"/>
      <c r="D1166" s="44"/>
      <c r="E1166" s="44"/>
      <c r="F1166" s="44"/>
    </row>
    <row r="1167" spans="1:6" x14ac:dyDescent="0.2">
      <c r="A1167" s="44"/>
      <c r="B1167" s="44"/>
      <c r="C1167" s="44"/>
      <c r="D1167" s="44"/>
      <c r="E1167" s="44"/>
      <c r="F1167" s="44"/>
    </row>
    <row r="1168" spans="1:6" x14ac:dyDescent="0.2">
      <c r="A1168" s="44"/>
      <c r="B1168" s="44"/>
      <c r="C1168" s="44"/>
      <c r="D1168" s="44"/>
      <c r="E1168" s="44"/>
      <c r="F1168" s="44"/>
    </row>
    <row r="1169" spans="1:6" x14ac:dyDescent="0.2">
      <c r="A1169" s="44"/>
      <c r="B1169" s="44"/>
      <c r="C1169" s="44"/>
      <c r="D1169" s="44"/>
      <c r="E1169" s="44"/>
      <c r="F1169" s="44"/>
    </row>
    <row r="1170" spans="1:6" x14ac:dyDescent="0.2">
      <c r="A1170" s="44"/>
      <c r="B1170" s="44"/>
      <c r="C1170" s="44"/>
      <c r="D1170" s="44"/>
      <c r="E1170" s="44"/>
      <c r="F1170" s="44"/>
    </row>
    <row r="1171" spans="1:6" x14ac:dyDescent="0.2">
      <c r="A1171" s="44"/>
      <c r="B1171" s="44"/>
      <c r="C1171" s="44"/>
      <c r="D1171" s="44"/>
      <c r="E1171" s="44"/>
      <c r="F1171" s="44"/>
    </row>
    <row r="1172" spans="1:6" x14ac:dyDescent="0.2">
      <c r="A1172" s="44"/>
      <c r="B1172" s="44"/>
      <c r="C1172" s="44"/>
      <c r="D1172" s="44"/>
      <c r="E1172" s="44"/>
      <c r="F1172" s="44"/>
    </row>
    <row r="1173" spans="1:6" x14ac:dyDescent="0.2">
      <c r="A1173" s="44"/>
      <c r="B1173" s="44"/>
      <c r="C1173" s="44"/>
      <c r="D1173" s="44"/>
      <c r="E1173" s="44"/>
      <c r="F1173" s="44"/>
    </row>
    <row r="1174" spans="1:6" x14ac:dyDescent="0.2">
      <c r="A1174" s="44"/>
      <c r="B1174" s="44"/>
      <c r="C1174" s="44"/>
      <c r="D1174" s="44"/>
      <c r="E1174" s="44"/>
      <c r="F1174" s="44"/>
    </row>
    <row r="1175" spans="1:6" x14ac:dyDescent="0.2">
      <c r="A1175" s="44"/>
      <c r="B1175" s="44"/>
      <c r="C1175" s="44"/>
      <c r="D1175" s="44"/>
      <c r="E1175" s="44"/>
      <c r="F1175" s="44"/>
    </row>
    <row r="1176" spans="1:6" x14ac:dyDescent="0.2">
      <c r="A1176" s="44"/>
      <c r="B1176" s="44"/>
      <c r="C1176" s="44"/>
      <c r="D1176" s="44"/>
      <c r="E1176" s="44"/>
      <c r="F1176" s="44"/>
    </row>
    <row r="1177" spans="1:6" x14ac:dyDescent="0.2">
      <c r="A1177" s="44"/>
      <c r="B1177" s="44"/>
      <c r="C1177" s="44"/>
      <c r="D1177" s="44"/>
      <c r="E1177" s="44"/>
      <c r="F1177" s="44"/>
    </row>
    <row r="1178" spans="1:6" x14ac:dyDescent="0.2">
      <c r="A1178" s="44"/>
      <c r="B1178" s="44"/>
      <c r="C1178" s="44"/>
      <c r="D1178" s="44"/>
      <c r="E1178" s="44"/>
      <c r="F1178" s="44"/>
    </row>
    <row r="1179" spans="1:6" x14ac:dyDescent="0.2">
      <c r="A1179" s="44"/>
      <c r="B1179" s="44"/>
      <c r="C1179" s="44"/>
      <c r="D1179" s="44"/>
      <c r="E1179" s="44"/>
      <c r="F1179" s="44"/>
    </row>
    <row r="1180" spans="1:6" x14ac:dyDescent="0.2">
      <c r="A1180" s="44"/>
      <c r="B1180" s="44"/>
      <c r="C1180" s="44"/>
      <c r="D1180" s="44"/>
      <c r="E1180" s="44"/>
      <c r="F1180" s="44"/>
    </row>
    <row r="1181" spans="1:6" x14ac:dyDescent="0.2">
      <c r="A1181" s="44"/>
      <c r="B1181" s="44"/>
      <c r="C1181" s="44"/>
      <c r="D1181" s="44"/>
      <c r="E1181" s="44"/>
      <c r="F1181" s="44"/>
    </row>
    <row r="1182" spans="1:6" x14ac:dyDescent="0.2">
      <c r="A1182" s="44"/>
      <c r="B1182" s="44"/>
      <c r="C1182" s="44"/>
      <c r="D1182" s="44"/>
      <c r="E1182" s="44"/>
      <c r="F1182" s="44"/>
    </row>
    <row r="1183" spans="1:6" x14ac:dyDescent="0.2">
      <c r="A1183" s="44"/>
      <c r="B1183" s="44"/>
      <c r="C1183" s="44"/>
      <c r="D1183" s="44"/>
      <c r="E1183" s="44"/>
      <c r="F1183" s="44"/>
    </row>
    <row r="1184" spans="1:6" x14ac:dyDescent="0.2">
      <c r="A1184" s="44"/>
      <c r="B1184" s="44"/>
      <c r="C1184" s="44"/>
      <c r="D1184" s="44"/>
      <c r="E1184" s="44"/>
      <c r="F1184" s="44"/>
    </row>
    <row r="1185" spans="1:6" x14ac:dyDescent="0.2">
      <c r="A1185" s="44"/>
      <c r="B1185" s="44"/>
      <c r="C1185" s="44"/>
      <c r="D1185" s="44"/>
      <c r="E1185" s="44"/>
      <c r="F1185" s="44"/>
    </row>
    <row r="1186" spans="1:6" x14ac:dyDescent="0.2">
      <c r="A1186" s="44"/>
      <c r="B1186" s="44"/>
      <c r="C1186" s="44"/>
      <c r="D1186" s="44"/>
      <c r="E1186" s="44"/>
      <c r="F1186" s="44"/>
    </row>
    <row r="1187" spans="1:6" x14ac:dyDescent="0.2">
      <c r="A1187" s="44"/>
      <c r="B1187" s="44"/>
      <c r="C1187" s="44"/>
      <c r="D1187" s="44"/>
      <c r="E1187" s="44"/>
      <c r="F1187" s="44"/>
    </row>
    <row r="1188" spans="1:6" x14ac:dyDescent="0.2">
      <c r="A1188" s="44"/>
      <c r="B1188" s="44"/>
      <c r="C1188" s="44"/>
      <c r="D1188" s="44"/>
      <c r="E1188" s="44"/>
      <c r="F1188" s="44"/>
    </row>
    <row r="1189" spans="1:6" x14ac:dyDescent="0.2">
      <c r="A1189" s="44"/>
      <c r="B1189" s="44"/>
      <c r="C1189" s="44"/>
      <c r="D1189" s="44"/>
      <c r="E1189" s="44"/>
      <c r="F1189" s="44"/>
    </row>
    <row r="1190" spans="1:6" x14ac:dyDescent="0.2">
      <c r="A1190" s="44"/>
      <c r="B1190" s="44"/>
      <c r="C1190" s="44"/>
      <c r="D1190" s="44"/>
      <c r="E1190" s="44"/>
      <c r="F1190" s="44"/>
    </row>
    <row r="1191" spans="1:6" x14ac:dyDescent="0.2">
      <c r="A1191" s="44"/>
      <c r="B1191" s="44"/>
      <c r="C1191" s="44"/>
      <c r="D1191" s="44"/>
      <c r="E1191" s="44"/>
      <c r="F1191" s="44"/>
    </row>
    <row r="1192" spans="1:6" x14ac:dyDescent="0.2">
      <c r="A1192" s="44"/>
      <c r="B1192" s="44"/>
      <c r="C1192" s="44"/>
      <c r="D1192" s="44"/>
      <c r="E1192" s="44"/>
      <c r="F1192" s="44"/>
    </row>
    <row r="1193" spans="1:6" x14ac:dyDescent="0.2">
      <c r="A1193" s="44"/>
      <c r="B1193" s="44"/>
      <c r="C1193" s="44"/>
      <c r="D1193" s="44"/>
      <c r="E1193" s="44"/>
      <c r="F1193" s="44"/>
    </row>
    <row r="1194" spans="1:6" x14ac:dyDescent="0.2">
      <c r="A1194" s="44"/>
      <c r="B1194" s="44"/>
      <c r="C1194" s="44"/>
      <c r="D1194" s="44"/>
      <c r="E1194" s="44"/>
      <c r="F1194" s="44"/>
    </row>
    <row r="1195" spans="1:6" x14ac:dyDescent="0.2">
      <c r="A1195" s="44"/>
      <c r="B1195" s="44"/>
      <c r="C1195" s="44"/>
      <c r="D1195" s="44"/>
      <c r="E1195" s="44"/>
      <c r="F1195" s="44"/>
    </row>
    <row r="1196" spans="1:6" x14ac:dyDescent="0.2">
      <c r="A1196" s="44"/>
      <c r="B1196" s="44"/>
      <c r="C1196" s="44"/>
      <c r="D1196" s="44"/>
      <c r="E1196" s="44"/>
      <c r="F1196" s="44"/>
    </row>
    <row r="1197" spans="1:6" x14ac:dyDescent="0.2">
      <c r="A1197" s="44"/>
      <c r="B1197" s="44"/>
      <c r="C1197" s="44"/>
      <c r="D1197" s="44"/>
      <c r="E1197" s="44"/>
      <c r="F1197" s="44"/>
    </row>
    <row r="1198" spans="1:6" x14ac:dyDescent="0.2">
      <c r="A1198" s="44"/>
      <c r="B1198" s="44"/>
      <c r="C1198" s="44"/>
      <c r="D1198" s="44"/>
      <c r="E1198" s="44"/>
      <c r="F1198" s="44"/>
    </row>
    <row r="1199" spans="1:6" x14ac:dyDescent="0.2">
      <c r="A1199" s="44"/>
      <c r="B1199" s="44"/>
      <c r="C1199" s="44"/>
      <c r="D1199" s="44"/>
      <c r="E1199" s="44"/>
      <c r="F1199" s="44"/>
    </row>
    <row r="1200" spans="1:6" x14ac:dyDescent="0.2">
      <c r="A1200" s="44"/>
      <c r="B1200" s="44"/>
      <c r="C1200" s="44"/>
      <c r="D1200" s="44"/>
      <c r="E1200" s="44"/>
      <c r="F1200" s="44"/>
    </row>
    <row r="1201" spans="1:6" x14ac:dyDescent="0.2">
      <c r="A1201" s="44"/>
      <c r="B1201" s="44"/>
      <c r="C1201" s="44"/>
      <c r="D1201" s="44"/>
      <c r="E1201" s="44"/>
      <c r="F1201" s="44"/>
    </row>
    <row r="1202" spans="1:6" x14ac:dyDescent="0.2">
      <c r="A1202" s="44"/>
      <c r="B1202" s="44"/>
      <c r="C1202" s="44"/>
      <c r="D1202" s="44"/>
      <c r="E1202" s="44"/>
      <c r="F1202" s="44"/>
    </row>
    <row r="1203" spans="1:6" x14ac:dyDescent="0.2">
      <c r="A1203" s="44"/>
      <c r="B1203" s="44"/>
      <c r="C1203" s="44"/>
      <c r="D1203" s="44"/>
      <c r="E1203" s="44"/>
      <c r="F1203" s="44"/>
    </row>
    <row r="1204" spans="1:6" x14ac:dyDescent="0.2">
      <c r="A1204" s="44"/>
      <c r="B1204" s="44"/>
      <c r="C1204" s="44"/>
      <c r="D1204" s="44"/>
      <c r="E1204" s="44"/>
      <c r="F1204" s="44"/>
    </row>
    <row r="1205" spans="1:6" x14ac:dyDescent="0.2">
      <c r="A1205" s="44"/>
      <c r="B1205" s="44"/>
      <c r="C1205" s="44"/>
      <c r="D1205" s="44"/>
      <c r="E1205" s="44"/>
      <c r="F1205" s="44"/>
    </row>
    <row r="1206" spans="1:6" x14ac:dyDescent="0.2">
      <c r="A1206" s="44"/>
      <c r="B1206" s="44"/>
      <c r="C1206" s="44"/>
      <c r="D1206" s="44"/>
      <c r="E1206" s="44"/>
      <c r="F1206" s="44"/>
    </row>
    <row r="1207" spans="1:6" x14ac:dyDescent="0.2">
      <c r="A1207" s="44"/>
      <c r="B1207" s="44"/>
      <c r="C1207" s="44"/>
      <c r="D1207" s="44"/>
      <c r="E1207" s="44"/>
      <c r="F1207" s="44"/>
    </row>
    <row r="1208" spans="1:6" x14ac:dyDescent="0.2">
      <c r="A1208" s="44"/>
      <c r="B1208" s="44"/>
      <c r="C1208" s="44"/>
      <c r="D1208" s="44"/>
      <c r="E1208" s="44"/>
      <c r="F1208" s="44"/>
    </row>
    <row r="1209" spans="1:6" x14ac:dyDescent="0.2">
      <c r="A1209" s="44"/>
      <c r="B1209" s="44"/>
      <c r="C1209" s="44"/>
      <c r="D1209" s="44"/>
      <c r="E1209" s="44"/>
      <c r="F1209" s="44"/>
    </row>
    <row r="1210" spans="1:6" x14ac:dyDescent="0.2">
      <c r="A1210" s="44"/>
      <c r="B1210" s="44"/>
      <c r="C1210" s="44"/>
      <c r="D1210" s="44"/>
      <c r="E1210" s="44"/>
      <c r="F1210" s="44"/>
    </row>
    <row r="1211" spans="1:6" x14ac:dyDescent="0.2">
      <c r="A1211" s="44"/>
      <c r="B1211" s="44"/>
      <c r="C1211" s="44"/>
      <c r="D1211" s="44"/>
      <c r="E1211" s="44"/>
      <c r="F1211" s="44"/>
    </row>
    <row r="1212" spans="1:6" x14ac:dyDescent="0.2">
      <c r="A1212" s="44"/>
      <c r="B1212" s="44"/>
      <c r="C1212" s="44"/>
      <c r="D1212" s="44"/>
      <c r="E1212" s="44"/>
      <c r="F1212" s="44"/>
    </row>
    <row r="1213" spans="1:6" x14ac:dyDescent="0.2">
      <c r="A1213" s="44"/>
      <c r="B1213" s="44"/>
      <c r="C1213" s="44"/>
      <c r="D1213" s="44"/>
      <c r="E1213" s="44"/>
      <c r="F1213" s="44"/>
    </row>
    <row r="1214" spans="1:6" x14ac:dyDescent="0.2">
      <c r="A1214" s="44"/>
      <c r="B1214" s="44"/>
      <c r="C1214" s="44"/>
      <c r="D1214" s="44"/>
      <c r="E1214" s="44"/>
      <c r="F1214" s="44"/>
    </row>
    <row r="1215" spans="1:6" x14ac:dyDescent="0.2">
      <c r="A1215" s="44"/>
      <c r="B1215" s="44"/>
      <c r="C1215" s="44"/>
      <c r="D1215" s="44"/>
      <c r="E1215" s="44"/>
      <c r="F1215" s="44"/>
    </row>
    <row r="1216" spans="1:6" x14ac:dyDescent="0.2">
      <c r="A1216" s="44"/>
      <c r="B1216" s="44"/>
      <c r="C1216" s="44"/>
      <c r="D1216" s="44"/>
      <c r="E1216" s="44"/>
      <c r="F1216" s="44"/>
    </row>
    <row r="1217" spans="1:6" x14ac:dyDescent="0.2">
      <c r="A1217" s="44"/>
      <c r="B1217" s="44"/>
      <c r="C1217" s="44"/>
      <c r="D1217" s="44"/>
      <c r="E1217" s="44"/>
      <c r="F1217" s="44"/>
    </row>
    <row r="1218" spans="1:6" x14ac:dyDescent="0.2">
      <c r="A1218" s="44"/>
      <c r="B1218" s="44"/>
      <c r="C1218" s="44"/>
      <c r="D1218" s="44"/>
      <c r="E1218" s="44"/>
      <c r="F1218" s="44"/>
    </row>
    <row r="1219" spans="1:6" x14ac:dyDescent="0.2">
      <c r="A1219" s="44"/>
      <c r="B1219" s="44"/>
      <c r="C1219" s="44"/>
      <c r="D1219" s="44"/>
      <c r="E1219" s="44"/>
      <c r="F1219" s="44"/>
    </row>
    <row r="1220" spans="1:6" x14ac:dyDescent="0.2">
      <c r="A1220" s="44"/>
      <c r="B1220" s="44"/>
      <c r="C1220" s="44"/>
      <c r="D1220" s="44"/>
      <c r="E1220" s="44"/>
      <c r="F1220" s="44"/>
    </row>
    <row r="1221" spans="1:6" x14ac:dyDescent="0.2">
      <c r="A1221" s="44"/>
      <c r="B1221" s="44"/>
      <c r="C1221" s="44"/>
      <c r="D1221" s="44"/>
      <c r="E1221" s="44"/>
      <c r="F1221" s="44"/>
    </row>
    <row r="1222" spans="1:6" x14ac:dyDescent="0.2">
      <c r="A1222" s="44"/>
      <c r="B1222" s="44"/>
      <c r="C1222" s="44"/>
      <c r="D1222" s="44"/>
      <c r="E1222" s="44"/>
      <c r="F1222" s="44"/>
    </row>
    <row r="1223" spans="1:6" x14ac:dyDescent="0.2">
      <c r="A1223" s="44"/>
      <c r="B1223" s="44"/>
      <c r="C1223" s="44"/>
      <c r="D1223" s="44"/>
      <c r="E1223" s="44"/>
      <c r="F1223" s="44"/>
    </row>
    <row r="1224" spans="1:6" x14ac:dyDescent="0.2">
      <c r="A1224" s="44"/>
      <c r="B1224" s="44"/>
      <c r="C1224" s="44"/>
      <c r="D1224" s="44"/>
      <c r="E1224" s="44"/>
      <c r="F1224" s="44"/>
    </row>
    <row r="1225" spans="1:6" x14ac:dyDescent="0.2">
      <c r="A1225" s="44"/>
      <c r="B1225" s="44"/>
      <c r="C1225" s="44"/>
      <c r="D1225" s="44"/>
      <c r="E1225" s="44"/>
      <c r="F1225" s="44"/>
    </row>
    <row r="1226" spans="1:6" x14ac:dyDescent="0.2">
      <c r="A1226" s="44"/>
      <c r="B1226" s="44"/>
      <c r="C1226" s="44"/>
      <c r="D1226" s="44"/>
      <c r="E1226" s="44"/>
      <c r="F1226" s="44"/>
    </row>
    <row r="1227" spans="1:6" x14ac:dyDescent="0.2">
      <c r="A1227" s="44"/>
      <c r="B1227" s="44"/>
      <c r="C1227" s="44"/>
      <c r="D1227" s="44"/>
      <c r="E1227" s="44"/>
      <c r="F1227" s="44"/>
    </row>
    <row r="1228" spans="1:6" x14ac:dyDescent="0.2">
      <c r="A1228" s="44"/>
      <c r="B1228" s="44"/>
      <c r="C1228" s="44"/>
      <c r="D1228" s="44"/>
      <c r="E1228" s="44"/>
      <c r="F1228" s="44"/>
    </row>
    <row r="1229" spans="1:6" x14ac:dyDescent="0.2">
      <c r="A1229" s="44"/>
      <c r="B1229" s="44"/>
      <c r="C1229" s="44"/>
      <c r="D1229" s="44"/>
      <c r="E1229" s="44"/>
      <c r="F1229" s="44"/>
    </row>
    <row r="1230" spans="1:6" x14ac:dyDescent="0.2">
      <c r="A1230" s="44"/>
      <c r="B1230" s="44"/>
      <c r="C1230" s="44"/>
      <c r="D1230" s="44"/>
      <c r="E1230" s="44"/>
      <c r="F1230" s="44"/>
    </row>
    <row r="1231" spans="1:6" x14ac:dyDescent="0.2">
      <c r="A1231" s="44"/>
      <c r="B1231" s="44"/>
      <c r="C1231" s="44"/>
      <c r="D1231" s="44"/>
      <c r="E1231" s="44"/>
      <c r="F1231" s="44"/>
    </row>
    <row r="1232" spans="1:6" x14ac:dyDescent="0.2">
      <c r="A1232" s="44"/>
      <c r="B1232" s="44"/>
      <c r="C1232" s="44"/>
      <c r="D1232" s="44"/>
      <c r="E1232" s="44"/>
      <c r="F1232" s="44"/>
    </row>
    <row r="1233" spans="1:6" x14ac:dyDescent="0.2">
      <c r="A1233" s="44"/>
      <c r="B1233" s="44"/>
      <c r="C1233" s="44"/>
      <c r="D1233" s="44"/>
      <c r="E1233" s="44"/>
      <c r="F1233" s="44"/>
    </row>
    <row r="1234" spans="1:6" x14ac:dyDescent="0.2">
      <c r="A1234" s="44"/>
      <c r="B1234" s="44"/>
      <c r="C1234" s="44"/>
      <c r="D1234" s="44"/>
      <c r="E1234" s="44"/>
      <c r="F1234" s="44"/>
    </row>
    <row r="1235" spans="1:6" x14ac:dyDescent="0.2">
      <c r="A1235" s="44"/>
      <c r="B1235" s="44"/>
      <c r="C1235" s="44"/>
      <c r="D1235" s="44"/>
      <c r="E1235" s="44"/>
      <c r="F1235" s="44"/>
    </row>
    <row r="1236" spans="1:6" x14ac:dyDescent="0.2">
      <c r="A1236" s="44"/>
      <c r="B1236" s="44"/>
      <c r="C1236" s="44"/>
      <c r="D1236" s="44"/>
      <c r="E1236" s="44"/>
      <c r="F1236" s="44"/>
    </row>
    <row r="1237" spans="1:6" x14ac:dyDescent="0.2">
      <c r="A1237" s="44"/>
      <c r="B1237" s="44"/>
      <c r="C1237" s="44"/>
      <c r="D1237" s="44"/>
      <c r="E1237" s="44"/>
      <c r="F1237" s="44"/>
    </row>
    <row r="1238" spans="1:6" x14ac:dyDescent="0.2">
      <c r="A1238" s="44"/>
      <c r="B1238" s="44"/>
      <c r="C1238" s="44"/>
      <c r="D1238" s="44"/>
      <c r="E1238" s="44"/>
      <c r="F1238" s="44"/>
    </row>
    <row r="1239" spans="1:6" x14ac:dyDescent="0.2">
      <c r="A1239" s="44"/>
      <c r="B1239" s="44"/>
      <c r="C1239" s="44"/>
      <c r="D1239" s="44"/>
      <c r="E1239" s="44"/>
      <c r="F1239" s="44"/>
    </row>
    <row r="1240" spans="1:6" x14ac:dyDescent="0.2">
      <c r="A1240" s="44"/>
      <c r="B1240" s="44"/>
      <c r="C1240" s="44"/>
      <c r="D1240" s="44"/>
      <c r="E1240" s="44"/>
      <c r="F1240" s="44"/>
    </row>
    <row r="1241" spans="1:6" x14ac:dyDescent="0.2">
      <c r="A1241" s="44"/>
      <c r="B1241" s="44"/>
      <c r="C1241" s="44"/>
      <c r="D1241" s="44"/>
      <c r="E1241" s="44"/>
      <c r="F1241" s="44"/>
    </row>
    <row r="1242" spans="1:6" x14ac:dyDescent="0.2">
      <c r="A1242" s="44"/>
      <c r="B1242" s="44"/>
      <c r="C1242" s="44"/>
      <c r="D1242" s="44"/>
      <c r="E1242" s="44"/>
      <c r="F1242" s="44"/>
    </row>
    <row r="1243" spans="1:6" x14ac:dyDescent="0.2">
      <c r="A1243" s="44"/>
      <c r="B1243" s="44"/>
      <c r="C1243" s="44"/>
      <c r="D1243" s="44"/>
      <c r="E1243" s="44"/>
      <c r="F1243" s="44"/>
    </row>
    <row r="1244" spans="1:6" x14ac:dyDescent="0.2">
      <c r="A1244" s="44"/>
      <c r="B1244" s="44"/>
      <c r="C1244" s="44"/>
      <c r="D1244" s="44"/>
      <c r="E1244" s="44"/>
      <c r="F1244" s="44"/>
    </row>
    <row r="1245" spans="1:6" x14ac:dyDescent="0.2">
      <c r="A1245" s="44"/>
      <c r="B1245" s="44"/>
      <c r="C1245" s="44"/>
      <c r="D1245" s="44"/>
      <c r="E1245" s="44"/>
      <c r="F1245" s="44"/>
    </row>
    <row r="1246" spans="1:6" x14ac:dyDescent="0.2">
      <c r="A1246" s="44"/>
      <c r="B1246" s="44"/>
      <c r="C1246" s="44"/>
      <c r="D1246" s="44"/>
      <c r="E1246" s="44"/>
      <c r="F1246" s="44"/>
    </row>
    <row r="1247" spans="1:6" x14ac:dyDescent="0.2">
      <c r="A1247" s="44"/>
      <c r="B1247" s="44"/>
      <c r="C1247" s="44"/>
      <c r="D1247" s="44"/>
      <c r="E1247" s="44"/>
      <c r="F1247" s="44"/>
    </row>
    <row r="1248" spans="1:6" x14ac:dyDescent="0.2">
      <c r="A1248" s="44"/>
      <c r="B1248" s="44"/>
      <c r="C1248" s="44"/>
      <c r="D1248" s="44"/>
      <c r="E1248" s="44"/>
      <c r="F1248" s="44"/>
    </row>
    <row r="1249" spans="1:6" x14ac:dyDescent="0.2">
      <c r="A1249" s="44"/>
      <c r="B1249" s="44"/>
      <c r="C1249" s="44"/>
      <c r="D1249" s="44"/>
      <c r="E1249" s="44"/>
      <c r="F1249" s="44"/>
    </row>
    <row r="1250" spans="1:6" x14ac:dyDescent="0.2">
      <c r="A1250" s="44"/>
      <c r="B1250" s="44"/>
      <c r="C1250" s="44"/>
      <c r="D1250" s="44"/>
      <c r="E1250" s="44"/>
      <c r="F1250" s="44"/>
    </row>
    <row r="1251" spans="1:6" x14ac:dyDescent="0.2">
      <c r="A1251" s="44"/>
      <c r="B1251" s="44"/>
      <c r="C1251" s="44"/>
      <c r="D1251" s="44"/>
      <c r="E1251" s="44"/>
      <c r="F1251" s="44"/>
    </row>
    <row r="1252" spans="1:6" x14ac:dyDescent="0.2">
      <c r="A1252" s="44"/>
      <c r="B1252" s="44"/>
      <c r="C1252" s="44"/>
      <c r="D1252" s="44"/>
      <c r="E1252" s="44"/>
      <c r="F1252" s="44"/>
    </row>
    <row r="1253" spans="1:6" x14ac:dyDescent="0.2">
      <c r="A1253" s="44"/>
      <c r="B1253" s="44"/>
      <c r="C1253" s="44"/>
      <c r="D1253" s="44"/>
      <c r="E1253" s="44"/>
      <c r="F1253" s="44"/>
    </row>
    <row r="1254" spans="1:6" x14ac:dyDescent="0.2">
      <c r="A1254" s="44"/>
      <c r="B1254" s="44"/>
      <c r="C1254" s="44"/>
      <c r="D1254" s="44"/>
      <c r="E1254" s="44"/>
      <c r="F1254" s="44"/>
    </row>
    <row r="1255" spans="1:6" x14ac:dyDescent="0.2">
      <c r="A1255" s="44"/>
      <c r="B1255" s="44"/>
      <c r="C1255" s="44"/>
      <c r="D1255" s="44"/>
      <c r="E1255" s="44"/>
      <c r="F1255" s="44"/>
    </row>
    <row r="1256" spans="1:6" x14ac:dyDescent="0.2">
      <c r="A1256" s="44"/>
      <c r="B1256" s="44"/>
      <c r="C1256" s="44"/>
      <c r="D1256" s="44"/>
      <c r="E1256" s="44"/>
      <c r="F1256" s="44"/>
    </row>
    <row r="1257" spans="1:6" x14ac:dyDescent="0.2">
      <c r="A1257" s="44"/>
      <c r="B1257" s="44"/>
      <c r="C1257" s="44"/>
      <c r="D1257" s="44"/>
      <c r="E1257" s="44"/>
      <c r="F1257" s="44"/>
    </row>
    <row r="1258" spans="1:6" x14ac:dyDescent="0.2">
      <c r="A1258" s="44"/>
      <c r="B1258" s="44"/>
      <c r="C1258" s="44"/>
      <c r="D1258" s="44"/>
      <c r="E1258" s="44"/>
      <c r="F1258" s="44"/>
    </row>
    <row r="1259" spans="1:6" x14ac:dyDescent="0.2">
      <c r="A1259" s="44"/>
      <c r="B1259" s="44"/>
      <c r="C1259" s="44"/>
      <c r="D1259" s="44"/>
      <c r="E1259" s="44"/>
      <c r="F1259" s="44"/>
    </row>
    <row r="1260" spans="1:6" x14ac:dyDescent="0.2">
      <c r="A1260" s="44"/>
      <c r="B1260" s="44"/>
      <c r="C1260" s="44"/>
      <c r="D1260" s="44"/>
      <c r="E1260" s="44"/>
      <c r="F1260" s="44"/>
    </row>
    <row r="1261" spans="1:6" x14ac:dyDescent="0.2">
      <c r="A1261" s="44"/>
      <c r="B1261" s="44"/>
      <c r="C1261" s="44"/>
      <c r="D1261" s="44"/>
      <c r="E1261" s="44"/>
      <c r="F1261" s="44"/>
    </row>
    <row r="1262" spans="1:6" x14ac:dyDescent="0.2">
      <c r="A1262" s="44"/>
      <c r="B1262" s="44"/>
      <c r="C1262" s="44"/>
      <c r="D1262" s="44"/>
      <c r="E1262" s="44"/>
      <c r="F1262" s="44"/>
    </row>
    <row r="1263" spans="1:6" x14ac:dyDescent="0.2">
      <c r="A1263" s="44"/>
      <c r="B1263" s="44"/>
      <c r="C1263" s="44"/>
      <c r="D1263" s="44"/>
      <c r="E1263" s="44"/>
      <c r="F1263" s="44"/>
    </row>
    <row r="1264" spans="1:6" x14ac:dyDescent="0.2">
      <c r="A1264" s="44"/>
      <c r="B1264" s="44"/>
      <c r="C1264" s="44"/>
      <c r="D1264" s="44"/>
      <c r="E1264" s="44"/>
      <c r="F1264" s="44"/>
    </row>
    <row r="1265" spans="1:6" x14ac:dyDescent="0.2">
      <c r="A1265" s="44"/>
      <c r="B1265" s="44"/>
      <c r="C1265" s="44"/>
      <c r="D1265" s="44"/>
      <c r="E1265" s="44"/>
      <c r="F1265" s="44"/>
    </row>
    <row r="1266" spans="1:6" x14ac:dyDescent="0.2">
      <c r="A1266" s="44"/>
      <c r="B1266" s="44"/>
      <c r="C1266" s="44"/>
      <c r="D1266" s="44"/>
      <c r="E1266" s="44"/>
      <c r="F1266" s="44"/>
    </row>
    <row r="1267" spans="1:6" x14ac:dyDescent="0.2">
      <c r="A1267" s="44"/>
      <c r="B1267" s="44"/>
      <c r="C1267" s="44"/>
      <c r="D1267" s="44"/>
      <c r="E1267" s="44"/>
      <c r="F1267" s="44"/>
    </row>
    <row r="1268" spans="1:6" x14ac:dyDescent="0.2">
      <c r="A1268" s="44"/>
      <c r="B1268" s="44"/>
      <c r="C1268" s="44"/>
      <c r="D1268" s="44"/>
      <c r="E1268" s="44"/>
      <c r="F1268" s="44"/>
    </row>
    <row r="1269" spans="1:6" x14ac:dyDescent="0.2">
      <c r="A1269" s="44"/>
      <c r="B1269" s="44"/>
      <c r="C1269" s="44"/>
      <c r="D1269" s="44"/>
      <c r="E1269" s="44"/>
      <c r="F1269" s="44"/>
    </row>
    <row r="1270" spans="1:6" x14ac:dyDescent="0.2">
      <c r="A1270" s="44"/>
      <c r="B1270" s="44"/>
      <c r="C1270" s="44"/>
      <c r="D1270" s="44"/>
      <c r="E1270" s="44"/>
      <c r="F1270" s="44"/>
    </row>
    <row r="1271" spans="1:6" x14ac:dyDescent="0.2">
      <c r="A1271" s="44"/>
      <c r="B1271" s="44"/>
      <c r="C1271" s="44"/>
      <c r="D1271" s="44"/>
      <c r="E1271" s="44"/>
      <c r="F1271" s="44"/>
    </row>
    <row r="1272" spans="1:6" x14ac:dyDescent="0.2">
      <c r="A1272" s="44"/>
      <c r="B1272" s="44"/>
      <c r="C1272" s="44"/>
      <c r="D1272" s="44"/>
      <c r="E1272" s="44"/>
      <c r="F1272" s="44"/>
    </row>
    <row r="1273" spans="1:6" x14ac:dyDescent="0.2">
      <c r="A1273" s="44"/>
      <c r="B1273" s="44"/>
      <c r="C1273" s="44"/>
      <c r="D1273" s="44"/>
      <c r="E1273" s="44"/>
      <c r="F1273" s="44"/>
    </row>
    <row r="1274" spans="1:6" x14ac:dyDescent="0.2">
      <c r="A1274" s="44"/>
      <c r="B1274" s="44"/>
      <c r="C1274" s="44"/>
      <c r="D1274" s="44"/>
      <c r="E1274" s="44"/>
      <c r="F1274" s="44"/>
    </row>
    <row r="1275" spans="1:6" x14ac:dyDescent="0.2">
      <c r="A1275" s="44"/>
      <c r="B1275" s="44"/>
      <c r="C1275" s="44"/>
      <c r="D1275" s="44"/>
      <c r="E1275" s="44"/>
      <c r="F1275" s="44"/>
    </row>
    <row r="1276" spans="1:6" x14ac:dyDescent="0.2">
      <c r="A1276" s="44"/>
      <c r="B1276" s="44"/>
      <c r="C1276" s="44"/>
      <c r="D1276" s="44"/>
      <c r="E1276" s="44"/>
      <c r="F1276" s="44"/>
    </row>
    <row r="1277" spans="1:6" x14ac:dyDescent="0.2">
      <c r="A1277" s="44"/>
      <c r="B1277" s="44"/>
      <c r="C1277" s="44"/>
      <c r="D1277" s="44"/>
      <c r="E1277" s="44"/>
      <c r="F1277" s="44"/>
    </row>
    <row r="1278" spans="1:6" x14ac:dyDescent="0.2">
      <c r="A1278" s="44"/>
      <c r="B1278" s="44"/>
      <c r="C1278" s="44"/>
      <c r="D1278" s="44"/>
      <c r="E1278" s="44"/>
      <c r="F1278" s="44"/>
    </row>
    <row r="1279" spans="1:6" x14ac:dyDescent="0.2">
      <c r="A1279" s="44"/>
      <c r="B1279" s="44"/>
      <c r="C1279" s="44"/>
      <c r="D1279" s="44"/>
      <c r="E1279" s="44"/>
      <c r="F1279" s="44"/>
    </row>
    <row r="1280" spans="1:6" x14ac:dyDescent="0.2">
      <c r="A1280" s="44"/>
      <c r="B1280" s="44"/>
      <c r="C1280" s="44"/>
      <c r="D1280" s="44"/>
      <c r="E1280" s="44"/>
      <c r="F1280" s="44"/>
    </row>
    <row r="1281" spans="1:6" x14ac:dyDescent="0.2">
      <c r="A1281" s="44"/>
      <c r="B1281" s="44"/>
      <c r="C1281" s="44"/>
      <c r="D1281" s="44"/>
      <c r="E1281" s="44"/>
      <c r="F1281" s="44"/>
    </row>
    <row r="1282" spans="1:6" x14ac:dyDescent="0.2">
      <c r="A1282" s="44"/>
      <c r="B1282" s="44"/>
      <c r="C1282" s="44"/>
      <c r="D1282" s="44"/>
      <c r="E1282" s="44"/>
      <c r="F1282" s="44"/>
    </row>
    <row r="1283" spans="1:6" x14ac:dyDescent="0.2">
      <c r="A1283" s="44"/>
      <c r="B1283" s="44"/>
      <c r="C1283" s="44"/>
      <c r="D1283" s="44"/>
      <c r="E1283" s="44"/>
      <c r="F1283" s="44"/>
    </row>
    <row r="1284" spans="1:6" x14ac:dyDescent="0.2">
      <c r="A1284" s="44"/>
      <c r="B1284" s="44"/>
      <c r="C1284" s="44"/>
      <c r="D1284" s="44"/>
      <c r="E1284" s="44"/>
      <c r="F1284" s="44"/>
    </row>
    <row r="1285" spans="1:6" x14ac:dyDescent="0.2">
      <c r="A1285" s="44"/>
      <c r="B1285" s="44"/>
      <c r="C1285" s="44"/>
      <c r="D1285" s="44"/>
      <c r="E1285" s="44"/>
      <c r="F1285" s="44"/>
    </row>
    <row r="1286" spans="1:6" x14ac:dyDescent="0.2">
      <c r="A1286" s="44"/>
      <c r="B1286" s="44"/>
      <c r="C1286" s="44"/>
      <c r="D1286" s="44"/>
      <c r="E1286" s="44"/>
      <c r="F1286" s="44"/>
    </row>
    <row r="1287" spans="1:6" x14ac:dyDescent="0.2">
      <c r="A1287" s="44"/>
      <c r="B1287" s="44"/>
      <c r="C1287" s="44"/>
      <c r="D1287" s="44"/>
      <c r="E1287" s="44"/>
      <c r="F1287" s="44"/>
    </row>
    <row r="1288" spans="1:6" x14ac:dyDescent="0.2">
      <c r="A1288" s="44"/>
      <c r="B1288" s="44"/>
      <c r="C1288" s="44"/>
      <c r="D1288" s="44"/>
      <c r="E1288" s="44"/>
      <c r="F1288" s="44"/>
    </row>
    <row r="1289" spans="1:6" x14ac:dyDescent="0.2">
      <c r="A1289" s="44"/>
      <c r="B1289" s="44"/>
      <c r="C1289" s="44"/>
      <c r="D1289" s="44"/>
      <c r="E1289" s="44"/>
      <c r="F1289" s="44"/>
    </row>
    <row r="1290" spans="1:6" x14ac:dyDescent="0.2">
      <c r="A1290" s="44"/>
      <c r="B1290" s="44"/>
      <c r="C1290" s="44"/>
      <c r="D1290" s="44"/>
      <c r="E1290" s="44"/>
      <c r="F1290" s="44"/>
    </row>
    <row r="1291" spans="1:6" x14ac:dyDescent="0.2">
      <c r="A1291" s="44"/>
      <c r="B1291" s="44"/>
      <c r="C1291" s="44"/>
      <c r="D1291" s="44"/>
      <c r="E1291" s="44"/>
      <c r="F1291" s="44"/>
    </row>
    <row r="1292" spans="1:6" x14ac:dyDescent="0.2">
      <c r="A1292" s="44"/>
      <c r="B1292" s="44"/>
      <c r="C1292" s="44"/>
      <c r="D1292" s="44"/>
      <c r="E1292" s="44"/>
      <c r="F1292" s="44"/>
    </row>
    <row r="1293" spans="1:6" x14ac:dyDescent="0.2">
      <c r="A1293" s="44"/>
      <c r="B1293" s="44"/>
      <c r="C1293" s="44"/>
      <c r="D1293" s="44"/>
      <c r="E1293" s="44"/>
      <c r="F1293" s="44"/>
    </row>
    <row r="1294" spans="1:6" x14ac:dyDescent="0.2">
      <c r="A1294" s="44"/>
      <c r="B1294" s="44"/>
      <c r="C1294" s="44"/>
      <c r="D1294" s="44"/>
      <c r="E1294" s="44"/>
      <c r="F1294" s="44"/>
    </row>
    <row r="1295" spans="1:6" x14ac:dyDescent="0.2">
      <c r="A1295" s="44"/>
      <c r="B1295" s="44"/>
      <c r="C1295" s="44"/>
      <c r="D1295" s="44"/>
      <c r="E1295" s="44"/>
      <c r="F1295" s="44"/>
    </row>
    <row r="1296" spans="1:6" x14ac:dyDescent="0.2">
      <c r="A1296" s="44"/>
      <c r="B1296" s="44"/>
      <c r="C1296" s="44"/>
      <c r="D1296" s="44"/>
      <c r="E1296" s="44"/>
      <c r="F1296" s="44"/>
    </row>
    <row r="1297" spans="1:6" x14ac:dyDescent="0.2">
      <c r="A1297" s="44"/>
      <c r="B1297" s="44"/>
      <c r="C1297" s="44"/>
      <c r="D1297" s="44"/>
      <c r="E1297" s="44"/>
      <c r="F1297" s="44"/>
    </row>
    <row r="1298" spans="1:6" x14ac:dyDescent="0.2">
      <c r="A1298" s="44"/>
      <c r="B1298" s="44"/>
      <c r="C1298" s="44"/>
      <c r="D1298" s="44"/>
      <c r="E1298" s="44"/>
      <c r="F1298" s="44"/>
    </row>
    <row r="1299" spans="1:6" x14ac:dyDescent="0.2">
      <c r="A1299" s="44"/>
      <c r="B1299" s="44"/>
      <c r="C1299" s="44"/>
      <c r="D1299" s="44"/>
      <c r="E1299" s="44"/>
      <c r="F1299" s="44"/>
    </row>
    <row r="1300" spans="1:6" x14ac:dyDescent="0.2">
      <c r="A1300" s="44"/>
      <c r="B1300" s="44"/>
      <c r="C1300" s="44"/>
      <c r="D1300" s="44"/>
      <c r="E1300" s="44"/>
      <c r="F1300" s="44"/>
    </row>
    <row r="1301" spans="1:6" x14ac:dyDescent="0.2">
      <c r="A1301" s="44"/>
      <c r="B1301" s="44"/>
      <c r="C1301" s="44"/>
      <c r="D1301" s="44"/>
      <c r="E1301" s="44"/>
      <c r="F1301" s="44"/>
    </row>
    <row r="1302" spans="1:6" x14ac:dyDescent="0.2">
      <c r="A1302" s="44"/>
      <c r="B1302" s="44"/>
      <c r="C1302" s="44"/>
      <c r="D1302" s="44"/>
      <c r="E1302" s="44"/>
      <c r="F1302" s="44"/>
    </row>
    <row r="1303" spans="1:6" x14ac:dyDescent="0.2">
      <c r="A1303" s="44"/>
      <c r="B1303" s="44"/>
      <c r="C1303" s="44"/>
      <c r="D1303" s="44"/>
      <c r="E1303" s="44"/>
      <c r="F1303" s="44"/>
    </row>
    <row r="1304" spans="1:6" x14ac:dyDescent="0.2">
      <c r="A1304" s="44"/>
      <c r="B1304" s="44"/>
      <c r="C1304" s="44"/>
      <c r="D1304" s="44"/>
      <c r="E1304" s="44"/>
      <c r="F1304" s="44"/>
    </row>
    <row r="1305" spans="1:6" x14ac:dyDescent="0.2">
      <c r="A1305" s="44"/>
      <c r="B1305" s="44"/>
      <c r="C1305" s="44"/>
      <c r="D1305" s="44"/>
      <c r="E1305" s="44"/>
      <c r="F1305" s="44"/>
    </row>
    <row r="1306" spans="1:6" x14ac:dyDescent="0.2">
      <c r="A1306" s="44"/>
      <c r="B1306" s="44"/>
      <c r="C1306" s="44"/>
      <c r="D1306" s="44"/>
      <c r="E1306" s="44"/>
      <c r="F1306" s="44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</vt:i4>
      </vt:variant>
    </vt:vector>
  </HeadingPairs>
  <TitlesOfParts>
    <vt:vector size="27" baseType="lpstr">
      <vt:lpstr>GAS DAILY</vt:lpstr>
      <vt:lpstr>Sheet5</vt:lpstr>
      <vt:lpstr>STRADDLES</vt:lpstr>
      <vt:lpstr>digital</vt:lpstr>
      <vt:lpstr>index est</vt:lpstr>
      <vt:lpstr>opt calc</vt:lpstr>
      <vt:lpstr>NEW SKEW TABLE</vt:lpstr>
      <vt:lpstr>pipes</vt:lpstr>
      <vt:lpstr>curves</vt:lpstr>
      <vt:lpstr>expiry</vt:lpstr>
      <vt:lpstr>aproct</vt:lpstr>
      <vt:lpstr>b</vt:lpstr>
      <vt:lpstr>CAL7VOL</vt:lpstr>
      <vt:lpstr>CAL8VOL</vt:lpstr>
      <vt:lpstr>CAL9VOL</vt:lpstr>
      <vt:lpstr>curvesettle</vt:lpstr>
      <vt:lpstr>datelook</vt:lpstr>
      <vt:lpstr>ExpDates</vt:lpstr>
      <vt:lpstr>expiration</vt:lpstr>
      <vt:lpstr>PARAMS</vt:lpstr>
      <vt:lpstr>pipes!Print_Area</vt:lpstr>
      <vt:lpstr>STRADDLES!Print_Area</vt:lpstr>
      <vt:lpstr>RATES</vt:lpstr>
      <vt:lpstr>STRADDLE</vt:lpstr>
      <vt:lpstr>summerstrip</vt:lpstr>
      <vt:lpstr>TSETTLE</vt:lpstr>
      <vt:lpstr>winterstrip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dc:description>- Oracle 8i ODBC QueryFix Applied</dc:description>
  <cp:lastModifiedBy>Havlíček Jan</cp:lastModifiedBy>
  <cp:lastPrinted>2001-06-22T15:12:17Z</cp:lastPrinted>
  <dcterms:created xsi:type="dcterms:W3CDTF">1999-08-13T14:02:41Z</dcterms:created>
  <dcterms:modified xsi:type="dcterms:W3CDTF">2023-09-10T15:14:55Z</dcterms:modified>
</cp:coreProperties>
</file>