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0" windowWidth="12120" windowHeight="9096" firstSheet="3" activeTab="3"/>
  </bookViews>
  <sheets>
    <sheet name="Sheet2" sheetId="1" state="hidden" r:id="rId1"/>
    <sheet name="NA Mquip" sheetId="2" state="hidden" r:id="rId2"/>
    <sheet name="EECC" sheetId="3" state="hidden" r:id="rId3"/>
    <sheet name="Summary" sheetId="4" r:id="rId4"/>
    <sheet name="ENA" sheetId="5" r:id="rId5"/>
    <sheet name="Doyle" sheetId="6" r:id="rId6"/>
    <sheet name="Turbine Detail" sheetId="7" r:id="rId7"/>
    <sheet name="IDC" sheetId="8" r:id="rId8"/>
    <sheet name="Invoice Detail" sheetId="9" r:id="rId9"/>
    <sheet name="WO_Recon" sheetId="10" r:id="rId10"/>
    <sheet name="Refurb Cost by Vendors" sheetId="11" r:id="rId11"/>
    <sheet name=" Refurb Cost by Month" sheetId="12" r:id="rId12"/>
    <sheet name="LEC Burners" sheetId="13" r:id="rId13"/>
    <sheet name="InvDetail_InceptiontoDate" sheetId="14" r:id="rId14"/>
    <sheet name="Draw Sche" sheetId="15" r:id="rId15"/>
    <sheet name="Non_WO_costs" sheetId="16" r:id="rId16"/>
    <sheet name="To Update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AGE7">[5]Tables!$M$211:$T$217</definedName>
    <definedName name="_AGP6">[5]Tables!$N$199:$T$204</definedName>
    <definedName name="BELL10">[5]Tables!$A$66:$K$75</definedName>
    <definedName name="BELL11">[5]Tables!$A$78:$L$88</definedName>
    <definedName name="BELL12">[5]Tables!$A$91:$M$102</definedName>
    <definedName name="BELL13">[5]Tables!$A$105:$N$117</definedName>
    <definedName name="BELL2">[5]Tables!$A$6:$C$7</definedName>
    <definedName name="BELL3">[5]Tables!$A$10:$D$12</definedName>
    <definedName name="BELL4">[5]Tables!$A$15:$E$18</definedName>
    <definedName name="BELL5">[5]Tables!$A$21:$F$25</definedName>
    <definedName name="_CRC5">[5]Tables!$U$176:$Z$180</definedName>
    <definedName name="_CTW6">[5]Tables!$I$7:$O$12</definedName>
    <definedName name="_FTT7">[5]Tables!$M$236:$T$242</definedName>
    <definedName name="_IMT6">[5]Tables!$M$223:$S$228</definedName>
    <definedName name="LINEAR1">[5]Tables!$R$3:$S$3</definedName>
    <definedName name="LINEAR13">[5]Tables!$R$105:$AE$117</definedName>
    <definedName name="LINEAR2">[5]Tables!$R$6:$T$7</definedName>
    <definedName name="LINEAR3">[5]Tables!$R$10:$U$12</definedName>
    <definedName name="LINEAR4">[5]Tables!$R$15:$V$18</definedName>
    <definedName name="_MEI7">[5]Tables!$A$227:$H$233</definedName>
    <definedName name="NVBELL4">[5]Tables!$I$15:$N$19</definedName>
    <definedName name="NVBELL6">[5]Tables!$J$28:$P$33</definedName>
    <definedName name="_xlnm.Print_Area" localSheetId="11">' Refurb Cost by Month'!$A$1:$E$322</definedName>
    <definedName name="_xlnm.Print_Area" localSheetId="5">Doyle!$A$1:$BL$36</definedName>
    <definedName name="_xlnm.Print_Area" localSheetId="14">'Draw Sche'!$A$1:$BK$288</definedName>
    <definedName name="_xlnm.Print_Area" localSheetId="4">ENA!$1:$287</definedName>
    <definedName name="_xlnm.Print_Area" localSheetId="13">InvDetail_InceptiontoDate!$A$1:$M$777</definedName>
    <definedName name="_xlnm.Print_Area" localSheetId="10">'Refurb Cost by Vendors'!$A$1:$F$257</definedName>
    <definedName name="_xlnm.Print_Area" localSheetId="3">Summary!$A$1:$Q$65</definedName>
    <definedName name="_xlnm.Print_Titles" localSheetId="5">Doyle!$A:$B,Doyle!$1:$7</definedName>
    <definedName name="_xlnm.Print_Titles" localSheetId="14">'Draw Sche'!$A:$B,'Draw Sche'!$1:$7</definedName>
    <definedName name="_xlnm.Print_Titles" localSheetId="4">ENA!$A:$B,ENA!$1:$7</definedName>
    <definedName name="PROC5C">[5]Tables!$AH$140:$AM$144</definedName>
    <definedName name="PROC5O">[5]Tables!$I$140:$N$144</definedName>
    <definedName name="PROC5SM">[5]Tables!$AZ$140:$BE$144</definedName>
    <definedName name="PROC7P">[5]Tables!$AP$140:$AW$146</definedName>
    <definedName name="scon">[5]Tables!$A$238:$F$242</definedName>
    <definedName name="SCON1">[5]Tables!$I$3:$L$5</definedName>
    <definedName name="SITE10">[5]Tables!$A$158:$K$167</definedName>
    <definedName name="_STS5">[5]Tables!$N$188:$S$192</definedName>
    <definedName name="_SY5">[5]Tables!$I$21:$N$25</definedName>
    <definedName name="To_Hide" localSheetId="11">[7]Doyle!$C$1:$D$65536,[7]Doyle!$K$1:$AF$65536,[7]Doyle!$AL$1:$AM$65536,[7]Doyle!$AJ$1:$AJ$65536</definedName>
    <definedName name="To_Hide" localSheetId="5">Doyle!$C:$D,Doyle!$K:$AF,Doyle!$AL:$AM,Doyle!$AJ:$AJ</definedName>
    <definedName name="To_Hide" localSheetId="14">'Draw Sche'!$C:$D,'Draw Sche'!$K:$AF,'Draw Sche'!$AL:$AM,'Draw Sche'!$AJ:$AJ</definedName>
    <definedName name="To_Hide" localSheetId="7">[3]Doyle!$C$1:$I$65536,[3]Doyle!$Q$1:$BG$65536,[3]Doyle!$BL$1:$BM$65536,[3]Doyle!$BJ$1:$BJ$65536</definedName>
    <definedName name="To_Hide" localSheetId="10">[7]Doyle!$C$1:$D$65536,[7]Doyle!$K$1:$AF$65536,[7]Doyle!$AL$1:$AM$65536,[7]Doyle!$AJ$1:$AJ$65536</definedName>
    <definedName name="To_Hide" localSheetId="6">#REF!,#REF!,#REF!,#REF!</definedName>
    <definedName name="To_Hide">ENA!$C:$D,ENA!$K:$AF,ENA!$AL:$AM,ENA!$AJ:$AJ</definedName>
    <definedName name="_UGL6">[5]Tables!$N$159:$T$164</definedName>
    <definedName name="_UGL61">[5]Tables!$N$169:$T$174</definedName>
    <definedName name="_VR6">[5]Tables!$J$36:$P$41</definedName>
  </definedNames>
  <calcPr calcId="92512" calcMode="manual" fullCalcOnLoad="1"/>
</workbook>
</file>

<file path=xl/calcChain.xml><?xml version="1.0" encoding="utf-8"?>
<calcChain xmlns="http://schemas.openxmlformats.org/spreadsheetml/2006/main">
  <c r="C13" i="12" l="1"/>
  <c r="C25" i="12"/>
  <c r="C40" i="12"/>
  <c r="C45" i="12"/>
  <c r="C52" i="12"/>
  <c r="C69" i="12"/>
  <c r="C109" i="12"/>
  <c r="C131" i="12"/>
  <c r="C165" i="12"/>
  <c r="C196" i="12"/>
  <c r="C229" i="12"/>
  <c r="C263" i="12"/>
  <c r="C273" i="12"/>
  <c r="C284" i="12"/>
  <c r="C295" i="12"/>
  <c r="C311" i="12"/>
  <c r="C320" i="12"/>
  <c r="G7" i="6"/>
  <c r="I7" i="6"/>
  <c r="K7" i="6"/>
  <c r="M7" i="6"/>
  <c r="O7" i="6"/>
  <c r="Q7" i="6"/>
  <c r="S7" i="6"/>
  <c r="U7" i="6"/>
  <c r="W7" i="6"/>
  <c r="Y7" i="6"/>
  <c r="AA7" i="6"/>
  <c r="AC7" i="6"/>
  <c r="AE7" i="6"/>
  <c r="AG7" i="6"/>
  <c r="AI7" i="6"/>
  <c r="AM7" i="6"/>
  <c r="AO7" i="6"/>
  <c r="AQ7" i="6"/>
  <c r="AS7" i="6"/>
  <c r="AU7" i="6"/>
  <c r="AW7" i="6"/>
  <c r="AY7" i="6"/>
  <c r="BA7" i="6"/>
  <c r="BC7" i="6"/>
  <c r="BE7" i="6"/>
  <c r="BG7" i="6"/>
  <c r="BI7" i="6"/>
  <c r="BK7" i="6"/>
  <c r="E10" i="6"/>
  <c r="F10" i="6"/>
  <c r="G10" i="6"/>
  <c r="H10" i="6"/>
  <c r="I10" i="6"/>
  <c r="K10" i="6"/>
  <c r="L10" i="6"/>
  <c r="T10" i="6"/>
  <c r="U10" i="6"/>
  <c r="V10" i="6"/>
  <c r="W10" i="6"/>
  <c r="X10" i="6"/>
  <c r="Y10" i="6"/>
  <c r="Z10" i="6"/>
  <c r="AA10" i="6"/>
  <c r="AB10" i="6"/>
  <c r="AC10" i="6"/>
  <c r="AD10" i="6"/>
  <c r="AE10" i="6"/>
  <c r="AG10" i="6"/>
  <c r="AH10" i="6"/>
  <c r="AI10" i="6"/>
  <c r="AJ10" i="6"/>
  <c r="AK10" i="6"/>
  <c r="AL10" i="6"/>
  <c r="AM10" i="6"/>
  <c r="AN10" i="6"/>
  <c r="AP10" i="6"/>
  <c r="AQ10" i="6"/>
  <c r="AR10" i="6"/>
  <c r="AS10" i="6"/>
  <c r="AY10" i="6"/>
  <c r="BE10" i="6"/>
  <c r="BG10" i="6"/>
  <c r="BH10" i="6"/>
  <c r="BI10" i="6"/>
  <c r="BJ10" i="6"/>
  <c r="BK10" i="6"/>
  <c r="I13" i="6"/>
  <c r="AU13" i="6"/>
  <c r="AW13" i="6"/>
  <c r="BE13" i="6"/>
  <c r="BG13" i="6"/>
  <c r="BI13" i="6"/>
  <c r="BK13" i="6"/>
  <c r="I14" i="6"/>
  <c r="AK14" i="6"/>
  <c r="BE14" i="6"/>
  <c r="BG14" i="6"/>
  <c r="BI14" i="6"/>
  <c r="BK14" i="6"/>
  <c r="I15" i="6"/>
  <c r="AK15" i="6"/>
  <c r="BE15" i="6"/>
  <c r="BG15" i="6"/>
  <c r="BI15" i="6"/>
  <c r="BK15" i="6"/>
  <c r="E16" i="6"/>
  <c r="F16" i="6"/>
  <c r="G16" i="6"/>
  <c r="H16" i="6"/>
  <c r="I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G16" i="6"/>
  <c r="AH16" i="6"/>
  <c r="AI16" i="6"/>
  <c r="AJ16" i="6"/>
  <c r="AK16" i="6"/>
  <c r="AL16" i="6"/>
  <c r="AM16" i="6"/>
  <c r="AN16" i="6"/>
  <c r="AO16" i="6"/>
  <c r="AQ16" i="6"/>
  <c r="AS16" i="6"/>
  <c r="AU16" i="6"/>
  <c r="AW16" i="6"/>
  <c r="AY16" i="6"/>
  <c r="BA16" i="6"/>
  <c r="BC16" i="6"/>
  <c r="BE16" i="6"/>
  <c r="BH16" i="6"/>
  <c r="BI16" i="6"/>
  <c r="BJ16" i="6"/>
  <c r="BK16" i="6"/>
  <c r="AK18" i="6"/>
  <c r="BC18" i="6"/>
  <c r="BE18" i="6"/>
  <c r="BG18" i="6"/>
  <c r="BI18" i="6"/>
  <c r="BK18" i="6"/>
  <c r="AK20" i="6"/>
  <c r="AU20" i="6"/>
  <c r="BE20" i="6"/>
  <c r="BG20" i="6"/>
  <c r="BI20" i="6"/>
  <c r="BK20" i="6"/>
  <c r="E22" i="6"/>
  <c r="G22" i="6"/>
  <c r="I22" i="6"/>
  <c r="AK22" i="6"/>
  <c r="BE22" i="6"/>
  <c r="BG22" i="6"/>
  <c r="BI22" i="6"/>
  <c r="BK22" i="6"/>
  <c r="I24" i="6"/>
  <c r="BE24" i="6"/>
  <c r="BG24" i="6"/>
  <c r="BI24" i="6"/>
  <c r="BK24" i="6"/>
  <c r="I26" i="6"/>
  <c r="AK26" i="6"/>
  <c r="BE26" i="6"/>
  <c r="BG26" i="6"/>
  <c r="BI26" i="6"/>
  <c r="AK28" i="6"/>
  <c r="BE28" i="6"/>
  <c r="BG28" i="6"/>
  <c r="BI28" i="6"/>
  <c r="BK28" i="6"/>
  <c r="I30" i="6"/>
  <c r="AK30" i="6"/>
  <c r="BE30" i="6"/>
  <c r="BG30" i="6"/>
  <c r="BI30" i="6"/>
  <c r="BK30" i="6"/>
  <c r="I32" i="6"/>
  <c r="BE32" i="6"/>
  <c r="BG32" i="6"/>
  <c r="BI32" i="6"/>
  <c r="BK32" i="6"/>
  <c r="E34" i="6"/>
  <c r="F34" i="6"/>
  <c r="G34" i="6"/>
  <c r="H34" i="6"/>
  <c r="I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U34" i="6"/>
  <c r="AW34" i="6"/>
  <c r="AY34" i="6"/>
  <c r="AZ34" i="6"/>
  <c r="BA34" i="6"/>
  <c r="BC34" i="6"/>
  <c r="BE34" i="6"/>
  <c r="BF34" i="6"/>
  <c r="BG34" i="6"/>
  <c r="BH34" i="6"/>
  <c r="BI34" i="6"/>
  <c r="BJ34" i="6"/>
  <c r="BK34" i="6"/>
  <c r="BL34" i="6"/>
  <c r="G7" i="15"/>
  <c r="AG7" i="15"/>
  <c r="AI7" i="15"/>
  <c r="AM7" i="15"/>
  <c r="AO7" i="15"/>
  <c r="AQ7" i="15"/>
  <c r="AS7" i="15"/>
  <c r="AU7" i="15"/>
  <c r="AW7" i="15"/>
  <c r="AY7" i="15"/>
  <c r="BA7" i="15"/>
  <c r="BC7" i="15"/>
  <c r="G9" i="15"/>
  <c r="I9" i="15"/>
  <c r="M9" i="15"/>
  <c r="AK9" i="15"/>
  <c r="BE9" i="15"/>
  <c r="BG9" i="15"/>
  <c r="BI9" i="15"/>
  <c r="BK9" i="15"/>
  <c r="G10" i="15"/>
  <c r="I10" i="15"/>
  <c r="AK10" i="15"/>
  <c r="BE10" i="15"/>
  <c r="BG10" i="15"/>
  <c r="BI10" i="15"/>
  <c r="BK10" i="15"/>
  <c r="G11" i="15"/>
  <c r="I11" i="15"/>
  <c r="M11" i="15"/>
  <c r="W11" i="15"/>
  <c r="AK11" i="15"/>
  <c r="BE11" i="15"/>
  <c r="BG11" i="15"/>
  <c r="BI11" i="15"/>
  <c r="BK11" i="15"/>
  <c r="G12" i="15"/>
  <c r="I12" i="15"/>
  <c r="U12" i="15"/>
  <c r="W12" i="15"/>
  <c r="Y12" i="15"/>
  <c r="AA12" i="15"/>
  <c r="AC12" i="15"/>
  <c r="AE12" i="15"/>
  <c r="AG12" i="15"/>
  <c r="AI12" i="15"/>
  <c r="AK12" i="15"/>
  <c r="AO12" i="15"/>
  <c r="AQ12" i="15"/>
  <c r="AS12" i="15"/>
  <c r="AU12" i="15"/>
  <c r="AW12" i="15"/>
  <c r="AY12" i="15"/>
  <c r="BA12" i="15"/>
  <c r="BE12" i="15"/>
  <c r="BI12" i="15"/>
  <c r="BK12" i="15"/>
  <c r="G13" i="15"/>
  <c r="I13" i="15"/>
  <c r="AK13" i="15"/>
  <c r="AS13" i="15"/>
  <c r="AU13" i="15"/>
  <c r="AW13" i="15"/>
  <c r="BE13" i="15"/>
  <c r="G14" i="15"/>
  <c r="I14" i="15"/>
  <c r="AK14" i="15"/>
  <c r="AS14" i="15"/>
  <c r="AU14" i="15"/>
  <c r="AW14" i="15"/>
  <c r="AY14" i="15"/>
  <c r="BE14" i="15"/>
  <c r="G15" i="15"/>
  <c r="I15" i="15"/>
  <c r="S15" i="15"/>
  <c r="AK15" i="15"/>
  <c r="AS15" i="15"/>
  <c r="AU15" i="15"/>
  <c r="AW15" i="15"/>
  <c r="BE15" i="15"/>
  <c r="BG15" i="15"/>
  <c r="BI15" i="15"/>
  <c r="BK15" i="15"/>
  <c r="G16" i="15"/>
  <c r="I16" i="15"/>
  <c r="Q16" i="15"/>
  <c r="S16" i="15"/>
  <c r="U16" i="15"/>
  <c r="W16" i="15"/>
  <c r="Y16" i="15"/>
  <c r="AA16" i="15"/>
  <c r="AC16" i="15"/>
  <c r="AE16" i="15"/>
  <c r="AG16" i="15"/>
  <c r="AK16" i="15"/>
  <c r="AS16" i="15"/>
  <c r="AU16" i="15"/>
  <c r="AW16" i="15"/>
  <c r="AY16" i="15"/>
  <c r="BE16" i="15"/>
  <c r="BG16" i="15"/>
  <c r="BI16" i="15"/>
  <c r="BK16" i="15"/>
  <c r="G17" i="15"/>
  <c r="I17" i="15"/>
  <c r="AK17" i="15"/>
  <c r="AS17" i="15"/>
  <c r="AU17" i="15"/>
  <c r="AW17" i="15"/>
  <c r="AY17" i="15"/>
  <c r="BA17" i="15"/>
  <c r="BC17" i="15"/>
  <c r="BE17" i="15"/>
  <c r="BG17" i="15"/>
  <c r="BI17" i="15"/>
  <c r="BK17" i="15"/>
  <c r="G18" i="15"/>
  <c r="I18" i="15"/>
  <c r="AK18" i="15"/>
  <c r="AS18" i="15"/>
  <c r="AU18" i="15"/>
  <c r="AW18" i="15"/>
  <c r="BE18" i="15"/>
  <c r="BG18" i="15"/>
  <c r="BI18" i="15"/>
  <c r="BK18" i="15"/>
  <c r="G19" i="15"/>
  <c r="I19" i="15"/>
  <c r="AK19" i="15"/>
  <c r="AS19" i="15"/>
  <c r="AU19" i="15"/>
  <c r="AW19" i="15"/>
  <c r="BK19" i="15"/>
  <c r="G20" i="15"/>
  <c r="I20" i="15"/>
  <c r="AK20" i="15"/>
  <c r="AS20" i="15"/>
  <c r="AU20" i="15"/>
  <c r="AW20" i="15"/>
  <c r="BE20" i="15"/>
  <c r="BG20" i="15"/>
  <c r="BI20" i="15"/>
  <c r="BK20" i="15"/>
  <c r="BE21" i="15"/>
  <c r="E22" i="15"/>
  <c r="G22" i="15"/>
  <c r="I22" i="15"/>
  <c r="K22" i="15"/>
  <c r="M22" i="15"/>
  <c r="O22" i="15"/>
  <c r="Q22" i="15"/>
  <c r="S22" i="15"/>
  <c r="U22" i="15"/>
  <c r="W22" i="15"/>
  <c r="Y22" i="15"/>
  <c r="AA22" i="15"/>
  <c r="AC22" i="15"/>
  <c r="AE22" i="15"/>
  <c r="AG22" i="15"/>
  <c r="AI22" i="15"/>
  <c r="AK22" i="15"/>
  <c r="AM22" i="15"/>
  <c r="AO22" i="15"/>
  <c r="AQ22" i="15"/>
  <c r="AS22" i="15"/>
  <c r="AU22" i="15"/>
  <c r="AW22" i="15"/>
  <c r="AY22" i="15"/>
  <c r="BA22" i="15"/>
  <c r="BC22" i="15"/>
  <c r="BD22" i="15"/>
  <c r="BE22" i="15"/>
  <c r="BG22" i="15"/>
  <c r="BI22" i="15"/>
  <c r="BK22" i="15"/>
  <c r="I24" i="15"/>
  <c r="AK24" i="15"/>
  <c r="AW24" i="15"/>
  <c r="BE24" i="15"/>
  <c r="BG24" i="15"/>
  <c r="BI24" i="15"/>
  <c r="BK24" i="15"/>
  <c r="I25" i="15"/>
  <c r="AK25" i="15"/>
  <c r="BE25" i="15"/>
  <c r="BG25" i="15"/>
  <c r="BI25" i="15"/>
  <c r="BK25" i="15"/>
  <c r="G26" i="15"/>
  <c r="AK26" i="15"/>
  <c r="BE26" i="15"/>
  <c r="BG26" i="15"/>
  <c r="BI26" i="15"/>
  <c r="BK26" i="15"/>
  <c r="G27" i="15"/>
  <c r="AK27" i="15"/>
  <c r="BE27" i="15"/>
  <c r="BG27" i="15"/>
  <c r="BI27" i="15"/>
  <c r="BK27" i="15"/>
  <c r="G28" i="15"/>
  <c r="AK28" i="15"/>
  <c r="BE28" i="15"/>
  <c r="BG28" i="15"/>
  <c r="BI28" i="15"/>
  <c r="BK28" i="15"/>
  <c r="G29" i="15"/>
  <c r="AK29" i="15"/>
  <c r="BE29" i="15"/>
  <c r="BG29" i="15"/>
  <c r="BI29" i="15"/>
  <c r="BK29" i="15"/>
  <c r="G30" i="15"/>
  <c r="AK30" i="15"/>
  <c r="BE30" i="15"/>
  <c r="BG30" i="15"/>
  <c r="BI30" i="15"/>
  <c r="BK30" i="15"/>
  <c r="G31" i="15"/>
  <c r="AK31" i="15"/>
  <c r="BE31" i="15"/>
  <c r="BG31" i="15"/>
  <c r="BI31" i="15"/>
  <c r="BK31" i="15"/>
  <c r="G32" i="15"/>
  <c r="AK32" i="15"/>
  <c r="BE32" i="15"/>
  <c r="BG32" i="15"/>
  <c r="BI32" i="15"/>
  <c r="BK32" i="15"/>
  <c r="BG33" i="15"/>
  <c r="E34" i="15"/>
  <c r="G34" i="15"/>
  <c r="I34" i="15"/>
  <c r="K34" i="15"/>
  <c r="M34" i="15"/>
  <c r="O34" i="15"/>
  <c r="Q34" i="15"/>
  <c r="S34" i="15"/>
  <c r="U34" i="15"/>
  <c r="W34" i="15"/>
  <c r="Y34" i="15"/>
  <c r="AA34" i="15"/>
  <c r="AC34" i="15"/>
  <c r="AE34" i="15"/>
  <c r="AG34" i="15"/>
  <c r="AI34" i="15"/>
  <c r="AK34" i="15"/>
  <c r="AM34" i="15"/>
  <c r="AO34" i="15"/>
  <c r="AQ34" i="15"/>
  <c r="AS34" i="15"/>
  <c r="AU34" i="15"/>
  <c r="AW34" i="15"/>
  <c r="AY34" i="15"/>
  <c r="BA34" i="15"/>
  <c r="BC34" i="15"/>
  <c r="BD34" i="15"/>
  <c r="BE34" i="15"/>
  <c r="BG34" i="15"/>
  <c r="BI34" i="15"/>
  <c r="BK34" i="15"/>
  <c r="E36" i="15"/>
  <c r="G36" i="15"/>
  <c r="I36" i="15"/>
  <c r="K36" i="15"/>
  <c r="M36" i="15"/>
  <c r="O36" i="15"/>
  <c r="Q36" i="15"/>
  <c r="S36" i="15"/>
  <c r="U36" i="15"/>
  <c r="W36" i="15"/>
  <c r="Y36" i="15"/>
  <c r="AA36" i="15"/>
  <c r="AC36" i="15"/>
  <c r="AE36" i="15"/>
  <c r="AG36" i="15"/>
  <c r="AI36" i="15"/>
  <c r="AK36" i="15"/>
  <c r="AM36" i="15"/>
  <c r="AO36" i="15"/>
  <c r="AQ36" i="15"/>
  <c r="AS36" i="15"/>
  <c r="AU36" i="15"/>
  <c r="AW36" i="15"/>
  <c r="AY36" i="15"/>
  <c r="BA36" i="15"/>
  <c r="BC36" i="15"/>
  <c r="BD36" i="15"/>
  <c r="BE36" i="15"/>
  <c r="BG36" i="15"/>
  <c r="BI36" i="15"/>
  <c r="BK36" i="15"/>
  <c r="I39" i="15"/>
  <c r="AK39" i="15"/>
  <c r="AQ39" i="15"/>
  <c r="AU39" i="15"/>
  <c r="BE39" i="15"/>
  <c r="BG39" i="15"/>
  <c r="BI39" i="15"/>
  <c r="BK39" i="15"/>
  <c r="E40" i="15"/>
  <c r="G40" i="15"/>
  <c r="I40" i="15"/>
  <c r="AI40" i="15"/>
  <c r="AK40" i="15"/>
  <c r="AQ40" i="15"/>
  <c r="BA40" i="15"/>
  <c r="BC40" i="15"/>
  <c r="BE40" i="15"/>
  <c r="BG40" i="15"/>
  <c r="BI40" i="15"/>
  <c r="BK40" i="15"/>
  <c r="I41" i="15"/>
  <c r="AK41" i="15"/>
  <c r="BE41" i="15"/>
  <c r="BG41" i="15"/>
  <c r="BI41" i="15"/>
  <c r="BK41" i="15"/>
  <c r="I42" i="15"/>
  <c r="AK42" i="15"/>
  <c r="AU42" i="15"/>
  <c r="BE42" i="15"/>
  <c r="BG42" i="15"/>
  <c r="BI42" i="15"/>
  <c r="BK42" i="15"/>
  <c r="I43" i="15"/>
  <c r="AK43" i="15"/>
  <c r="BE43" i="15"/>
  <c r="BG43" i="15"/>
  <c r="BI43" i="15"/>
  <c r="BK43" i="15"/>
  <c r="I44" i="15"/>
  <c r="AK44" i="15"/>
  <c r="BE44" i="15"/>
  <c r="BG44" i="15"/>
  <c r="BI44" i="15"/>
  <c r="BK44" i="15"/>
  <c r="G46" i="15"/>
  <c r="I46" i="15"/>
  <c r="K46" i="15"/>
  <c r="M46" i="15"/>
  <c r="O46" i="15"/>
  <c r="Q46" i="15"/>
  <c r="S46" i="15"/>
  <c r="U46" i="15"/>
  <c r="W46" i="15"/>
  <c r="Y46" i="15"/>
  <c r="AA46" i="15"/>
  <c r="AC46" i="15"/>
  <c r="AE46" i="15"/>
  <c r="AG46" i="15"/>
  <c r="AI46" i="15"/>
  <c r="AM46" i="15"/>
  <c r="AO46" i="15"/>
  <c r="AY46" i="15"/>
  <c r="BC46" i="15"/>
  <c r="BD46" i="15"/>
  <c r="BE46" i="15"/>
  <c r="BG46" i="15"/>
  <c r="BI46" i="15"/>
  <c r="BK46" i="15"/>
  <c r="I50" i="15"/>
  <c r="AI50" i="15"/>
  <c r="AK50" i="15"/>
  <c r="AO50" i="15"/>
  <c r="BE50" i="15"/>
  <c r="BG50" i="15"/>
  <c r="BI50" i="15"/>
  <c r="BK50" i="15"/>
  <c r="I51" i="15"/>
  <c r="AI51" i="15"/>
  <c r="AK51" i="15"/>
  <c r="AO51" i="15"/>
  <c r="BE51" i="15"/>
  <c r="BG51" i="15"/>
  <c r="BI51" i="15"/>
  <c r="BK51" i="15"/>
  <c r="I52" i="15"/>
  <c r="AI52" i="15"/>
  <c r="AK52" i="15"/>
  <c r="AO52" i="15"/>
  <c r="BE52" i="15"/>
  <c r="BG52" i="15"/>
  <c r="BI52" i="15"/>
  <c r="BK52" i="15"/>
  <c r="I53" i="15"/>
  <c r="AI53" i="15"/>
  <c r="AK53" i="15"/>
  <c r="AO53" i="15"/>
  <c r="BE53" i="15"/>
  <c r="BG53" i="15"/>
  <c r="BI53" i="15"/>
  <c r="BK53" i="15"/>
  <c r="I54" i="15"/>
  <c r="AI54" i="15"/>
  <c r="AK54" i="15"/>
  <c r="AO54" i="15"/>
  <c r="BE54" i="15"/>
  <c r="BG54" i="15"/>
  <c r="BI54" i="15"/>
  <c r="BK54" i="15"/>
  <c r="I55" i="15"/>
  <c r="AI55" i="15"/>
  <c r="AK55" i="15"/>
  <c r="AO55" i="15"/>
  <c r="BE55" i="15"/>
  <c r="BG55" i="15"/>
  <c r="BI55" i="15"/>
  <c r="BK55" i="15"/>
  <c r="I56" i="15"/>
  <c r="AI56" i="15"/>
  <c r="AK56" i="15"/>
  <c r="AO56" i="15"/>
  <c r="BE56" i="15"/>
  <c r="BG56" i="15"/>
  <c r="BI56" i="15"/>
  <c r="BK56" i="15"/>
  <c r="I57" i="15"/>
  <c r="AI57" i="15"/>
  <c r="AK57" i="15"/>
  <c r="AO57" i="15"/>
  <c r="BE57" i="15"/>
  <c r="BG57" i="15"/>
  <c r="BI57" i="15"/>
  <c r="BK57" i="15"/>
  <c r="I58" i="15"/>
  <c r="AI58" i="15"/>
  <c r="AK58" i="15"/>
  <c r="AO58" i="15"/>
  <c r="BE58" i="15"/>
  <c r="BG58" i="15"/>
  <c r="BI58" i="15"/>
  <c r="BK58" i="15"/>
  <c r="I59" i="15"/>
  <c r="AI59" i="15"/>
  <c r="AK59" i="15"/>
  <c r="AO59" i="15"/>
  <c r="BE59" i="15"/>
  <c r="BG59" i="15"/>
  <c r="BI59" i="15"/>
  <c r="BK59" i="15"/>
  <c r="I60" i="15"/>
  <c r="AK60" i="15"/>
  <c r="AO60" i="15"/>
  <c r="BE60" i="15"/>
  <c r="BG60" i="15"/>
  <c r="BI60" i="15"/>
  <c r="BK60" i="15"/>
  <c r="I61" i="15"/>
  <c r="AK61" i="15"/>
  <c r="BE61" i="15"/>
  <c r="BG61" i="15"/>
  <c r="BI61" i="15"/>
  <c r="BK61" i="15"/>
  <c r="I62" i="15"/>
  <c r="AO62" i="15"/>
  <c r="BE62" i="15"/>
  <c r="BG62" i="15"/>
  <c r="BI62" i="15"/>
  <c r="BK62" i="15"/>
  <c r="I63" i="15"/>
  <c r="BE63" i="15"/>
  <c r="BG63" i="15"/>
  <c r="BI63" i="15"/>
  <c r="BK63" i="15"/>
  <c r="E64" i="15"/>
  <c r="G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G64" i="15"/>
  <c r="AH64" i="15"/>
  <c r="AI64" i="15"/>
  <c r="AK64" i="15"/>
  <c r="AL64" i="15"/>
  <c r="AM64" i="15"/>
  <c r="AN64" i="15"/>
  <c r="AO64" i="15"/>
  <c r="AQ64" i="15"/>
  <c r="AS64" i="15"/>
  <c r="AU64" i="15"/>
  <c r="AW64" i="15"/>
  <c r="AY64" i="15"/>
  <c r="BA64" i="15"/>
  <c r="BC64" i="15"/>
  <c r="BD64" i="15"/>
  <c r="BE64" i="15"/>
  <c r="BG64" i="15"/>
  <c r="BH64" i="15"/>
  <c r="BI64" i="15"/>
  <c r="BJ64" i="15"/>
  <c r="BK64" i="15"/>
  <c r="BL64" i="15"/>
  <c r="BG65" i="15"/>
  <c r="BI65" i="15"/>
  <c r="BK65" i="15"/>
  <c r="BG66" i="15"/>
  <c r="BI66" i="15"/>
  <c r="BK66" i="15"/>
  <c r="I67" i="15"/>
  <c r="AK67" i="15"/>
  <c r="AO67" i="15"/>
  <c r="BE67" i="15"/>
  <c r="BG67" i="15"/>
  <c r="BI67" i="15"/>
  <c r="BK67" i="15"/>
  <c r="I68" i="15"/>
  <c r="AK68" i="15"/>
  <c r="BE68" i="15"/>
  <c r="BG68" i="15"/>
  <c r="BI68" i="15"/>
  <c r="BK68" i="15"/>
  <c r="I69" i="15"/>
  <c r="AK69" i="15"/>
  <c r="BE69" i="15"/>
  <c r="BG69" i="15"/>
  <c r="BI69" i="15"/>
  <c r="BK69" i="15"/>
  <c r="I70" i="15"/>
  <c r="AK70" i="15"/>
  <c r="BE70" i="15"/>
  <c r="BG70" i="15"/>
  <c r="BI70" i="15"/>
  <c r="BK70" i="15"/>
  <c r="I71" i="15"/>
  <c r="AK71" i="15"/>
  <c r="BE71" i="15"/>
  <c r="BG71" i="15"/>
  <c r="BI71" i="15"/>
  <c r="BK71" i="15"/>
  <c r="I72" i="15"/>
  <c r="AK72" i="15"/>
  <c r="BE72" i="15"/>
  <c r="BG72" i="15"/>
  <c r="BI72" i="15"/>
  <c r="BK72" i="15"/>
  <c r="I73" i="15"/>
  <c r="AK73" i="15"/>
  <c r="BE73" i="15"/>
  <c r="BG73" i="15"/>
  <c r="BI73" i="15"/>
  <c r="BK73" i="15"/>
  <c r="I74" i="15"/>
  <c r="AK74" i="15"/>
  <c r="BE74" i="15"/>
  <c r="BG74" i="15"/>
  <c r="BI74" i="15"/>
  <c r="BK74" i="15"/>
  <c r="I75" i="15"/>
  <c r="AK75" i="15"/>
  <c r="BE75" i="15"/>
  <c r="BG75" i="15"/>
  <c r="BI75" i="15"/>
  <c r="BK75" i="15"/>
  <c r="I76" i="15"/>
  <c r="AK76" i="15"/>
  <c r="AO76" i="15"/>
  <c r="BE76" i="15"/>
  <c r="BG76" i="15"/>
  <c r="BI76" i="15"/>
  <c r="BK76" i="15"/>
  <c r="I77" i="15"/>
  <c r="AK77" i="15"/>
  <c r="BE77" i="15"/>
  <c r="BG77" i="15"/>
  <c r="BI77" i="15"/>
  <c r="BK77" i="15"/>
  <c r="I78" i="15"/>
  <c r="AK78" i="15"/>
  <c r="BE78" i="15"/>
  <c r="BG78" i="15"/>
  <c r="BI78" i="15"/>
  <c r="BK78" i="15"/>
  <c r="I79" i="15"/>
  <c r="AK79" i="15"/>
  <c r="BE79" i="15"/>
  <c r="BG79" i="15"/>
  <c r="BI79" i="15"/>
  <c r="BK79" i="15"/>
  <c r="I80" i="15"/>
  <c r="AK80" i="15"/>
  <c r="BE80" i="15"/>
  <c r="BG80" i="15"/>
  <c r="BI80" i="15"/>
  <c r="BK80" i="15"/>
  <c r="I81" i="15"/>
  <c r="AK81" i="15"/>
  <c r="BE81" i="15"/>
  <c r="BG81" i="15"/>
  <c r="BI81" i="15"/>
  <c r="BK81" i="15"/>
  <c r="I82" i="15"/>
  <c r="AK82" i="15"/>
  <c r="BE82" i="15"/>
  <c r="BG82" i="15"/>
  <c r="BI82" i="15"/>
  <c r="BK82" i="15"/>
  <c r="I83" i="15"/>
  <c r="AK83" i="15"/>
  <c r="BE83" i="15"/>
  <c r="BG83" i="15"/>
  <c r="BI83" i="15"/>
  <c r="BK83" i="15"/>
  <c r="I84" i="15"/>
  <c r="AK84" i="15"/>
  <c r="BE84" i="15"/>
  <c r="BG84" i="15"/>
  <c r="BI84" i="15"/>
  <c r="BK84" i="15"/>
  <c r="I85" i="15"/>
  <c r="AK85" i="15"/>
  <c r="BE85" i="15"/>
  <c r="BG85" i="15"/>
  <c r="BI85" i="15"/>
  <c r="BK85" i="15"/>
  <c r="I86" i="15"/>
  <c r="AK86" i="15"/>
  <c r="BE86" i="15"/>
  <c r="BG86" i="15"/>
  <c r="BI86" i="15"/>
  <c r="BK86" i="15"/>
  <c r="I87" i="15"/>
  <c r="AK87" i="15"/>
  <c r="BE87" i="15"/>
  <c r="BG87" i="15"/>
  <c r="BI87" i="15"/>
  <c r="BK87" i="15"/>
  <c r="I88" i="15"/>
  <c r="AK88" i="15"/>
  <c r="BE88" i="15"/>
  <c r="BG88" i="15"/>
  <c r="BI88" i="15"/>
  <c r="BK88" i="15"/>
  <c r="I89" i="15"/>
  <c r="AK89" i="15"/>
  <c r="BE89" i="15"/>
  <c r="BG89" i="15"/>
  <c r="BI89" i="15"/>
  <c r="BK89" i="15"/>
  <c r="E90" i="15"/>
  <c r="G90" i="15"/>
  <c r="I90" i="15"/>
  <c r="J90" i="15"/>
  <c r="K90" i="15"/>
  <c r="L90" i="15"/>
  <c r="M90" i="15"/>
  <c r="N90" i="15"/>
  <c r="O90" i="15"/>
  <c r="P90" i="15"/>
  <c r="Q90" i="15"/>
  <c r="R90" i="15"/>
  <c r="S90" i="15"/>
  <c r="T90" i="15"/>
  <c r="U90" i="15"/>
  <c r="V90" i="15"/>
  <c r="W90" i="15"/>
  <c r="X90" i="15"/>
  <c r="Y90" i="15"/>
  <c r="Z90" i="15"/>
  <c r="AA90" i="15"/>
  <c r="AB90" i="15"/>
  <c r="AC90" i="15"/>
  <c r="AD90" i="15"/>
  <c r="AE90" i="15"/>
  <c r="AG90" i="15"/>
  <c r="AH90" i="15"/>
  <c r="AI90" i="15"/>
  <c r="AK90" i="15"/>
  <c r="AL90" i="15"/>
  <c r="AM90" i="15"/>
  <c r="AN90" i="15"/>
  <c r="AO90" i="15"/>
  <c r="AQ90" i="15"/>
  <c r="AS90" i="15"/>
  <c r="AU90" i="15"/>
  <c r="AW90" i="15"/>
  <c r="AY90" i="15"/>
  <c r="BA90" i="15"/>
  <c r="BC90" i="15"/>
  <c r="BD90" i="15"/>
  <c r="BE90" i="15"/>
  <c r="BG90" i="15"/>
  <c r="BH90" i="15"/>
  <c r="BI90" i="15"/>
  <c r="BJ90" i="15"/>
  <c r="BK90" i="15"/>
  <c r="BL90" i="15"/>
  <c r="I93" i="15"/>
  <c r="AK93" i="15"/>
  <c r="AO93" i="15"/>
  <c r="BE93" i="15"/>
  <c r="BG93" i="15"/>
  <c r="BI93" i="15"/>
  <c r="BK93" i="15"/>
  <c r="E94" i="15"/>
  <c r="G94" i="15"/>
  <c r="I94" i="15"/>
  <c r="J94" i="15"/>
  <c r="K94" i="15"/>
  <c r="L94" i="15"/>
  <c r="M94" i="15"/>
  <c r="N94" i="15"/>
  <c r="O94" i="15"/>
  <c r="P94" i="15"/>
  <c r="Q94" i="15"/>
  <c r="R94" i="15"/>
  <c r="S94" i="15"/>
  <c r="T94" i="15"/>
  <c r="U94" i="15"/>
  <c r="V94" i="15"/>
  <c r="W94" i="15"/>
  <c r="X94" i="15"/>
  <c r="Y94" i="15"/>
  <c r="Z94" i="15"/>
  <c r="AA94" i="15"/>
  <c r="AB94" i="15"/>
  <c r="AC94" i="15"/>
  <c r="AD94" i="15"/>
  <c r="AE94" i="15"/>
  <c r="AG94" i="15"/>
  <c r="AH94" i="15"/>
  <c r="AI94" i="15"/>
  <c r="AK94" i="15"/>
  <c r="AL94" i="15"/>
  <c r="AM94" i="15"/>
  <c r="AN94" i="15"/>
  <c r="AO94" i="15"/>
  <c r="AQ94" i="15"/>
  <c r="AS94" i="15"/>
  <c r="AU94" i="15"/>
  <c r="AW94" i="15"/>
  <c r="AY94" i="15"/>
  <c r="BA94" i="15"/>
  <c r="BC94" i="15"/>
  <c r="BD94" i="15"/>
  <c r="BE94" i="15"/>
  <c r="BG94" i="15"/>
  <c r="BH94" i="15"/>
  <c r="BI94" i="15"/>
  <c r="BJ94" i="15"/>
  <c r="BK94" i="15"/>
  <c r="BL94" i="15"/>
  <c r="I97" i="15"/>
  <c r="AK97" i="15"/>
  <c r="AO97" i="15"/>
  <c r="BE97" i="15"/>
  <c r="BG97" i="15"/>
  <c r="BI97" i="15"/>
  <c r="BK97" i="15"/>
  <c r="I98" i="15"/>
  <c r="AK98" i="15"/>
  <c r="AO98" i="15"/>
  <c r="BE98" i="15"/>
  <c r="BG98" i="15"/>
  <c r="BI98" i="15"/>
  <c r="BK98" i="15"/>
  <c r="I99" i="15"/>
  <c r="AK99" i="15"/>
  <c r="BE99" i="15"/>
  <c r="BG99" i="15"/>
  <c r="BI99" i="15"/>
  <c r="BK99" i="15"/>
  <c r="E100" i="15"/>
  <c r="G100" i="15"/>
  <c r="I100" i="15"/>
  <c r="J100" i="15"/>
  <c r="K100" i="15"/>
  <c r="L100" i="15"/>
  <c r="M100" i="15"/>
  <c r="N100" i="15"/>
  <c r="O100" i="15"/>
  <c r="P100" i="15"/>
  <c r="Q100" i="15"/>
  <c r="R100" i="15"/>
  <c r="S100" i="15"/>
  <c r="T100" i="15"/>
  <c r="U100" i="15"/>
  <c r="V100" i="15"/>
  <c r="W100" i="15"/>
  <c r="X100" i="15"/>
  <c r="Y100" i="15"/>
  <c r="Z100" i="15"/>
  <c r="AA100" i="15"/>
  <c r="AB100" i="15"/>
  <c r="AC100" i="15"/>
  <c r="AD100" i="15"/>
  <c r="AE100" i="15"/>
  <c r="AG100" i="15"/>
  <c r="AH100" i="15"/>
  <c r="AI100" i="15"/>
  <c r="AK100" i="15"/>
  <c r="AL100" i="15"/>
  <c r="AM100" i="15"/>
  <c r="AN100" i="15"/>
  <c r="AO100" i="15"/>
  <c r="AQ100" i="15"/>
  <c r="AS100" i="15"/>
  <c r="AU100" i="15"/>
  <c r="AW100" i="15"/>
  <c r="AY100" i="15"/>
  <c r="BA100" i="15"/>
  <c r="BC100" i="15"/>
  <c r="BD100" i="15"/>
  <c r="BE100" i="15"/>
  <c r="BG100" i="15"/>
  <c r="BH100" i="15"/>
  <c r="BI100" i="15"/>
  <c r="BJ100" i="15"/>
  <c r="BK100" i="15"/>
  <c r="BL100" i="15"/>
  <c r="I103" i="15"/>
  <c r="AK103" i="15"/>
  <c r="AO103" i="15"/>
  <c r="BE103" i="15"/>
  <c r="BG103" i="15"/>
  <c r="BI103" i="15"/>
  <c r="BK103" i="15"/>
  <c r="I104" i="15"/>
  <c r="AK104" i="15"/>
  <c r="BE104" i="15"/>
  <c r="BG104" i="15"/>
  <c r="BI104" i="15"/>
  <c r="BK104" i="15"/>
  <c r="I105" i="15"/>
  <c r="AK105" i="15"/>
  <c r="BE105" i="15"/>
  <c r="BG105" i="15"/>
  <c r="BI105" i="15"/>
  <c r="BK105" i="15"/>
  <c r="E106" i="15"/>
  <c r="G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AA106" i="15"/>
  <c r="AB106" i="15"/>
  <c r="AC106" i="15"/>
  <c r="AD106" i="15"/>
  <c r="AE106" i="15"/>
  <c r="AG106" i="15"/>
  <c r="AH106" i="15"/>
  <c r="AI106" i="15"/>
  <c r="AK106" i="15"/>
  <c r="AL106" i="15"/>
  <c r="AM106" i="15"/>
  <c r="AN106" i="15"/>
  <c r="AO106" i="15"/>
  <c r="AQ106" i="15"/>
  <c r="AS106" i="15"/>
  <c r="AU106" i="15"/>
  <c r="AW106" i="15"/>
  <c r="AY106" i="15"/>
  <c r="BA106" i="15"/>
  <c r="BC106" i="15"/>
  <c r="BD106" i="15"/>
  <c r="BE106" i="15"/>
  <c r="BG106" i="15"/>
  <c r="BH106" i="15"/>
  <c r="BI106" i="15"/>
  <c r="BJ106" i="15"/>
  <c r="BK106" i="15"/>
  <c r="BL106" i="15"/>
  <c r="I109" i="15"/>
  <c r="AK109" i="15"/>
  <c r="AO109" i="15"/>
  <c r="BE109" i="15"/>
  <c r="BG109" i="15"/>
  <c r="BI109" i="15"/>
  <c r="BK109" i="15"/>
  <c r="I110" i="15"/>
  <c r="AK110" i="15"/>
  <c r="AO110" i="15"/>
  <c r="BE110" i="15"/>
  <c r="BG110" i="15"/>
  <c r="BI110" i="15"/>
  <c r="BK110" i="15"/>
  <c r="I111" i="15"/>
  <c r="AK111" i="15"/>
  <c r="BE111" i="15"/>
  <c r="BG111" i="15"/>
  <c r="BI111" i="15"/>
  <c r="BK111" i="15"/>
  <c r="E112" i="15"/>
  <c r="G112" i="15"/>
  <c r="I112" i="15"/>
  <c r="J112" i="15"/>
  <c r="K112" i="15"/>
  <c r="L112" i="15"/>
  <c r="M112" i="15"/>
  <c r="N112" i="15"/>
  <c r="O112" i="15"/>
  <c r="P112" i="15"/>
  <c r="Q112" i="15"/>
  <c r="R112" i="15"/>
  <c r="S112" i="15"/>
  <c r="T112" i="15"/>
  <c r="U112" i="15"/>
  <c r="V112" i="15"/>
  <c r="W112" i="15"/>
  <c r="X112" i="15"/>
  <c r="Y112" i="15"/>
  <c r="Z112" i="15"/>
  <c r="AA112" i="15"/>
  <c r="AB112" i="15"/>
  <c r="AC112" i="15"/>
  <c r="AD112" i="15"/>
  <c r="AE112" i="15"/>
  <c r="AG112" i="15"/>
  <c r="AH112" i="15"/>
  <c r="AI112" i="15"/>
  <c r="AK112" i="15"/>
  <c r="AL112" i="15"/>
  <c r="AM112" i="15"/>
  <c r="AN112" i="15"/>
  <c r="AO112" i="15"/>
  <c r="AQ112" i="15"/>
  <c r="AS112" i="15"/>
  <c r="AU112" i="15"/>
  <c r="AW112" i="15"/>
  <c r="AY112" i="15"/>
  <c r="BA112" i="15"/>
  <c r="BC112" i="15"/>
  <c r="BD112" i="15"/>
  <c r="BE112" i="15"/>
  <c r="BG112" i="15"/>
  <c r="BH112" i="15"/>
  <c r="BI112" i="15"/>
  <c r="BJ112" i="15"/>
  <c r="BK112" i="15"/>
  <c r="BL112" i="15"/>
  <c r="I115" i="15"/>
  <c r="AK115" i="15"/>
  <c r="AO115" i="15"/>
  <c r="BE115" i="15"/>
  <c r="BG115" i="15"/>
  <c r="BI115" i="15"/>
  <c r="BK115" i="15"/>
  <c r="I116" i="15"/>
  <c r="AK116" i="15"/>
  <c r="BE116" i="15"/>
  <c r="BG116" i="15"/>
  <c r="BI116" i="15"/>
  <c r="BK116" i="15"/>
  <c r="E117" i="15"/>
  <c r="G117" i="15"/>
  <c r="I117" i="15"/>
  <c r="J117" i="15"/>
  <c r="K117" i="15"/>
  <c r="L117" i="15"/>
  <c r="M117" i="15"/>
  <c r="N117" i="15"/>
  <c r="O117" i="15"/>
  <c r="P117" i="15"/>
  <c r="Q117" i="15"/>
  <c r="R117" i="15"/>
  <c r="S117" i="15"/>
  <c r="T117" i="15"/>
  <c r="U117" i="15"/>
  <c r="V117" i="15"/>
  <c r="W117" i="15"/>
  <c r="X117" i="15"/>
  <c r="Y117" i="15"/>
  <c r="Z117" i="15"/>
  <c r="AA117" i="15"/>
  <c r="AB117" i="15"/>
  <c r="AC117" i="15"/>
  <c r="AD117" i="15"/>
  <c r="AE117" i="15"/>
  <c r="AG117" i="15"/>
  <c r="AH117" i="15"/>
  <c r="AI117" i="15"/>
  <c r="AK117" i="15"/>
  <c r="AL117" i="15"/>
  <c r="AM117" i="15"/>
  <c r="AN117" i="15"/>
  <c r="AO117" i="15"/>
  <c r="AQ117" i="15"/>
  <c r="AS117" i="15"/>
  <c r="AU117" i="15"/>
  <c r="AW117" i="15"/>
  <c r="AY117" i="15"/>
  <c r="BA117" i="15"/>
  <c r="BC117" i="15"/>
  <c r="BD117" i="15"/>
  <c r="BE117" i="15"/>
  <c r="BG117" i="15"/>
  <c r="BH117" i="15"/>
  <c r="BI117" i="15"/>
  <c r="BJ117" i="15"/>
  <c r="BK117" i="15"/>
  <c r="I120" i="15"/>
  <c r="AK120" i="15"/>
  <c r="BE120" i="15"/>
  <c r="BG120" i="15"/>
  <c r="BI120" i="15"/>
  <c r="BK120" i="15"/>
  <c r="I121" i="15"/>
  <c r="AK121" i="15"/>
  <c r="BE121" i="15"/>
  <c r="BG121" i="15"/>
  <c r="BI121" i="15"/>
  <c r="BK121" i="15"/>
  <c r="E122" i="15"/>
  <c r="G122" i="15"/>
  <c r="I122" i="15"/>
  <c r="J122" i="15"/>
  <c r="K122" i="15"/>
  <c r="L122" i="15"/>
  <c r="M122" i="15"/>
  <c r="N122" i="15"/>
  <c r="O122" i="15"/>
  <c r="P122" i="15"/>
  <c r="Q122" i="15"/>
  <c r="R122" i="15"/>
  <c r="S122" i="15"/>
  <c r="T122" i="15"/>
  <c r="U122" i="15"/>
  <c r="V122" i="15"/>
  <c r="W122" i="15"/>
  <c r="X122" i="15"/>
  <c r="Y122" i="15"/>
  <c r="Z122" i="15"/>
  <c r="AA122" i="15"/>
  <c r="AB122" i="15"/>
  <c r="AC122" i="15"/>
  <c r="AD122" i="15"/>
  <c r="AE122" i="15"/>
  <c r="AG122" i="15"/>
  <c r="AH122" i="15"/>
  <c r="AI122" i="15"/>
  <c r="AK122" i="15"/>
  <c r="AL122" i="15"/>
  <c r="AM122" i="15"/>
  <c r="AN122" i="15"/>
  <c r="AO122" i="15"/>
  <c r="AQ122" i="15"/>
  <c r="AS122" i="15"/>
  <c r="AU122" i="15"/>
  <c r="AW122" i="15"/>
  <c r="AY122" i="15"/>
  <c r="BA122" i="15"/>
  <c r="BC122" i="15"/>
  <c r="BD122" i="15"/>
  <c r="BE122" i="15"/>
  <c r="BG122" i="15"/>
  <c r="BH122" i="15"/>
  <c r="BI122" i="15"/>
  <c r="BJ122" i="15"/>
  <c r="BK122" i="15"/>
  <c r="BL122" i="15"/>
  <c r="I124" i="15"/>
  <c r="AK124" i="15"/>
  <c r="BE124" i="15"/>
  <c r="BG124" i="15"/>
  <c r="BI124" i="15"/>
  <c r="BK124" i="15"/>
  <c r="I126" i="15"/>
  <c r="AK126" i="15"/>
  <c r="BE126" i="15"/>
  <c r="BG126" i="15"/>
  <c r="BI126" i="15"/>
  <c r="BK126" i="15"/>
  <c r="I129" i="15"/>
  <c r="AK129" i="15"/>
  <c r="BE129" i="15"/>
  <c r="BG129" i="15"/>
  <c r="BI129" i="15"/>
  <c r="BK129" i="15"/>
  <c r="I130" i="15"/>
  <c r="AK130" i="15"/>
  <c r="BE130" i="15"/>
  <c r="BG130" i="15"/>
  <c r="BI130" i="15"/>
  <c r="BK130" i="15"/>
  <c r="E131" i="15"/>
  <c r="G131" i="15"/>
  <c r="I131" i="15"/>
  <c r="J131" i="15"/>
  <c r="K131" i="15"/>
  <c r="L131" i="15"/>
  <c r="M131" i="15"/>
  <c r="N131" i="15"/>
  <c r="O131" i="15"/>
  <c r="P131" i="15"/>
  <c r="Q131" i="15"/>
  <c r="R131" i="15"/>
  <c r="S131" i="15"/>
  <c r="T131" i="15"/>
  <c r="U131" i="15"/>
  <c r="V131" i="15"/>
  <c r="W131" i="15"/>
  <c r="X131" i="15"/>
  <c r="Y131" i="15"/>
  <c r="Z131" i="15"/>
  <c r="AA131" i="15"/>
  <c r="AB131" i="15"/>
  <c r="AC131" i="15"/>
  <c r="AD131" i="15"/>
  <c r="AE131" i="15"/>
  <c r="AG131" i="15"/>
  <c r="AH131" i="15"/>
  <c r="AI131" i="15"/>
  <c r="AK131" i="15"/>
  <c r="AL131" i="15"/>
  <c r="AM131" i="15"/>
  <c r="AN131" i="15"/>
  <c r="AO131" i="15"/>
  <c r="AQ131" i="15"/>
  <c r="AS131" i="15"/>
  <c r="AU131" i="15"/>
  <c r="AW131" i="15"/>
  <c r="AY131" i="15"/>
  <c r="BA131" i="15"/>
  <c r="BC131" i="15"/>
  <c r="BD131" i="15"/>
  <c r="BE131" i="15"/>
  <c r="BG131" i="15"/>
  <c r="BH131" i="15"/>
  <c r="BI131" i="15"/>
  <c r="BJ131" i="15"/>
  <c r="BK131" i="15"/>
  <c r="BL131" i="15"/>
  <c r="I134" i="15"/>
  <c r="AK134" i="15"/>
  <c r="AO134" i="15"/>
  <c r="BE134" i="15"/>
  <c r="BG134" i="15"/>
  <c r="BI134" i="15"/>
  <c r="BK134" i="15"/>
  <c r="I135" i="15"/>
  <c r="AK135" i="15"/>
  <c r="BE135" i="15"/>
  <c r="BG135" i="15"/>
  <c r="BI135" i="15"/>
  <c r="BK135" i="15"/>
  <c r="E136" i="15"/>
  <c r="G136" i="15"/>
  <c r="I136" i="15"/>
  <c r="J136" i="15"/>
  <c r="K136" i="15"/>
  <c r="L136" i="15"/>
  <c r="M136" i="15"/>
  <c r="N136" i="15"/>
  <c r="O136" i="15"/>
  <c r="P136" i="15"/>
  <c r="Q136" i="15"/>
  <c r="R136" i="15"/>
  <c r="S136" i="15"/>
  <c r="T136" i="15"/>
  <c r="U136" i="15"/>
  <c r="V136" i="15"/>
  <c r="W136" i="15"/>
  <c r="X136" i="15"/>
  <c r="Y136" i="15"/>
  <c r="Z136" i="15"/>
  <c r="AA136" i="15"/>
  <c r="AB136" i="15"/>
  <c r="AC136" i="15"/>
  <c r="AD136" i="15"/>
  <c r="AE136" i="15"/>
  <c r="AG136" i="15"/>
  <c r="AH136" i="15"/>
  <c r="AI136" i="15"/>
  <c r="AK136" i="15"/>
  <c r="AL136" i="15"/>
  <c r="AM136" i="15"/>
  <c r="AN136" i="15"/>
  <c r="AO136" i="15"/>
  <c r="AQ136" i="15"/>
  <c r="AS136" i="15"/>
  <c r="AU136" i="15"/>
  <c r="AW136" i="15"/>
  <c r="AY136" i="15"/>
  <c r="BA136" i="15"/>
  <c r="BC136" i="15"/>
  <c r="BD136" i="15"/>
  <c r="BE136" i="15"/>
  <c r="BG136" i="15"/>
  <c r="BH136" i="15"/>
  <c r="BI136" i="15"/>
  <c r="BJ136" i="15"/>
  <c r="BK136" i="15"/>
  <c r="E138" i="15"/>
  <c r="F138" i="15"/>
  <c r="G138" i="15"/>
  <c r="I138" i="15"/>
  <c r="J138" i="15"/>
  <c r="AK138" i="15"/>
  <c r="BE138" i="15"/>
  <c r="BG138" i="15"/>
  <c r="BI138" i="15"/>
  <c r="BK138" i="15"/>
  <c r="BG140" i="15"/>
  <c r="BI140" i="15"/>
  <c r="BK140" i="15"/>
  <c r="I141" i="15"/>
  <c r="AK141" i="15"/>
  <c r="BE141" i="15"/>
  <c r="BG141" i="15"/>
  <c r="BI141" i="15"/>
  <c r="BK141" i="15"/>
  <c r="I142" i="15"/>
  <c r="AK142" i="15"/>
  <c r="BE142" i="15"/>
  <c r="BG142" i="15"/>
  <c r="BI142" i="15"/>
  <c r="BK142" i="15"/>
  <c r="E143" i="15"/>
  <c r="G143" i="15"/>
  <c r="I143" i="15"/>
  <c r="J143" i="15"/>
  <c r="K143" i="15"/>
  <c r="L143" i="15"/>
  <c r="M143" i="15"/>
  <c r="N143" i="15"/>
  <c r="O143" i="15"/>
  <c r="P143" i="15"/>
  <c r="Q143" i="15"/>
  <c r="R143" i="15"/>
  <c r="S143" i="15"/>
  <c r="T143" i="15"/>
  <c r="U143" i="15"/>
  <c r="V143" i="15"/>
  <c r="W143" i="15"/>
  <c r="X143" i="15"/>
  <c r="Y143" i="15"/>
  <c r="Z143" i="15"/>
  <c r="AA143" i="15"/>
  <c r="AB143" i="15"/>
  <c r="AC143" i="15"/>
  <c r="AD143" i="15"/>
  <c r="AH143" i="15"/>
  <c r="AI143" i="15"/>
  <c r="AK143" i="15"/>
  <c r="AL143" i="15"/>
  <c r="AM143" i="15"/>
  <c r="AN143" i="15"/>
  <c r="AO143" i="15"/>
  <c r="AQ143" i="15"/>
  <c r="AS143" i="15"/>
  <c r="AU143" i="15"/>
  <c r="AW143" i="15"/>
  <c r="AY143" i="15"/>
  <c r="BA143" i="15"/>
  <c r="BC143" i="15"/>
  <c r="BD143" i="15"/>
  <c r="BE143" i="15"/>
  <c r="BG143" i="15"/>
  <c r="BH143" i="15"/>
  <c r="BI143" i="15"/>
  <c r="BJ143" i="15"/>
  <c r="BK143" i="15"/>
  <c r="BL143" i="15"/>
  <c r="I146" i="15"/>
  <c r="AK146" i="15"/>
  <c r="AO146" i="15"/>
  <c r="BE146" i="15"/>
  <c r="BG146" i="15"/>
  <c r="BI146" i="15"/>
  <c r="BK146" i="15"/>
  <c r="I147" i="15"/>
  <c r="AK147" i="15"/>
  <c r="BE147" i="15"/>
  <c r="BG147" i="15"/>
  <c r="BI147" i="15"/>
  <c r="BK147" i="15"/>
  <c r="E148" i="15"/>
  <c r="G148" i="15"/>
  <c r="I148" i="15"/>
  <c r="J148" i="15"/>
  <c r="K148" i="15"/>
  <c r="L148" i="15"/>
  <c r="M148" i="15"/>
  <c r="N148" i="15"/>
  <c r="O148" i="15"/>
  <c r="P148" i="15"/>
  <c r="Q148" i="15"/>
  <c r="R148" i="15"/>
  <c r="S148" i="15"/>
  <c r="T148" i="15"/>
  <c r="U148" i="15"/>
  <c r="V148" i="15"/>
  <c r="W148" i="15"/>
  <c r="X148" i="15"/>
  <c r="Y148" i="15"/>
  <c r="Z148" i="15"/>
  <c r="AA148" i="15"/>
  <c r="AB148" i="15"/>
  <c r="AC148" i="15"/>
  <c r="AD148" i="15"/>
  <c r="AG148" i="15"/>
  <c r="AH148" i="15"/>
  <c r="AI148" i="15"/>
  <c r="AK148" i="15"/>
  <c r="AL148" i="15"/>
  <c r="AM148" i="15"/>
  <c r="AN148" i="15"/>
  <c r="AO148" i="15"/>
  <c r="AQ148" i="15"/>
  <c r="AS148" i="15"/>
  <c r="AU148" i="15"/>
  <c r="AW148" i="15"/>
  <c r="AY148" i="15"/>
  <c r="BA148" i="15"/>
  <c r="BC148" i="15"/>
  <c r="BD148" i="15"/>
  <c r="BE148" i="15"/>
  <c r="BG148" i="15"/>
  <c r="BH148" i="15"/>
  <c r="BI148" i="15"/>
  <c r="BJ148" i="15"/>
  <c r="BK148" i="15"/>
  <c r="BL148" i="15"/>
  <c r="I150" i="15"/>
  <c r="AK150" i="15"/>
  <c r="BE150" i="15"/>
  <c r="BG150" i="15"/>
  <c r="BI150" i="15"/>
  <c r="BK150" i="15"/>
  <c r="I153" i="15"/>
  <c r="AK153" i="15"/>
  <c r="AO153" i="15"/>
  <c r="BE153" i="15"/>
  <c r="BG153" i="15"/>
  <c r="BI153" i="15"/>
  <c r="BK153" i="15"/>
  <c r="I154" i="15"/>
  <c r="AK154" i="15"/>
  <c r="BE154" i="15"/>
  <c r="BG154" i="15"/>
  <c r="BI154" i="15"/>
  <c r="BK154" i="15"/>
  <c r="I155" i="15"/>
  <c r="AK155" i="15"/>
  <c r="BE155" i="15"/>
  <c r="BG155" i="15"/>
  <c r="BI155" i="15"/>
  <c r="BK155" i="15"/>
  <c r="E156" i="15"/>
  <c r="G156" i="15"/>
  <c r="I156" i="15"/>
  <c r="J156" i="15"/>
  <c r="K156" i="15"/>
  <c r="L156" i="15"/>
  <c r="M156" i="15"/>
  <c r="N156" i="15"/>
  <c r="O156" i="15"/>
  <c r="P156" i="15"/>
  <c r="Q156" i="15"/>
  <c r="R156" i="15"/>
  <c r="S156" i="15"/>
  <c r="T156" i="15"/>
  <c r="U156" i="15"/>
  <c r="V156" i="15"/>
  <c r="W156" i="15"/>
  <c r="X156" i="15"/>
  <c r="Y156" i="15"/>
  <c r="Z156" i="15"/>
  <c r="AA156" i="15"/>
  <c r="AB156" i="15"/>
  <c r="AC156" i="15"/>
  <c r="AD156" i="15"/>
  <c r="AE156" i="15"/>
  <c r="AG156" i="15"/>
  <c r="AH156" i="15"/>
  <c r="AI156" i="15"/>
  <c r="AK156" i="15"/>
  <c r="AL156" i="15"/>
  <c r="AM156" i="15"/>
  <c r="AN156" i="15"/>
  <c r="AO156" i="15"/>
  <c r="AQ156" i="15"/>
  <c r="AS156" i="15"/>
  <c r="AU156" i="15"/>
  <c r="AW156" i="15"/>
  <c r="AY156" i="15"/>
  <c r="BA156" i="15"/>
  <c r="BC156" i="15"/>
  <c r="BD156" i="15"/>
  <c r="BE156" i="15"/>
  <c r="BG156" i="15"/>
  <c r="BH156" i="15"/>
  <c r="BI156" i="15"/>
  <c r="BJ156" i="15"/>
  <c r="BK156" i="15"/>
  <c r="BL156" i="15"/>
  <c r="E158" i="15"/>
  <c r="F158" i="15"/>
  <c r="G158" i="15"/>
  <c r="H158" i="15"/>
  <c r="I158" i="15"/>
  <c r="J158" i="15"/>
  <c r="K158" i="15"/>
  <c r="L158" i="15"/>
  <c r="M158" i="15"/>
  <c r="N158" i="15"/>
  <c r="O158" i="15"/>
  <c r="P158" i="15"/>
  <c r="Q158" i="15"/>
  <c r="R158" i="15"/>
  <c r="S158" i="15"/>
  <c r="T158" i="15"/>
  <c r="U158" i="15"/>
  <c r="V158" i="15"/>
  <c r="W158" i="15"/>
  <c r="X158" i="15"/>
  <c r="Y158" i="15"/>
  <c r="Z158" i="15"/>
  <c r="AA158" i="15"/>
  <c r="AB158" i="15"/>
  <c r="AC158" i="15"/>
  <c r="AD158" i="15"/>
  <c r="AE158" i="15"/>
  <c r="AF158" i="15"/>
  <c r="AG158" i="15"/>
  <c r="AH158" i="15"/>
  <c r="AI158" i="15"/>
  <c r="AJ158" i="15"/>
  <c r="AK158" i="15"/>
  <c r="AL158" i="15"/>
  <c r="AM158" i="15"/>
  <c r="AN158" i="15"/>
  <c r="AO158" i="15"/>
  <c r="AP158" i="15"/>
  <c r="AQ158" i="15"/>
  <c r="AR158" i="15"/>
  <c r="AS158" i="15"/>
  <c r="AT158" i="15"/>
  <c r="AU158" i="15"/>
  <c r="AV158" i="15"/>
  <c r="AW158" i="15"/>
  <c r="AX158" i="15"/>
  <c r="AY158" i="15"/>
  <c r="AZ158" i="15"/>
  <c r="BA158" i="15"/>
  <c r="BC158" i="15"/>
  <c r="BD158" i="15"/>
  <c r="BE158" i="15"/>
  <c r="BF158" i="15"/>
  <c r="BG158" i="15"/>
  <c r="BH158" i="15"/>
  <c r="BI158" i="15"/>
  <c r="BJ158" i="15"/>
  <c r="BK158" i="15"/>
  <c r="I160" i="15"/>
  <c r="AG160" i="15"/>
  <c r="AK160" i="15"/>
  <c r="BE160" i="15"/>
  <c r="BG160" i="15"/>
  <c r="BI160" i="15"/>
  <c r="BK160" i="15"/>
  <c r="I162" i="15"/>
  <c r="AK162" i="15"/>
  <c r="BE162" i="15"/>
  <c r="BG162" i="15"/>
  <c r="BI162" i="15"/>
  <c r="BK162" i="15"/>
  <c r="I164" i="15"/>
  <c r="AK164" i="15"/>
  <c r="BE164" i="15"/>
  <c r="BG164" i="15"/>
  <c r="BI164" i="15"/>
  <c r="BK164" i="15"/>
  <c r="I166" i="15"/>
  <c r="AK166" i="15"/>
  <c r="BE166" i="15"/>
  <c r="BG166" i="15"/>
  <c r="BI166" i="15"/>
  <c r="BK166" i="15"/>
  <c r="AG168" i="15"/>
  <c r="AI168" i="15"/>
  <c r="AK168" i="15"/>
  <c r="AO168" i="15"/>
  <c r="BE168" i="15"/>
  <c r="BG168" i="15"/>
  <c r="BI168" i="15"/>
  <c r="BK168" i="15"/>
  <c r="F171" i="15"/>
  <c r="G171" i="15"/>
  <c r="H171" i="15"/>
  <c r="I171" i="15"/>
  <c r="J171" i="15"/>
  <c r="K171" i="15"/>
  <c r="L171" i="15"/>
  <c r="M171" i="15"/>
  <c r="N171" i="15"/>
  <c r="O171" i="15"/>
  <c r="P171" i="15"/>
  <c r="Q171" i="15"/>
  <c r="R171" i="15"/>
  <c r="S171" i="15"/>
  <c r="T171" i="15"/>
  <c r="U171" i="15"/>
  <c r="V171" i="15"/>
  <c r="W171" i="15"/>
  <c r="X171" i="15"/>
  <c r="Y171" i="15"/>
  <c r="Z171" i="15"/>
  <c r="AA171" i="15"/>
  <c r="AB171" i="15"/>
  <c r="AC171" i="15"/>
  <c r="AD171" i="15"/>
  <c r="AE171" i="15"/>
  <c r="AF171" i="15"/>
  <c r="AG171" i="15"/>
  <c r="AH171" i="15"/>
  <c r="AI171" i="15"/>
  <c r="AJ171" i="15"/>
  <c r="AL171" i="15"/>
  <c r="AM171" i="15"/>
  <c r="AN171" i="15"/>
  <c r="AP171" i="15"/>
  <c r="AR171" i="15"/>
  <c r="AV171" i="15"/>
  <c r="AX171" i="15"/>
  <c r="AY171" i="15"/>
  <c r="AZ171" i="15"/>
  <c r="BA171" i="15"/>
  <c r="BC171" i="15"/>
  <c r="BD171" i="15"/>
  <c r="BE171" i="15"/>
  <c r="BF171" i="15"/>
  <c r="BH171" i="15"/>
  <c r="BI171" i="15"/>
  <c r="BJ171" i="15"/>
  <c r="BL171" i="15"/>
  <c r="E173" i="15"/>
  <c r="F173" i="15"/>
  <c r="G173" i="15"/>
  <c r="H173" i="15"/>
  <c r="I173" i="15"/>
  <c r="J173" i="15"/>
  <c r="K173" i="15"/>
  <c r="L173" i="15"/>
  <c r="M173" i="15"/>
  <c r="N173" i="15"/>
  <c r="O173" i="15"/>
  <c r="P173" i="15"/>
  <c r="Q173" i="15"/>
  <c r="R173" i="15"/>
  <c r="S173" i="15"/>
  <c r="T173" i="15"/>
  <c r="U173" i="15"/>
  <c r="V173" i="15"/>
  <c r="W173" i="15"/>
  <c r="X173" i="15"/>
  <c r="Y173" i="15"/>
  <c r="Z173" i="15"/>
  <c r="AA173" i="15"/>
  <c r="AB173" i="15"/>
  <c r="AC173" i="15"/>
  <c r="AD173" i="15"/>
  <c r="AE173" i="15"/>
  <c r="AG173" i="15"/>
  <c r="AH173" i="15"/>
  <c r="AI173" i="15"/>
  <c r="AK173" i="15"/>
  <c r="AL173" i="15"/>
  <c r="AM173" i="15"/>
  <c r="AN173" i="15"/>
  <c r="AO173" i="15"/>
  <c r="AQ173" i="15"/>
  <c r="AS173" i="15"/>
  <c r="AU173" i="15"/>
  <c r="AW173" i="15"/>
  <c r="AY173" i="15"/>
  <c r="BA173" i="15"/>
  <c r="BC173" i="15"/>
  <c r="BD173" i="15"/>
  <c r="BE173" i="15"/>
  <c r="BG173" i="15"/>
  <c r="BH173" i="15"/>
  <c r="BI173" i="15"/>
  <c r="BJ173" i="15"/>
  <c r="BK173" i="15"/>
  <c r="BL173" i="15"/>
  <c r="BE175" i="15"/>
  <c r="G177" i="15"/>
  <c r="AU177" i="15"/>
  <c r="I179" i="15"/>
  <c r="S179" i="15"/>
  <c r="BE179" i="15"/>
  <c r="BG179" i="15"/>
  <c r="BI179" i="15"/>
  <c r="BK179" i="15"/>
  <c r="I182" i="15"/>
  <c r="S182" i="15"/>
  <c r="Y182" i="15"/>
  <c r="AA182" i="15"/>
  <c r="AK182" i="15"/>
  <c r="BE182" i="15"/>
  <c r="BG182" i="15"/>
  <c r="BI182" i="15"/>
  <c r="BK182" i="15"/>
  <c r="G183" i="15"/>
  <c r="AK183" i="15"/>
  <c r="BE183" i="15"/>
  <c r="BG183" i="15"/>
  <c r="BI183" i="15"/>
  <c r="BK183" i="15"/>
  <c r="G184" i="15"/>
  <c r="AK184" i="15"/>
  <c r="BG184" i="15"/>
  <c r="BI184" i="15"/>
  <c r="BK184" i="15"/>
  <c r="BE185" i="15"/>
  <c r="E186" i="15"/>
  <c r="I186" i="15"/>
  <c r="K186" i="15"/>
  <c r="M186" i="15"/>
  <c r="O186" i="15"/>
  <c r="Q186" i="15"/>
  <c r="S186" i="15"/>
  <c r="U186" i="15"/>
  <c r="W186" i="15"/>
  <c r="Y186" i="15"/>
  <c r="AA186" i="15"/>
  <c r="AC186" i="15"/>
  <c r="AE186" i="15"/>
  <c r="AG186" i="15"/>
  <c r="AI186" i="15"/>
  <c r="AK186" i="15"/>
  <c r="AM186" i="15"/>
  <c r="AO186" i="15"/>
  <c r="AQ186" i="15"/>
  <c r="AS186" i="15"/>
  <c r="AU186" i="15"/>
  <c r="BA186" i="15"/>
  <c r="BC186" i="15"/>
  <c r="BD186" i="15"/>
  <c r="BE186" i="15"/>
  <c r="BG186" i="15"/>
  <c r="BI186" i="15"/>
  <c r="BK186" i="15"/>
  <c r="G189" i="15"/>
  <c r="I189" i="15"/>
  <c r="Q189" i="15"/>
  <c r="U189" i="15"/>
  <c r="AA189" i="15"/>
  <c r="AE189" i="15"/>
  <c r="AG189" i="15"/>
  <c r="AK189" i="15"/>
  <c r="BE189" i="15"/>
  <c r="BG189" i="15"/>
  <c r="BI189" i="15"/>
  <c r="BK189" i="15"/>
  <c r="I190" i="15"/>
  <c r="Q190" i="15"/>
  <c r="U190" i="15"/>
  <c r="W190" i="15"/>
  <c r="AA190" i="15"/>
  <c r="AC190" i="15"/>
  <c r="AI190" i="15"/>
  <c r="AK190" i="15"/>
  <c r="BE190" i="15"/>
  <c r="BG190" i="15"/>
  <c r="BI190" i="15"/>
  <c r="BK190" i="15"/>
  <c r="G191" i="15"/>
  <c r="AK191" i="15"/>
  <c r="BE191" i="15"/>
  <c r="BG191" i="15"/>
  <c r="BI191" i="15"/>
  <c r="BK191" i="15"/>
  <c r="E193" i="15"/>
  <c r="I193" i="15"/>
  <c r="K193" i="15"/>
  <c r="M193" i="15"/>
  <c r="O193" i="15"/>
  <c r="Q193" i="15"/>
  <c r="S193" i="15"/>
  <c r="U193" i="15"/>
  <c r="W193" i="15"/>
  <c r="Y193" i="15"/>
  <c r="AA193" i="15"/>
  <c r="AC193" i="15"/>
  <c r="AE193" i="15"/>
  <c r="AG193" i="15"/>
  <c r="AI193" i="15"/>
  <c r="AK193" i="15"/>
  <c r="AM193" i="15"/>
  <c r="AO193" i="15"/>
  <c r="AQ193" i="15"/>
  <c r="AU193" i="15"/>
  <c r="AW193" i="15"/>
  <c r="AY193" i="15"/>
  <c r="BC193" i="15"/>
  <c r="BD193" i="15"/>
  <c r="BE193" i="15"/>
  <c r="BG193" i="15"/>
  <c r="BI193" i="15"/>
  <c r="BK193" i="15"/>
  <c r="I197" i="15"/>
  <c r="AK197" i="15"/>
  <c r="BE197" i="15"/>
  <c r="BG197" i="15"/>
  <c r="BI197" i="15"/>
  <c r="BK197" i="15"/>
  <c r="I199" i="15"/>
  <c r="AK199" i="15"/>
  <c r="BE199" i="15"/>
  <c r="BG199" i="15"/>
  <c r="BI199" i="15"/>
  <c r="BK199" i="15"/>
  <c r="I201" i="15"/>
  <c r="AK201" i="15"/>
  <c r="BE201" i="15"/>
  <c r="BG201" i="15"/>
  <c r="BI201" i="15"/>
  <c r="BK201" i="15"/>
  <c r="I203" i="15"/>
  <c r="AK203" i="15"/>
  <c r="BE203" i="15"/>
  <c r="BG203" i="15"/>
  <c r="BI203" i="15"/>
  <c r="BK203" i="15"/>
  <c r="E205" i="15"/>
  <c r="I205" i="15"/>
  <c r="K205" i="15"/>
  <c r="M205" i="15"/>
  <c r="O205" i="15"/>
  <c r="Q205" i="15"/>
  <c r="S205" i="15"/>
  <c r="U205" i="15"/>
  <c r="W205" i="15"/>
  <c r="Y205" i="15"/>
  <c r="AA205" i="15"/>
  <c r="AC205" i="15"/>
  <c r="AE205" i="15"/>
  <c r="AG205" i="15"/>
  <c r="AI205" i="15"/>
  <c r="AK205" i="15"/>
  <c r="AM205" i="15"/>
  <c r="BE205" i="15"/>
  <c r="BG205" i="15"/>
  <c r="BI205" i="15"/>
  <c r="BK205" i="15"/>
  <c r="I207" i="15"/>
  <c r="AK207" i="15"/>
  <c r="BG207" i="15"/>
  <c r="BI207" i="15"/>
  <c r="BK207" i="15"/>
  <c r="I209" i="15"/>
  <c r="AK209" i="15"/>
  <c r="BE209" i="15"/>
  <c r="BG209" i="15"/>
  <c r="BI209" i="15"/>
  <c r="BK209" i="15"/>
  <c r="I211" i="15"/>
  <c r="AK211" i="15"/>
  <c r="BE211" i="15"/>
  <c r="BG211" i="15"/>
  <c r="BI211" i="15"/>
  <c r="BK211" i="15"/>
  <c r="I213" i="15"/>
  <c r="AK213" i="15"/>
  <c r="BE213" i="15"/>
  <c r="BG213" i="15"/>
  <c r="BI213" i="15"/>
  <c r="BK213" i="15"/>
  <c r="I215" i="15"/>
  <c r="AK215" i="15"/>
  <c r="BE215" i="15"/>
  <c r="BG215" i="15"/>
  <c r="BI215" i="15"/>
  <c r="BK215" i="15"/>
  <c r="G217" i="15"/>
  <c r="I217" i="15"/>
  <c r="K217" i="15"/>
  <c r="M217" i="15"/>
  <c r="AK217" i="15"/>
  <c r="AO217" i="15"/>
  <c r="AW217" i="15"/>
  <c r="BE217" i="15"/>
  <c r="BG217" i="15"/>
  <c r="BI217" i="15"/>
  <c r="BK217" i="15"/>
  <c r="E219" i="15"/>
  <c r="F219" i="15"/>
  <c r="G219" i="15"/>
  <c r="H219" i="15"/>
  <c r="I219" i="15"/>
  <c r="J219" i="15"/>
  <c r="K219" i="15"/>
  <c r="L219" i="15"/>
  <c r="M219" i="15"/>
  <c r="N219" i="15"/>
  <c r="O219" i="15"/>
  <c r="P219" i="15"/>
  <c r="Q219" i="15"/>
  <c r="R219" i="15"/>
  <c r="S219" i="15"/>
  <c r="T219" i="15"/>
  <c r="U219" i="15"/>
  <c r="V219" i="15"/>
  <c r="W219" i="15"/>
  <c r="X219" i="15"/>
  <c r="Y219" i="15"/>
  <c r="Z219" i="15"/>
  <c r="AA219" i="15"/>
  <c r="AB219" i="15"/>
  <c r="AC219" i="15"/>
  <c r="AD219" i="15"/>
  <c r="AE219" i="15"/>
  <c r="AF219" i="15"/>
  <c r="AG219" i="15"/>
  <c r="AH219" i="15"/>
  <c r="AI219" i="15"/>
  <c r="AJ219" i="15"/>
  <c r="AK219" i="15"/>
  <c r="AL219" i="15"/>
  <c r="AM219" i="15"/>
  <c r="AN219" i="15"/>
  <c r="AO219" i="15"/>
  <c r="AP219" i="15"/>
  <c r="AQ219" i="15"/>
  <c r="AR219" i="15"/>
  <c r="AS219" i="15"/>
  <c r="AT219" i="15"/>
  <c r="AU219" i="15"/>
  <c r="AV219" i="15"/>
  <c r="AW219" i="15"/>
  <c r="AX219" i="15"/>
  <c r="AY219" i="15"/>
  <c r="AZ219" i="15"/>
  <c r="BA219" i="15"/>
  <c r="BB219" i="15"/>
  <c r="BC219" i="15"/>
  <c r="BD219" i="15"/>
  <c r="BE219" i="15"/>
  <c r="BF219" i="15"/>
  <c r="BG219" i="15"/>
  <c r="BH219" i="15"/>
  <c r="BI219" i="15"/>
  <c r="BJ219" i="15"/>
  <c r="BK219" i="15"/>
  <c r="BL219" i="15"/>
  <c r="BM219" i="15"/>
  <c r="G222" i="15"/>
  <c r="AK222" i="15"/>
  <c r="BE222" i="15"/>
  <c r="BG222" i="15"/>
  <c r="BI222" i="15"/>
  <c r="BK222" i="15"/>
  <c r="G223" i="15"/>
  <c r="AK223" i="15"/>
  <c r="BE223" i="15"/>
  <c r="BG223" i="15"/>
  <c r="BI223" i="15"/>
  <c r="BK223" i="15"/>
  <c r="G224" i="15"/>
  <c r="AK224" i="15"/>
  <c r="BE224" i="15"/>
  <c r="BG224" i="15"/>
  <c r="BI224" i="15"/>
  <c r="BK224" i="15"/>
  <c r="G225" i="15"/>
  <c r="AK225" i="15"/>
  <c r="BE225" i="15"/>
  <c r="BG225" i="15"/>
  <c r="BI225" i="15"/>
  <c r="BK225" i="15"/>
  <c r="G226" i="15"/>
  <c r="AK226" i="15"/>
  <c r="BE226" i="15"/>
  <c r="BG226" i="15"/>
  <c r="BI226" i="15"/>
  <c r="BK226" i="15"/>
  <c r="E228" i="15"/>
  <c r="G228" i="15"/>
  <c r="I228" i="15"/>
  <c r="K228" i="15"/>
  <c r="M228" i="15"/>
  <c r="O228" i="15"/>
  <c r="Q228" i="15"/>
  <c r="S228" i="15"/>
  <c r="U228" i="15"/>
  <c r="W228" i="15"/>
  <c r="Y228" i="15"/>
  <c r="AA228" i="15"/>
  <c r="AC228" i="15"/>
  <c r="AE228" i="15"/>
  <c r="AG228" i="15"/>
  <c r="AI228" i="15"/>
  <c r="AK228" i="15"/>
  <c r="AM228" i="15"/>
  <c r="AO228" i="15"/>
  <c r="AQ228" i="15"/>
  <c r="AS228" i="15"/>
  <c r="AU228" i="15"/>
  <c r="AW228" i="15"/>
  <c r="AY228" i="15"/>
  <c r="BA228" i="15"/>
  <c r="BC228" i="15"/>
  <c r="BD228" i="15"/>
  <c r="BE228" i="15"/>
  <c r="BG228" i="15"/>
  <c r="BI228" i="15"/>
  <c r="BK228" i="15"/>
  <c r="G230" i="15"/>
  <c r="AK230" i="15"/>
  <c r="BE230" i="15"/>
  <c r="BG230" i="15"/>
  <c r="BI230" i="15"/>
  <c r="BK230" i="15"/>
  <c r="I233" i="15"/>
  <c r="AK233" i="15"/>
  <c r="BE233" i="15"/>
  <c r="BG233" i="15"/>
  <c r="BI233" i="15"/>
  <c r="BK233" i="15"/>
  <c r="I234" i="15"/>
  <c r="AK234" i="15"/>
  <c r="BE234" i="15"/>
  <c r="BG234" i="15"/>
  <c r="BI234" i="15"/>
  <c r="BK234" i="15"/>
  <c r="I235" i="15"/>
  <c r="AK235" i="15"/>
  <c r="BE235" i="15"/>
  <c r="BG235" i="15"/>
  <c r="BI235" i="15"/>
  <c r="BK235" i="15"/>
  <c r="I236" i="15"/>
  <c r="AK236" i="15"/>
  <c r="BE236" i="15"/>
  <c r="BG236" i="15"/>
  <c r="BI236" i="15"/>
  <c r="BK236" i="15"/>
  <c r="I237" i="15"/>
  <c r="AK237" i="15"/>
  <c r="BE237" i="15"/>
  <c r="BG237" i="15"/>
  <c r="BI237" i="15"/>
  <c r="BK237" i="15"/>
  <c r="I238" i="15"/>
  <c r="AK238" i="15"/>
  <c r="BE238" i="15"/>
  <c r="BG238" i="15"/>
  <c r="BI238" i="15"/>
  <c r="BK238" i="15"/>
  <c r="I239" i="15"/>
  <c r="AK239" i="15"/>
  <c r="BE239" i="15"/>
  <c r="BG239" i="15"/>
  <c r="BI239" i="15"/>
  <c r="BK239" i="15"/>
  <c r="I240" i="15"/>
  <c r="AK240" i="15"/>
  <c r="BE240" i="15"/>
  <c r="BG240" i="15"/>
  <c r="BI240" i="15"/>
  <c r="BK240" i="15"/>
  <c r="I241" i="15"/>
  <c r="K241" i="15"/>
  <c r="O241" i="15"/>
  <c r="Q241" i="15"/>
  <c r="S241" i="15"/>
  <c r="U241" i="15"/>
  <c r="W241" i="15"/>
  <c r="Y241" i="15"/>
  <c r="AA241" i="15"/>
  <c r="AC241" i="15"/>
  <c r="AE241" i="15"/>
  <c r="AG241" i="15"/>
  <c r="AI241" i="15"/>
  <c r="AK241" i="15"/>
  <c r="AO241" i="15"/>
  <c r="AU241" i="15"/>
  <c r="BE241" i="15"/>
  <c r="BG241" i="15"/>
  <c r="BI241" i="15"/>
  <c r="BK241" i="15"/>
  <c r="E243" i="15"/>
  <c r="I243" i="15"/>
  <c r="K243" i="15"/>
  <c r="M243" i="15"/>
  <c r="O243" i="15"/>
  <c r="Q243" i="15"/>
  <c r="S243" i="15"/>
  <c r="U243" i="15"/>
  <c r="W243" i="15"/>
  <c r="Y243" i="15"/>
  <c r="AA243" i="15"/>
  <c r="AC243" i="15"/>
  <c r="AE243" i="15"/>
  <c r="AG243" i="15"/>
  <c r="AI243" i="15"/>
  <c r="AK243" i="15"/>
  <c r="AM243" i="15"/>
  <c r="AO243" i="15"/>
  <c r="AQ243" i="15"/>
  <c r="BC243" i="15"/>
  <c r="BD243" i="15"/>
  <c r="BE243" i="15"/>
  <c r="BG243" i="15"/>
  <c r="BI243" i="15"/>
  <c r="BK243" i="15"/>
  <c r="AK245" i="15"/>
  <c r="BE245" i="15"/>
  <c r="BG245" i="15"/>
  <c r="BI245" i="15"/>
  <c r="I246" i="15"/>
  <c r="K246" i="15"/>
  <c r="AC246" i="15"/>
  <c r="AG246" i="15"/>
  <c r="AI246" i="15"/>
  <c r="AK246" i="15"/>
  <c r="AU246" i="15"/>
  <c r="BG246" i="15"/>
  <c r="BI246" i="15"/>
  <c r="BK246" i="15"/>
  <c r="I247" i="15"/>
  <c r="K247" i="15"/>
  <c r="Y247" i="15"/>
  <c r="AC247" i="15"/>
  <c r="AI247" i="15"/>
  <c r="AK247" i="15"/>
  <c r="BC247" i="15"/>
  <c r="BE247" i="15"/>
  <c r="BG247" i="15"/>
  <c r="BI247" i="15"/>
  <c r="BK247" i="15"/>
  <c r="I248" i="15"/>
  <c r="AK248" i="15"/>
  <c r="BG248" i="15"/>
  <c r="BI248" i="15"/>
  <c r="BK248" i="15"/>
  <c r="G249" i="15"/>
  <c r="AK249" i="15"/>
  <c r="BE249" i="15"/>
  <c r="BG249" i="15"/>
  <c r="BI249" i="15"/>
  <c r="BK249" i="15"/>
  <c r="E251" i="15"/>
  <c r="I251" i="15"/>
  <c r="K251" i="15"/>
  <c r="M251" i="15"/>
  <c r="O251" i="15"/>
  <c r="Q251" i="15"/>
  <c r="S251" i="15"/>
  <c r="U251" i="15"/>
  <c r="W251" i="15"/>
  <c r="Y251" i="15"/>
  <c r="AA251" i="15"/>
  <c r="AC251" i="15"/>
  <c r="AE251" i="15"/>
  <c r="AG251" i="15"/>
  <c r="AI251" i="15"/>
  <c r="AK251" i="15"/>
  <c r="AM251" i="15"/>
  <c r="AO251" i="15"/>
  <c r="AQ251" i="15"/>
  <c r="AW251" i="15"/>
  <c r="BD251" i="15"/>
  <c r="BE251" i="15"/>
  <c r="BG251" i="15"/>
  <c r="BI251" i="15"/>
  <c r="BK251" i="15"/>
  <c r="G253" i="15"/>
  <c r="AK253" i="15"/>
  <c r="BE253" i="15"/>
  <c r="BG253" i="15"/>
  <c r="BI253" i="15"/>
  <c r="BK253" i="15"/>
  <c r="I255" i="15"/>
  <c r="AK255" i="15"/>
  <c r="BE255" i="15"/>
  <c r="BG255" i="15"/>
  <c r="BI255" i="15"/>
  <c r="BK255" i="15"/>
  <c r="G257" i="15"/>
  <c r="AK257" i="15"/>
  <c r="BE257" i="15"/>
  <c r="BG257" i="15"/>
  <c r="BI257" i="15"/>
  <c r="BK257" i="15"/>
  <c r="E259" i="15"/>
  <c r="G259" i="15"/>
  <c r="I259" i="15"/>
  <c r="K259" i="15"/>
  <c r="M259" i="15"/>
  <c r="O259" i="15"/>
  <c r="Q259" i="15"/>
  <c r="S259" i="15"/>
  <c r="U259" i="15"/>
  <c r="W259" i="15"/>
  <c r="Y259" i="15"/>
  <c r="AA259" i="15"/>
  <c r="AC259" i="15"/>
  <c r="AE259" i="15"/>
  <c r="AG259" i="15"/>
  <c r="AI259" i="15"/>
  <c r="AK259" i="15"/>
  <c r="AM259" i="15"/>
  <c r="AO259" i="15"/>
  <c r="AQ259" i="15"/>
  <c r="AS259" i="15"/>
  <c r="AU259" i="15"/>
  <c r="AW259" i="15"/>
  <c r="AY259" i="15"/>
  <c r="BA259" i="15"/>
  <c r="BC259" i="15"/>
  <c r="BD259" i="15"/>
  <c r="BE259" i="15"/>
  <c r="BG259" i="15"/>
  <c r="BI259" i="15"/>
  <c r="BK259" i="15"/>
  <c r="E261" i="15"/>
  <c r="G261" i="15"/>
  <c r="I261" i="15"/>
  <c r="K261" i="15"/>
  <c r="M261" i="15"/>
  <c r="O261" i="15"/>
  <c r="Q261" i="15"/>
  <c r="S261" i="15"/>
  <c r="U261" i="15"/>
  <c r="W261" i="15"/>
  <c r="Y261" i="15"/>
  <c r="AA261" i="15"/>
  <c r="AC261" i="15"/>
  <c r="AE261" i="15"/>
  <c r="AG261" i="15"/>
  <c r="AI261" i="15"/>
  <c r="AK261" i="15"/>
  <c r="AM261" i="15"/>
  <c r="AO261" i="15"/>
  <c r="AQ261" i="15"/>
  <c r="AS261" i="15"/>
  <c r="AU261" i="15"/>
  <c r="AW261" i="15"/>
  <c r="AY261" i="15"/>
  <c r="BA261" i="15"/>
  <c r="BC261" i="15"/>
  <c r="BD261" i="15"/>
  <c r="BE261" i="15"/>
  <c r="BG261" i="15"/>
  <c r="BI261" i="15"/>
  <c r="BK261" i="15"/>
  <c r="E263" i="15"/>
  <c r="G263" i="15"/>
  <c r="BI263" i="15"/>
  <c r="AK265" i="15"/>
  <c r="AO265" i="15"/>
  <c r="AQ265" i="15"/>
  <c r="BE265" i="15"/>
  <c r="AK267" i="15"/>
  <c r="BE267" i="15"/>
  <c r="E269" i="15"/>
  <c r="F269" i="15"/>
  <c r="G269" i="15"/>
  <c r="H269" i="15"/>
  <c r="I269" i="15"/>
  <c r="J269" i="15"/>
  <c r="K269" i="15"/>
  <c r="L269" i="15"/>
  <c r="M269" i="15"/>
  <c r="N269" i="15"/>
  <c r="O269" i="15"/>
  <c r="P269" i="15"/>
  <c r="Q269" i="15"/>
  <c r="R269" i="15"/>
  <c r="S269" i="15"/>
  <c r="T269" i="15"/>
  <c r="U269" i="15"/>
  <c r="V269" i="15"/>
  <c r="W269" i="15"/>
  <c r="X269" i="15"/>
  <c r="Y269" i="15"/>
  <c r="Z269" i="15"/>
  <c r="AA269" i="15"/>
  <c r="AB269" i="15"/>
  <c r="AC269" i="15"/>
  <c r="AD269" i="15"/>
  <c r="AE269" i="15"/>
  <c r="AF269" i="15"/>
  <c r="AG269" i="15"/>
  <c r="AH269" i="15"/>
  <c r="AI269" i="15"/>
  <c r="AJ269" i="15"/>
  <c r="AK269" i="15"/>
  <c r="AL269" i="15"/>
  <c r="AM269" i="15"/>
  <c r="AN269" i="15"/>
  <c r="AO269" i="15"/>
  <c r="AP269" i="15"/>
  <c r="AQ269" i="15"/>
  <c r="AR269" i="15"/>
  <c r="AS269" i="15"/>
  <c r="AT269" i="15"/>
  <c r="AU269" i="15"/>
  <c r="AV269" i="15"/>
  <c r="AW269" i="15"/>
  <c r="AX269" i="15"/>
  <c r="AY269" i="15"/>
  <c r="AZ269" i="15"/>
  <c r="BA269" i="15"/>
  <c r="BC269" i="15"/>
  <c r="BD269" i="15"/>
  <c r="BE269" i="15"/>
  <c r="BF269" i="15"/>
  <c r="BG269" i="15"/>
  <c r="BH269" i="15"/>
  <c r="BI269" i="15"/>
  <c r="BJ269" i="15"/>
  <c r="BK269" i="15"/>
  <c r="E272" i="15"/>
  <c r="F272" i="15"/>
  <c r="G272" i="15"/>
  <c r="H272" i="15"/>
  <c r="I272" i="15"/>
  <c r="J272" i="15"/>
  <c r="K272" i="15"/>
  <c r="L272" i="15"/>
  <c r="M272" i="15"/>
  <c r="N272" i="15"/>
  <c r="O272" i="15"/>
  <c r="P272" i="15"/>
  <c r="Q272" i="15"/>
  <c r="R272" i="15"/>
  <c r="S272" i="15"/>
  <c r="T272" i="15"/>
  <c r="U272" i="15"/>
  <c r="V272" i="15"/>
  <c r="W272" i="15"/>
  <c r="X272" i="15"/>
  <c r="Y272" i="15"/>
  <c r="Z272" i="15"/>
  <c r="AA272" i="15"/>
  <c r="AB272" i="15"/>
  <c r="AC272" i="15"/>
  <c r="AD272" i="15"/>
  <c r="AE272" i="15"/>
  <c r="AG272" i="15"/>
  <c r="AH272" i="15"/>
  <c r="AI272" i="15"/>
  <c r="AJ272" i="15"/>
  <c r="AK272" i="15"/>
  <c r="AL272" i="15"/>
  <c r="AM272" i="15"/>
  <c r="AN272" i="15"/>
  <c r="AO272" i="15"/>
  <c r="AQ272" i="15"/>
  <c r="AS272" i="15"/>
  <c r="AU272" i="15"/>
  <c r="AW272" i="15"/>
  <c r="AY272" i="15"/>
  <c r="BA272" i="15"/>
  <c r="BC272" i="15"/>
  <c r="BD272" i="15"/>
  <c r="BE272" i="15"/>
  <c r="BG272" i="15"/>
  <c r="BH272" i="15"/>
  <c r="BI272" i="15"/>
  <c r="BJ272" i="15"/>
  <c r="BK272" i="15"/>
  <c r="I275" i="15"/>
  <c r="AK275" i="15"/>
  <c r="BE275" i="15"/>
  <c r="BG275" i="15"/>
  <c r="BI275" i="15"/>
  <c r="BK275" i="15"/>
  <c r="I276" i="15"/>
  <c r="S276" i="15"/>
  <c r="AK276" i="15"/>
  <c r="BE276" i="15"/>
  <c r="BG276" i="15"/>
  <c r="BI276" i="15"/>
  <c r="BK276" i="15"/>
  <c r="I277" i="15"/>
  <c r="AK277" i="15"/>
  <c r="BE277" i="15"/>
  <c r="BG277" i="15"/>
  <c r="BI277" i="15"/>
  <c r="BK277" i="15"/>
  <c r="E278" i="15"/>
  <c r="F278" i="15"/>
  <c r="G278" i="15"/>
  <c r="H278" i="15"/>
  <c r="I278" i="15"/>
  <c r="J278" i="15"/>
  <c r="K278" i="15"/>
  <c r="L278" i="15"/>
  <c r="M278" i="15"/>
  <c r="N278" i="15"/>
  <c r="O278" i="15"/>
  <c r="P278" i="15"/>
  <c r="Q278" i="15"/>
  <c r="R278" i="15"/>
  <c r="S278" i="15"/>
  <c r="T278" i="15"/>
  <c r="U278" i="15"/>
  <c r="V278" i="15"/>
  <c r="W278" i="15"/>
  <c r="X278" i="15"/>
  <c r="Y278" i="15"/>
  <c r="Z278" i="15"/>
  <c r="AA278" i="15"/>
  <c r="AB278" i="15"/>
  <c r="AC278" i="15"/>
  <c r="AD278" i="15"/>
  <c r="AE278" i="15"/>
  <c r="AG278" i="15"/>
  <c r="AH278" i="15"/>
  <c r="AI278" i="15"/>
  <c r="AJ278" i="15"/>
  <c r="AK278" i="15"/>
  <c r="AL278" i="15"/>
  <c r="AM278" i="15"/>
  <c r="AN278" i="15"/>
  <c r="AO278" i="15"/>
  <c r="AQ278" i="15"/>
  <c r="AS278" i="15"/>
  <c r="AU278" i="15"/>
  <c r="AW278" i="15"/>
  <c r="AY278" i="15"/>
  <c r="BA278" i="15"/>
  <c r="BC278" i="15"/>
  <c r="BD278" i="15"/>
  <c r="BE278" i="15"/>
  <c r="BG278" i="15"/>
  <c r="BH278" i="15"/>
  <c r="BI278" i="15"/>
  <c r="BJ278" i="15"/>
  <c r="BK278" i="15"/>
  <c r="AK280" i="15"/>
  <c r="BE280" i="15"/>
  <c r="BG280" i="15"/>
  <c r="BI280" i="15"/>
  <c r="BK280" i="15"/>
  <c r="AI282" i="15"/>
  <c r="AK282" i="15"/>
  <c r="AQ282" i="15"/>
  <c r="BE282" i="15"/>
  <c r="BG282" i="15"/>
  <c r="BI282" i="15"/>
  <c r="BK282" i="15"/>
  <c r="I284" i="15"/>
  <c r="AI284" i="15"/>
  <c r="AK284" i="15"/>
  <c r="AO284" i="15"/>
  <c r="AQ284" i="15"/>
  <c r="BE284" i="15"/>
  <c r="BG284" i="15"/>
  <c r="BI284" i="15"/>
  <c r="BK284" i="15"/>
  <c r="I286" i="15"/>
  <c r="AK286" i="15"/>
  <c r="BE286" i="15"/>
  <c r="BG286" i="15"/>
  <c r="BI286" i="15"/>
  <c r="BK286" i="15"/>
  <c r="E288" i="15"/>
  <c r="F288" i="15"/>
  <c r="G288" i="15"/>
  <c r="H288" i="15"/>
  <c r="I288" i="15"/>
  <c r="J288" i="15"/>
  <c r="K288" i="15"/>
  <c r="L288" i="15"/>
  <c r="M288" i="15"/>
  <c r="N288" i="15"/>
  <c r="O288" i="15"/>
  <c r="P288" i="15"/>
  <c r="Q288" i="15"/>
  <c r="R288" i="15"/>
  <c r="S288" i="15"/>
  <c r="T288" i="15"/>
  <c r="U288" i="15"/>
  <c r="V288" i="15"/>
  <c r="W288" i="15"/>
  <c r="X288" i="15"/>
  <c r="Y288" i="15"/>
  <c r="Z288" i="15"/>
  <c r="AA288" i="15"/>
  <c r="AB288" i="15"/>
  <c r="AC288" i="15"/>
  <c r="AD288" i="15"/>
  <c r="AE288" i="15"/>
  <c r="AF288" i="15"/>
  <c r="AG288" i="15"/>
  <c r="AH288" i="15"/>
  <c r="AI288" i="15"/>
  <c r="AJ288" i="15"/>
  <c r="AK288" i="15"/>
  <c r="AL288" i="15"/>
  <c r="AM288" i="15"/>
  <c r="AN288" i="15"/>
  <c r="AO288" i="15"/>
  <c r="AP288" i="15"/>
  <c r="AQ288" i="15"/>
  <c r="AR288" i="15"/>
  <c r="AS288" i="15"/>
  <c r="AT288" i="15"/>
  <c r="AU288" i="15"/>
  <c r="AV288" i="15"/>
  <c r="AW288" i="15"/>
  <c r="AX288" i="15"/>
  <c r="AY288" i="15"/>
  <c r="AZ288" i="15"/>
  <c r="BA288" i="15"/>
  <c r="BC288" i="15"/>
  <c r="BD288" i="15"/>
  <c r="BE288" i="15"/>
  <c r="BF288" i="15"/>
  <c r="BG288" i="15"/>
  <c r="BH288" i="15"/>
  <c r="BI288" i="15"/>
  <c r="BJ288" i="15"/>
  <c r="BK288" i="15"/>
  <c r="BL288" i="15"/>
  <c r="E421" i="15"/>
  <c r="G421" i="15"/>
  <c r="I421" i="15"/>
  <c r="K421" i="15"/>
  <c r="M421" i="15"/>
  <c r="O421" i="15"/>
  <c r="Q421" i="15"/>
  <c r="S421" i="15"/>
  <c r="U421" i="15"/>
  <c r="W421" i="15"/>
  <c r="Y421" i="15"/>
  <c r="AA421" i="15"/>
  <c r="AC421" i="15"/>
  <c r="AE421" i="15"/>
  <c r="AG421" i="15"/>
  <c r="AI421" i="15"/>
  <c r="AK421" i="15"/>
  <c r="AM421" i="15"/>
  <c r="AO421" i="15"/>
  <c r="AQ421" i="15"/>
  <c r="AS421" i="15"/>
  <c r="AU421" i="15"/>
  <c r="AW421" i="15"/>
  <c r="AY421" i="15"/>
  <c r="BA421" i="15"/>
  <c r="BC421" i="15"/>
  <c r="BE421" i="15"/>
  <c r="BG421" i="15"/>
  <c r="BI421" i="15"/>
  <c r="AK423" i="15"/>
  <c r="BC423" i="15"/>
  <c r="BE423" i="15"/>
  <c r="BG423" i="15"/>
  <c r="BI423" i="15"/>
  <c r="E425" i="15"/>
  <c r="G425" i="15"/>
  <c r="I425" i="15"/>
  <c r="K425" i="15"/>
  <c r="M425" i="15"/>
  <c r="O425" i="15"/>
  <c r="Q425" i="15"/>
  <c r="S425" i="15"/>
  <c r="U425" i="15"/>
  <c r="W425" i="15"/>
  <c r="Y425" i="15"/>
  <c r="AA425" i="15"/>
  <c r="AC425" i="15"/>
  <c r="AE425" i="15"/>
  <c r="AG425" i="15"/>
  <c r="AI425" i="15"/>
  <c r="AK425" i="15"/>
  <c r="AM425" i="15"/>
  <c r="AO425" i="15"/>
  <c r="AQ425" i="15"/>
  <c r="AS425" i="15"/>
  <c r="AU425" i="15"/>
  <c r="AW425" i="15"/>
  <c r="AY425" i="15"/>
  <c r="BA425" i="15"/>
  <c r="BC425" i="15"/>
  <c r="BE425" i="15"/>
  <c r="BG425" i="15"/>
  <c r="BI425" i="15"/>
  <c r="G6" i="3"/>
  <c r="G7" i="3"/>
  <c r="G8" i="3"/>
  <c r="G10" i="3"/>
  <c r="G12" i="3"/>
  <c r="C14" i="3"/>
  <c r="E14" i="3"/>
  <c r="G14" i="3"/>
  <c r="G7" i="5"/>
  <c r="AG7" i="5"/>
  <c r="AI7" i="5"/>
  <c r="AM7" i="5"/>
  <c r="AO7" i="5"/>
  <c r="AQ7" i="5"/>
  <c r="AS7" i="5"/>
  <c r="AU7" i="5"/>
  <c r="AW7" i="5"/>
  <c r="AY7" i="5"/>
  <c r="BA7" i="5"/>
  <c r="BC7" i="5"/>
  <c r="BE7" i="5"/>
  <c r="BG7" i="5"/>
  <c r="BI7" i="5"/>
  <c r="BK7" i="5"/>
  <c r="BM7" i="5"/>
  <c r="I9" i="5"/>
  <c r="M9" i="5"/>
  <c r="AK9" i="5"/>
  <c r="BM9" i="5"/>
  <c r="BO9" i="5"/>
  <c r="BQ9" i="5"/>
  <c r="BS9" i="5"/>
  <c r="I10" i="5"/>
  <c r="AK10" i="5"/>
  <c r="BM10" i="5"/>
  <c r="BO10" i="5"/>
  <c r="BQ10" i="5"/>
  <c r="BS10" i="5"/>
  <c r="E11" i="5"/>
  <c r="I11" i="5"/>
  <c r="M11" i="5"/>
  <c r="W11" i="5"/>
  <c r="AK11" i="5"/>
  <c r="BM11" i="5"/>
  <c r="BO11" i="5"/>
  <c r="BQ11" i="5"/>
  <c r="BS11" i="5"/>
  <c r="E12" i="5"/>
  <c r="I12" i="5"/>
  <c r="U12" i="5"/>
  <c r="W12" i="5"/>
  <c r="Y12" i="5"/>
  <c r="AA12" i="5"/>
  <c r="AC12" i="5"/>
  <c r="AE12" i="5"/>
  <c r="AG12" i="5"/>
  <c r="AI12" i="5"/>
  <c r="AK12" i="5"/>
  <c r="AO12" i="5"/>
  <c r="AQ12" i="5"/>
  <c r="AS12" i="5"/>
  <c r="AU12" i="5"/>
  <c r="AW12" i="5"/>
  <c r="AY12" i="5"/>
  <c r="BA12" i="5"/>
  <c r="BC12" i="5"/>
  <c r="BE12" i="5"/>
  <c r="BG12" i="5"/>
  <c r="BI12" i="5"/>
  <c r="BK12" i="5"/>
  <c r="BM12" i="5"/>
  <c r="BO12" i="5"/>
  <c r="BQ12" i="5"/>
  <c r="BS12" i="5"/>
  <c r="G13" i="5"/>
  <c r="I13" i="5"/>
  <c r="AK13" i="5"/>
  <c r="BA13" i="5"/>
  <c r="BC13" i="5"/>
  <c r="BE13" i="5"/>
  <c r="BG13" i="5"/>
  <c r="BI13" i="5"/>
  <c r="BM13" i="5"/>
  <c r="BO13" i="5"/>
  <c r="BQ13" i="5"/>
  <c r="BS13" i="5"/>
  <c r="I14" i="5"/>
  <c r="AK14" i="5"/>
  <c r="BE14" i="5"/>
  <c r="BG14" i="5"/>
  <c r="BM14" i="5"/>
  <c r="BO14" i="5"/>
  <c r="BQ14" i="5"/>
  <c r="BS14" i="5"/>
  <c r="I15" i="5"/>
  <c r="S15" i="5"/>
  <c r="AK15" i="5"/>
  <c r="AQ15" i="5"/>
  <c r="BM15" i="5"/>
  <c r="BO15" i="5"/>
  <c r="BQ15" i="5"/>
  <c r="BS15" i="5"/>
  <c r="E16" i="5"/>
  <c r="G16" i="5"/>
  <c r="I16" i="5"/>
  <c r="Q16" i="5"/>
  <c r="S16" i="5"/>
  <c r="U16" i="5"/>
  <c r="W16" i="5"/>
  <c r="Y16" i="5"/>
  <c r="AA16" i="5"/>
  <c r="AC16" i="5"/>
  <c r="AE16" i="5"/>
  <c r="AG16" i="5"/>
  <c r="AK16" i="5"/>
  <c r="AS16" i="5"/>
  <c r="AU16" i="5"/>
  <c r="BC16" i="5"/>
  <c r="BK16" i="5"/>
  <c r="BM16" i="5"/>
  <c r="BQ16" i="5"/>
  <c r="BS16" i="5"/>
  <c r="I17" i="5"/>
  <c r="AK17" i="5"/>
  <c r="BM17" i="5"/>
  <c r="BO17" i="5"/>
  <c r="BQ17" i="5"/>
  <c r="BS17" i="5"/>
  <c r="I18" i="5"/>
  <c r="AK18" i="5"/>
  <c r="BM18" i="5"/>
  <c r="BO18" i="5"/>
  <c r="BQ18" i="5"/>
  <c r="BS18" i="5"/>
  <c r="I19" i="5"/>
  <c r="BM19" i="5"/>
  <c r="BO19" i="5"/>
  <c r="BQ19" i="5"/>
  <c r="BS19" i="5"/>
  <c r="I20" i="5"/>
  <c r="AK20" i="5"/>
  <c r="AS20" i="5"/>
  <c r="AU20" i="5"/>
  <c r="AY20" i="5"/>
  <c r="BC20" i="5"/>
  <c r="BM20" i="5"/>
  <c r="BO20" i="5"/>
  <c r="BQ20" i="5"/>
  <c r="BS20" i="5"/>
  <c r="BM21" i="5"/>
  <c r="E22" i="5"/>
  <c r="G22" i="5"/>
  <c r="I22" i="5"/>
  <c r="K22" i="5"/>
  <c r="M22" i="5"/>
  <c r="O22" i="5"/>
  <c r="Q22" i="5"/>
  <c r="S22" i="5"/>
  <c r="U22" i="5"/>
  <c r="W22" i="5"/>
  <c r="Y22" i="5"/>
  <c r="AA22" i="5"/>
  <c r="AC22" i="5"/>
  <c r="AE22" i="5"/>
  <c r="AG22" i="5"/>
  <c r="AI22" i="5"/>
  <c r="AK22" i="5"/>
  <c r="AM22" i="5"/>
  <c r="AO22" i="5"/>
  <c r="AQ22" i="5"/>
  <c r="AS22" i="5"/>
  <c r="AU22" i="5"/>
  <c r="AW22" i="5"/>
  <c r="AY22" i="5"/>
  <c r="BA22" i="5"/>
  <c r="BC22" i="5"/>
  <c r="BE22" i="5"/>
  <c r="BG22" i="5"/>
  <c r="BI22" i="5"/>
  <c r="BK22" i="5"/>
  <c r="BM22" i="5"/>
  <c r="BO22" i="5"/>
  <c r="BQ22" i="5"/>
  <c r="BS22" i="5"/>
  <c r="I24" i="5"/>
  <c r="AK24" i="5"/>
  <c r="BM24" i="5"/>
  <c r="BQ24" i="5"/>
  <c r="BS24" i="5"/>
  <c r="I25" i="5"/>
  <c r="AK25" i="5"/>
  <c r="BM25" i="5"/>
  <c r="BQ25" i="5"/>
  <c r="BS25" i="5"/>
  <c r="G26" i="5"/>
  <c r="AK26" i="5"/>
  <c r="BM26" i="5"/>
  <c r="BO26" i="5"/>
  <c r="BQ26" i="5"/>
  <c r="BS26" i="5"/>
  <c r="G27" i="5"/>
  <c r="AK27" i="5"/>
  <c r="BM27" i="5"/>
  <c r="BO27" i="5"/>
  <c r="BQ27" i="5"/>
  <c r="BS27" i="5"/>
  <c r="G28" i="5"/>
  <c r="AK28" i="5"/>
  <c r="BM28" i="5"/>
  <c r="BO28" i="5"/>
  <c r="BQ28" i="5"/>
  <c r="BS28" i="5"/>
  <c r="G29" i="5"/>
  <c r="AK29" i="5"/>
  <c r="BM29" i="5"/>
  <c r="BO29" i="5"/>
  <c r="BQ29" i="5"/>
  <c r="BS29" i="5"/>
  <c r="G30" i="5"/>
  <c r="AK30" i="5"/>
  <c r="BM30" i="5"/>
  <c r="BO30" i="5"/>
  <c r="BQ30" i="5"/>
  <c r="BS30" i="5"/>
  <c r="G31" i="5"/>
  <c r="AK31" i="5"/>
  <c r="BM31" i="5"/>
  <c r="BO31" i="5"/>
  <c r="BQ31" i="5"/>
  <c r="BS31" i="5"/>
  <c r="G32" i="5"/>
  <c r="AK32" i="5"/>
  <c r="BM32" i="5"/>
  <c r="BO32" i="5"/>
  <c r="BQ32" i="5"/>
  <c r="BS32" i="5"/>
  <c r="BO33" i="5"/>
  <c r="E34" i="5"/>
  <c r="G34" i="5"/>
  <c r="I34" i="5"/>
  <c r="K34" i="5"/>
  <c r="M34" i="5"/>
  <c r="O34" i="5"/>
  <c r="Q34" i="5"/>
  <c r="S34" i="5"/>
  <c r="U34" i="5"/>
  <c r="W34" i="5"/>
  <c r="Y34" i="5"/>
  <c r="AA34" i="5"/>
  <c r="AC34" i="5"/>
  <c r="AE34" i="5"/>
  <c r="AG34" i="5"/>
  <c r="AI34" i="5"/>
  <c r="AK34" i="5"/>
  <c r="AM34" i="5"/>
  <c r="AO34" i="5"/>
  <c r="AQ34" i="5"/>
  <c r="AS34" i="5"/>
  <c r="AU34" i="5"/>
  <c r="AW34" i="5"/>
  <c r="AY34" i="5"/>
  <c r="BA34" i="5"/>
  <c r="BC34" i="5"/>
  <c r="BE34" i="5"/>
  <c r="BG34" i="5"/>
  <c r="BI34" i="5"/>
  <c r="BK34" i="5"/>
  <c r="BM34" i="5"/>
  <c r="BO34" i="5"/>
  <c r="BQ34" i="5"/>
  <c r="BS34" i="5"/>
  <c r="E36" i="5"/>
  <c r="G36" i="5"/>
  <c r="I36" i="5"/>
  <c r="K36" i="5"/>
  <c r="M36" i="5"/>
  <c r="O36" i="5"/>
  <c r="Q36" i="5"/>
  <c r="S36" i="5"/>
  <c r="U36" i="5"/>
  <c r="W36" i="5"/>
  <c r="Y36" i="5"/>
  <c r="AA36" i="5"/>
  <c r="AC36" i="5"/>
  <c r="AE36" i="5"/>
  <c r="AG36" i="5"/>
  <c r="AI36" i="5"/>
  <c r="AK36" i="5"/>
  <c r="AM36" i="5"/>
  <c r="AO36" i="5"/>
  <c r="AQ36" i="5"/>
  <c r="AS36" i="5"/>
  <c r="AU36" i="5"/>
  <c r="AW36" i="5"/>
  <c r="AY36" i="5"/>
  <c r="BA36" i="5"/>
  <c r="BC36" i="5"/>
  <c r="BE36" i="5"/>
  <c r="BG36" i="5"/>
  <c r="BI36" i="5"/>
  <c r="BK36" i="5"/>
  <c r="BM36" i="5"/>
  <c r="BO36" i="5"/>
  <c r="BQ36" i="5"/>
  <c r="BS36" i="5"/>
  <c r="G37" i="5"/>
  <c r="I39" i="5"/>
  <c r="AI39" i="5"/>
  <c r="AK39" i="5"/>
  <c r="AQ39" i="5"/>
  <c r="AS39" i="5"/>
  <c r="AU39" i="5"/>
  <c r="AW39" i="5"/>
  <c r="AY39" i="5"/>
  <c r="BM39" i="5"/>
  <c r="BQ39" i="5"/>
  <c r="BS39" i="5"/>
  <c r="E40" i="5"/>
  <c r="I40" i="5"/>
  <c r="AI40" i="5"/>
  <c r="AK40" i="5"/>
  <c r="AQ40" i="5"/>
  <c r="AW40" i="5"/>
  <c r="AY40" i="5"/>
  <c r="BA40" i="5"/>
  <c r="BC40" i="5"/>
  <c r="BE40" i="5"/>
  <c r="BG40" i="5"/>
  <c r="BM40" i="5"/>
  <c r="BO40" i="5"/>
  <c r="BQ40" i="5"/>
  <c r="BS40" i="5"/>
  <c r="E41" i="5"/>
  <c r="I41" i="5"/>
  <c r="AK41" i="5"/>
  <c r="BM41" i="5"/>
  <c r="BO41" i="5"/>
  <c r="BQ41" i="5"/>
  <c r="BS41" i="5"/>
  <c r="I42" i="5"/>
  <c r="AK42" i="5"/>
  <c r="BA42" i="5"/>
  <c r="BM42" i="5"/>
  <c r="BO42" i="5"/>
  <c r="BQ42" i="5"/>
  <c r="BS42" i="5"/>
  <c r="I43" i="5"/>
  <c r="AK43" i="5"/>
  <c r="BM43" i="5"/>
  <c r="BO43" i="5"/>
  <c r="BQ43" i="5"/>
  <c r="BS43" i="5"/>
  <c r="I44" i="5"/>
  <c r="AK44" i="5"/>
  <c r="BM44" i="5"/>
  <c r="BO44" i="5"/>
  <c r="BQ44" i="5"/>
  <c r="BS44" i="5"/>
  <c r="E46" i="5"/>
  <c r="G46" i="5"/>
  <c r="I46" i="5"/>
  <c r="K46" i="5"/>
  <c r="M46" i="5"/>
  <c r="O46" i="5"/>
  <c r="Q46" i="5"/>
  <c r="S46" i="5"/>
  <c r="U46" i="5"/>
  <c r="W46" i="5"/>
  <c r="Y46" i="5"/>
  <c r="AA46" i="5"/>
  <c r="AC46" i="5"/>
  <c r="AE46" i="5"/>
  <c r="AG46" i="5"/>
  <c r="AI46" i="5"/>
  <c r="AK46" i="5"/>
  <c r="AM46" i="5"/>
  <c r="AO46" i="5"/>
  <c r="AQ46" i="5"/>
  <c r="AS46" i="5"/>
  <c r="AU46" i="5"/>
  <c r="AW46" i="5"/>
  <c r="AY46" i="5"/>
  <c r="BA46" i="5"/>
  <c r="BC46" i="5"/>
  <c r="BE46" i="5"/>
  <c r="BG46" i="5"/>
  <c r="BI46" i="5"/>
  <c r="BK46" i="5"/>
  <c r="BM46" i="5"/>
  <c r="BO46" i="5"/>
  <c r="BQ46" i="5"/>
  <c r="BS46" i="5"/>
  <c r="I48" i="5"/>
  <c r="J48" i="5"/>
  <c r="AG48" i="5"/>
  <c r="AI48" i="5"/>
  <c r="AK48" i="5"/>
  <c r="AO48" i="5"/>
  <c r="AQ48" i="5"/>
  <c r="AS48" i="5"/>
  <c r="AU48" i="5"/>
  <c r="AW48" i="5"/>
  <c r="AY48" i="5"/>
  <c r="BE48" i="5"/>
  <c r="BG48" i="5"/>
  <c r="BI48" i="5"/>
  <c r="BM48" i="5"/>
  <c r="BO48" i="5"/>
  <c r="BQ48" i="5"/>
  <c r="BS48" i="5"/>
  <c r="I51" i="5"/>
  <c r="AK51" i="5"/>
  <c r="AQ51" i="5"/>
  <c r="AS51" i="5"/>
  <c r="AU51" i="5"/>
  <c r="AW51" i="5"/>
  <c r="AY51" i="5"/>
  <c r="BE51" i="5"/>
  <c r="BG51" i="5"/>
  <c r="BI51" i="5"/>
  <c r="BM51" i="5"/>
  <c r="BO51" i="5"/>
  <c r="BQ51" i="5"/>
  <c r="BS51" i="5"/>
  <c r="I52" i="5"/>
  <c r="AG52" i="5"/>
  <c r="AI52" i="5"/>
  <c r="AK52" i="5"/>
  <c r="AO52" i="5"/>
  <c r="AQ52" i="5"/>
  <c r="AS52" i="5"/>
  <c r="AU52" i="5"/>
  <c r="AW52" i="5"/>
  <c r="AY52" i="5"/>
  <c r="BE52" i="5"/>
  <c r="BG52" i="5"/>
  <c r="BI52" i="5"/>
  <c r="BM52" i="5"/>
  <c r="BO52" i="5"/>
  <c r="BQ52" i="5"/>
  <c r="BS52" i="5"/>
  <c r="E53" i="5"/>
  <c r="G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G53" i="5"/>
  <c r="AH53" i="5"/>
  <c r="AI53" i="5"/>
  <c r="AK53" i="5"/>
  <c r="AL53" i="5"/>
  <c r="AM53" i="5"/>
  <c r="AN53" i="5"/>
  <c r="AO53" i="5"/>
  <c r="AQ53" i="5"/>
  <c r="AS53" i="5"/>
  <c r="AU53" i="5"/>
  <c r="AW53" i="5"/>
  <c r="AY53" i="5"/>
  <c r="BA53" i="5"/>
  <c r="BC53" i="5"/>
  <c r="BE53" i="5"/>
  <c r="BG53" i="5"/>
  <c r="BI53" i="5"/>
  <c r="BK53" i="5"/>
  <c r="BM53" i="5"/>
  <c r="BO53" i="5"/>
  <c r="BP53" i="5"/>
  <c r="BQ53" i="5"/>
  <c r="BR53" i="5"/>
  <c r="BS53" i="5"/>
  <c r="I56" i="5"/>
  <c r="AK56" i="5"/>
  <c r="AQ56" i="5"/>
  <c r="AS56" i="5"/>
  <c r="AU56" i="5"/>
  <c r="AW56" i="5"/>
  <c r="AY56" i="5"/>
  <c r="BE56" i="5"/>
  <c r="BG56" i="5"/>
  <c r="BI56" i="5"/>
  <c r="BM56" i="5"/>
  <c r="BO56" i="5"/>
  <c r="BQ56" i="5"/>
  <c r="BS56" i="5"/>
  <c r="I57" i="5"/>
  <c r="AK57" i="5"/>
  <c r="AS57" i="5"/>
  <c r="AU57" i="5"/>
  <c r="AY57" i="5"/>
  <c r="BG57" i="5"/>
  <c r="BI57" i="5"/>
  <c r="BK57" i="5"/>
  <c r="BM57" i="5"/>
  <c r="BO57" i="5"/>
  <c r="BQ57" i="5"/>
  <c r="BS57" i="5"/>
  <c r="I58" i="5"/>
  <c r="AK58" i="5"/>
  <c r="AQ58" i="5"/>
  <c r="AS58" i="5"/>
  <c r="AU58" i="5"/>
  <c r="AY58" i="5"/>
  <c r="BI58" i="5"/>
  <c r="BK58" i="5"/>
  <c r="BM58" i="5"/>
  <c r="BO58" i="5"/>
  <c r="BQ58" i="5"/>
  <c r="BS58" i="5"/>
  <c r="I59" i="5"/>
  <c r="AK59" i="5"/>
  <c r="AQ59" i="5"/>
  <c r="AS59" i="5"/>
  <c r="AU59" i="5"/>
  <c r="BI59" i="5"/>
  <c r="BK59" i="5"/>
  <c r="BM59" i="5"/>
  <c r="BO59" i="5"/>
  <c r="BQ59" i="5"/>
  <c r="BS59" i="5"/>
  <c r="I60" i="5"/>
  <c r="AK60" i="5"/>
  <c r="BI60" i="5"/>
  <c r="BK60" i="5"/>
  <c r="BM60" i="5"/>
  <c r="BO60" i="5"/>
  <c r="BQ60" i="5"/>
  <c r="BS60" i="5"/>
  <c r="I61" i="5"/>
  <c r="AK61" i="5"/>
  <c r="AQ61" i="5"/>
  <c r="AS61" i="5"/>
  <c r="AU61" i="5"/>
  <c r="AW61" i="5"/>
  <c r="AY61" i="5"/>
  <c r="BI61" i="5"/>
  <c r="BK61" i="5"/>
  <c r="BM61" i="5"/>
  <c r="BO61" i="5"/>
  <c r="BQ61" i="5"/>
  <c r="BS61" i="5"/>
  <c r="I62" i="5"/>
  <c r="AK62" i="5"/>
  <c r="AQ62" i="5"/>
  <c r="AS62" i="5"/>
  <c r="AU62" i="5"/>
  <c r="AW62" i="5"/>
  <c r="AY62" i="5"/>
  <c r="BE62" i="5"/>
  <c r="BG62" i="5"/>
  <c r="BI62" i="5"/>
  <c r="BK62" i="5"/>
  <c r="BM62" i="5"/>
  <c r="BO62" i="5"/>
  <c r="BQ62" i="5"/>
  <c r="BS62" i="5"/>
  <c r="I63" i="5"/>
  <c r="AK63" i="5"/>
  <c r="AQ63" i="5"/>
  <c r="AS63" i="5"/>
  <c r="AU63" i="5"/>
  <c r="AW63" i="5"/>
  <c r="AY63" i="5"/>
  <c r="BE63" i="5"/>
  <c r="BG63" i="5"/>
  <c r="BI63" i="5"/>
  <c r="BK63" i="5"/>
  <c r="BM63" i="5"/>
  <c r="BO63" i="5"/>
  <c r="BQ63" i="5"/>
  <c r="BS63" i="5"/>
  <c r="I64" i="5"/>
  <c r="AK64" i="5"/>
  <c r="AQ64" i="5"/>
  <c r="AS64" i="5"/>
  <c r="AU64" i="5"/>
  <c r="AW64" i="5"/>
  <c r="AY64" i="5"/>
  <c r="BE64" i="5"/>
  <c r="BG64" i="5"/>
  <c r="BI64" i="5"/>
  <c r="BM64" i="5"/>
  <c r="BO64" i="5"/>
  <c r="BQ64" i="5"/>
  <c r="BS64" i="5"/>
  <c r="I65" i="5"/>
  <c r="AK65" i="5"/>
  <c r="BM65" i="5"/>
  <c r="BO65" i="5"/>
  <c r="BQ65" i="5"/>
  <c r="BS65" i="5"/>
  <c r="E66" i="5"/>
  <c r="G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G66" i="5"/>
  <c r="AH66" i="5"/>
  <c r="AI66" i="5"/>
  <c r="AK66" i="5"/>
  <c r="AL66" i="5"/>
  <c r="AM66" i="5"/>
  <c r="AN66" i="5"/>
  <c r="AO66" i="5"/>
  <c r="AQ66" i="5"/>
  <c r="AS66" i="5"/>
  <c r="AU66" i="5"/>
  <c r="AW66" i="5"/>
  <c r="AY66" i="5"/>
  <c r="BA66" i="5"/>
  <c r="BC66" i="5"/>
  <c r="BE66" i="5"/>
  <c r="BG66" i="5"/>
  <c r="BI66" i="5"/>
  <c r="BK66" i="5"/>
  <c r="BM66" i="5"/>
  <c r="BO66" i="5"/>
  <c r="BP66" i="5"/>
  <c r="BQ66" i="5"/>
  <c r="BR66" i="5"/>
  <c r="BS66" i="5"/>
  <c r="BT66" i="5"/>
  <c r="I69" i="5"/>
  <c r="AK69" i="5"/>
  <c r="AQ69" i="5"/>
  <c r="AS69" i="5"/>
  <c r="AU69" i="5"/>
  <c r="AW69" i="5"/>
  <c r="AY69" i="5"/>
  <c r="BE69" i="5"/>
  <c r="BG69" i="5"/>
  <c r="BI69" i="5"/>
  <c r="BM69" i="5"/>
  <c r="BO69" i="5"/>
  <c r="BQ69" i="5"/>
  <c r="BS69" i="5"/>
  <c r="I70" i="5"/>
  <c r="AK70" i="5"/>
  <c r="AY70" i="5"/>
  <c r="BA70" i="5"/>
  <c r="BC70" i="5"/>
  <c r="BE70" i="5"/>
  <c r="BG70" i="5"/>
  <c r="BI70" i="5"/>
  <c r="BK70" i="5"/>
  <c r="BM70" i="5"/>
  <c r="BO70" i="5"/>
  <c r="BQ70" i="5"/>
  <c r="BS70" i="5"/>
  <c r="I71" i="5"/>
  <c r="AK71" i="5"/>
  <c r="AQ71" i="5"/>
  <c r="AS71" i="5"/>
  <c r="AU71" i="5"/>
  <c r="AW71" i="5"/>
  <c r="AY71" i="5"/>
  <c r="BE71" i="5"/>
  <c r="BG71" i="5"/>
  <c r="BI71" i="5"/>
  <c r="BK71" i="5"/>
  <c r="BM71" i="5"/>
  <c r="BO71" i="5"/>
  <c r="BQ71" i="5"/>
  <c r="BS71" i="5"/>
  <c r="I72" i="5"/>
  <c r="AK72" i="5"/>
  <c r="AQ72" i="5"/>
  <c r="AU72" i="5"/>
  <c r="AY72" i="5"/>
  <c r="BE72" i="5"/>
  <c r="BI72" i="5"/>
  <c r="BM72" i="5"/>
  <c r="BO72" i="5"/>
  <c r="BQ72" i="5"/>
  <c r="BS72" i="5"/>
  <c r="I73" i="5"/>
  <c r="AK73" i="5"/>
  <c r="AQ73" i="5"/>
  <c r="AS73" i="5"/>
  <c r="AU73" i="5"/>
  <c r="AW73" i="5"/>
  <c r="AY73" i="5"/>
  <c r="BE73" i="5"/>
  <c r="BG73" i="5"/>
  <c r="BI73" i="5"/>
  <c r="BM73" i="5"/>
  <c r="BO73" i="5"/>
  <c r="BQ73" i="5"/>
  <c r="BS73" i="5"/>
  <c r="I74" i="5"/>
  <c r="AK74" i="5"/>
  <c r="AS74" i="5"/>
  <c r="AW74" i="5"/>
  <c r="AY74" i="5"/>
  <c r="BA74" i="5"/>
  <c r="BC74" i="5"/>
  <c r="BE74" i="5"/>
  <c r="BI74" i="5"/>
  <c r="BK74" i="5"/>
  <c r="BM74" i="5"/>
  <c r="BO74" i="5"/>
  <c r="BQ74" i="5"/>
  <c r="BS74" i="5"/>
  <c r="I75" i="5"/>
  <c r="AK75" i="5"/>
  <c r="AS75" i="5"/>
  <c r="AU75" i="5"/>
  <c r="AW75" i="5"/>
  <c r="AY75" i="5"/>
  <c r="BE75" i="5"/>
  <c r="BI75" i="5"/>
  <c r="BM75" i="5"/>
  <c r="BO75" i="5"/>
  <c r="BQ75" i="5"/>
  <c r="BS75" i="5"/>
  <c r="I76" i="5"/>
  <c r="AK76" i="5"/>
  <c r="AQ76" i="5"/>
  <c r="AS76" i="5"/>
  <c r="AU76" i="5"/>
  <c r="AW76" i="5"/>
  <c r="AY76" i="5"/>
  <c r="BE76" i="5"/>
  <c r="BG76" i="5"/>
  <c r="BI76" i="5"/>
  <c r="BM76" i="5"/>
  <c r="BO76" i="5"/>
  <c r="BQ76" i="5"/>
  <c r="BS76" i="5"/>
  <c r="I77" i="5"/>
  <c r="AK77" i="5"/>
  <c r="AQ77" i="5"/>
  <c r="AS77" i="5"/>
  <c r="AU77" i="5"/>
  <c r="AW77" i="5"/>
  <c r="AY77" i="5"/>
  <c r="BE77" i="5"/>
  <c r="BG77" i="5"/>
  <c r="BI77" i="5"/>
  <c r="BM77" i="5"/>
  <c r="BO77" i="5"/>
  <c r="BQ77" i="5"/>
  <c r="BS77" i="5"/>
  <c r="I78" i="5"/>
  <c r="AK78" i="5"/>
  <c r="AQ78" i="5"/>
  <c r="AS78" i="5"/>
  <c r="AU78" i="5"/>
  <c r="AW78" i="5"/>
  <c r="AY78" i="5"/>
  <c r="BE78" i="5"/>
  <c r="BG78" i="5"/>
  <c r="BI78" i="5"/>
  <c r="BM78" i="5"/>
  <c r="BO78" i="5"/>
  <c r="BQ78" i="5"/>
  <c r="BS78" i="5"/>
  <c r="I79" i="5"/>
  <c r="AK79" i="5"/>
  <c r="AS79" i="5"/>
  <c r="AU79" i="5"/>
  <c r="AW79" i="5"/>
  <c r="AY79" i="5"/>
  <c r="BE79" i="5"/>
  <c r="BI79" i="5"/>
  <c r="BM79" i="5"/>
  <c r="BO79" i="5"/>
  <c r="BQ79" i="5"/>
  <c r="BS79" i="5"/>
  <c r="I80" i="5"/>
  <c r="AK80" i="5"/>
  <c r="BI80" i="5"/>
  <c r="BK80" i="5"/>
  <c r="BM80" i="5"/>
  <c r="BO80" i="5"/>
  <c r="BQ80" i="5"/>
  <c r="BS80" i="5"/>
  <c r="E81" i="5"/>
  <c r="G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G81" i="5"/>
  <c r="AH81" i="5"/>
  <c r="AI81" i="5"/>
  <c r="AK81" i="5"/>
  <c r="AL81" i="5"/>
  <c r="AM81" i="5"/>
  <c r="AN81" i="5"/>
  <c r="AO81" i="5"/>
  <c r="AQ81" i="5"/>
  <c r="AS81" i="5"/>
  <c r="AU81" i="5"/>
  <c r="AW81" i="5"/>
  <c r="AY81" i="5"/>
  <c r="BA81" i="5"/>
  <c r="BC81" i="5"/>
  <c r="BE81" i="5"/>
  <c r="BG81" i="5"/>
  <c r="BI81" i="5"/>
  <c r="BK81" i="5"/>
  <c r="BM81" i="5"/>
  <c r="BO81" i="5"/>
  <c r="BP81" i="5"/>
  <c r="BQ81" i="5"/>
  <c r="BR81" i="5"/>
  <c r="BS81" i="5"/>
  <c r="BT81" i="5"/>
  <c r="I84" i="5"/>
  <c r="AK84" i="5"/>
  <c r="AO84" i="5"/>
  <c r="AS84" i="5"/>
  <c r="AU84" i="5"/>
  <c r="AW84" i="5"/>
  <c r="AY84" i="5"/>
  <c r="BE84" i="5"/>
  <c r="BG84" i="5"/>
  <c r="BI84" i="5"/>
  <c r="BK84" i="5"/>
  <c r="BM84" i="5"/>
  <c r="BO84" i="5"/>
  <c r="BQ84" i="5"/>
  <c r="BS84" i="5"/>
  <c r="I85" i="5"/>
  <c r="AK85" i="5"/>
  <c r="AU85" i="5"/>
  <c r="AW85" i="5"/>
  <c r="AY85" i="5"/>
  <c r="BE85" i="5"/>
  <c r="BG85" i="5"/>
  <c r="BI85" i="5"/>
  <c r="BM85" i="5"/>
  <c r="BO85" i="5"/>
  <c r="BQ85" i="5"/>
  <c r="BS85" i="5"/>
  <c r="E86" i="5"/>
  <c r="F86" i="5"/>
  <c r="G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W86" i="5"/>
  <c r="AY86" i="5"/>
  <c r="BA86" i="5"/>
  <c r="BC86" i="5"/>
  <c r="BE86" i="5"/>
  <c r="BG86" i="5"/>
  <c r="BI86" i="5"/>
  <c r="BK86" i="5"/>
  <c r="BM86" i="5"/>
  <c r="BN86" i="5"/>
  <c r="BO86" i="5"/>
  <c r="BP86" i="5"/>
  <c r="BQ86" i="5"/>
  <c r="BR86" i="5"/>
  <c r="BS86" i="5"/>
  <c r="BT86" i="5"/>
  <c r="I89" i="5"/>
  <c r="AK89" i="5"/>
  <c r="AQ89" i="5"/>
  <c r="AS89" i="5"/>
  <c r="AU89" i="5"/>
  <c r="AW89" i="5"/>
  <c r="AY89" i="5"/>
  <c r="BE89" i="5"/>
  <c r="BG89" i="5"/>
  <c r="BI89" i="5"/>
  <c r="BK89" i="5"/>
  <c r="BM89" i="5"/>
  <c r="BO89" i="5"/>
  <c r="BQ89" i="5"/>
  <c r="BS89" i="5"/>
  <c r="E90" i="5"/>
  <c r="G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G90" i="5"/>
  <c r="AH90" i="5"/>
  <c r="AI90" i="5"/>
  <c r="AK90" i="5"/>
  <c r="AL90" i="5"/>
  <c r="AM90" i="5"/>
  <c r="AN90" i="5"/>
  <c r="AO90" i="5"/>
  <c r="AQ90" i="5"/>
  <c r="AS90" i="5"/>
  <c r="AU90" i="5"/>
  <c r="AW90" i="5"/>
  <c r="AY90" i="5"/>
  <c r="BA90" i="5"/>
  <c r="BC90" i="5"/>
  <c r="BE90" i="5"/>
  <c r="BG90" i="5"/>
  <c r="BI90" i="5"/>
  <c r="BK90" i="5"/>
  <c r="BM90" i="5"/>
  <c r="BO90" i="5"/>
  <c r="BP90" i="5"/>
  <c r="BQ90" i="5"/>
  <c r="BR90" i="5"/>
  <c r="BS90" i="5"/>
  <c r="BT90" i="5"/>
  <c r="I93" i="5"/>
  <c r="AK93" i="5"/>
  <c r="AQ93" i="5"/>
  <c r="AS93" i="5"/>
  <c r="AU93" i="5"/>
  <c r="AW93" i="5"/>
  <c r="AY93" i="5"/>
  <c r="BE93" i="5"/>
  <c r="BI93" i="5"/>
  <c r="BK93" i="5"/>
  <c r="BM93" i="5"/>
  <c r="BO93" i="5"/>
  <c r="BQ93" i="5"/>
  <c r="BS93" i="5"/>
  <c r="E94" i="5"/>
  <c r="G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G94" i="5"/>
  <c r="AH94" i="5"/>
  <c r="AI94" i="5"/>
  <c r="AK94" i="5"/>
  <c r="AL94" i="5"/>
  <c r="AM94" i="5"/>
  <c r="AN94" i="5"/>
  <c r="AO94" i="5"/>
  <c r="AQ94" i="5"/>
  <c r="AS94" i="5"/>
  <c r="AU94" i="5"/>
  <c r="AW94" i="5"/>
  <c r="AY94" i="5"/>
  <c r="BA94" i="5"/>
  <c r="BC94" i="5"/>
  <c r="BE94" i="5"/>
  <c r="BG94" i="5"/>
  <c r="BI94" i="5"/>
  <c r="BK94" i="5"/>
  <c r="BM94" i="5"/>
  <c r="BO94" i="5"/>
  <c r="BP94" i="5"/>
  <c r="BQ94" i="5"/>
  <c r="BR94" i="5"/>
  <c r="BS94" i="5"/>
  <c r="BT94" i="5"/>
  <c r="I97" i="5"/>
  <c r="AK97" i="5"/>
  <c r="AQ97" i="5"/>
  <c r="AS97" i="5"/>
  <c r="AU97" i="5"/>
  <c r="AW97" i="5"/>
  <c r="AY97" i="5"/>
  <c r="BE97" i="5"/>
  <c r="BI97" i="5"/>
  <c r="BK97" i="5"/>
  <c r="BM97" i="5"/>
  <c r="BO97" i="5"/>
  <c r="BQ97" i="5"/>
  <c r="BS97" i="5"/>
  <c r="E98" i="5"/>
  <c r="G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G98" i="5"/>
  <c r="AH98" i="5"/>
  <c r="AI98" i="5"/>
  <c r="AK98" i="5"/>
  <c r="AL98" i="5"/>
  <c r="AM98" i="5"/>
  <c r="AN98" i="5"/>
  <c r="AO98" i="5"/>
  <c r="AQ98" i="5"/>
  <c r="AS98" i="5"/>
  <c r="AU98" i="5"/>
  <c r="AW98" i="5"/>
  <c r="AY98" i="5"/>
  <c r="BA98" i="5"/>
  <c r="BC98" i="5"/>
  <c r="BE98" i="5"/>
  <c r="BG98" i="5"/>
  <c r="BI98" i="5"/>
  <c r="BK98" i="5"/>
  <c r="BM98" i="5"/>
  <c r="BO98" i="5"/>
  <c r="BP98" i="5"/>
  <c r="BQ98" i="5"/>
  <c r="BR98" i="5"/>
  <c r="BS98" i="5"/>
  <c r="BT98" i="5"/>
  <c r="I101" i="5"/>
  <c r="AK101" i="5"/>
  <c r="AQ101" i="5"/>
  <c r="AS101" i="5"/>
  <c r="AU101" i="5"/>
  <c r="AW101" i="5"/>
  <c r="AY101" i="5"/>
  <c r="BI101" i="5"/>
  <c r="BK101" i="5"/>
  <c r="BM101" i="5"/>
  <c r="BO101" i="5"/>
  <c r="BQ101" i="5"/>
  <c r="BS101" i="5"/>
  <c r="E102" i="5"/>
  <c r="G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G102" i="5"/>
  <c r="AH102" i="5"/>
  <c r="AI102" i="5"/>
  <c r="AK102" i="5"/>
  <c r="AL102" i="5"/>
  <c r="AM102" i="5"/>
  <c r="AN102" i="5"/>
  <c r="AO102" i="5"/>
  <c r="AQ102" i="5"/>
  <c r="AS102" i="5"/>
  <c r="AU102" i="5"/>
  <c r="AW102" i="5"/>
  <c r="AY102" i="5"/>
  <c r="BA102" i="5"/>
  <c r="BC102" i="5"/>
  <c r="BE102" i="5"/>
  <c r="BG102" i="5"/>
  <c r="BI102" i="5"/>
  <c r="BK102" i="5"/>
  <c r="BM102" i="5"/>
  <c r="BO102" i="5"/>
  <c r="BP102" i="5"/>
  <c r="BQ102" i="5"/>
  <c r="BR102" i="5"/>
  <c r="BS102" i="5"/>
  <c r="I105" i="5"/>
  <c r="AK105" i="5"/>
  <c r="AW105" i="5"/>
  <c r="BI105" i="5"/>
  <c r="BK105" i="5"/>
  <c r="BM105" i="5"/>
  <c r="BO105" i="5"/>
  <c r="BQ105" i="5"/>
  <c r="BS105" i="5"/>
  <c r="E106" i="5"/>
  <c r="G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G106" i="5"/>
  <c r="AH106" i="5"/>
  <c r="AI106" i="5"/>
  <c r="AK106" i="5"/>
  <c r="AL106" i="5"/>
  <c r="AM106" i="5"/>
  <c r="AN106" i="5"/>
  <c r="AO106" i="5"/>
  <c r="AQ106" i="5"/>
  <c r="AS106" i="5"/>
  <c r="AU106" i="5"/>
  <c r="AW106" i="5"/>
  <c r="AY106" i="5"/>
  <c r="BA106" i="5"/>
  <c r="BC106" i="5"/>
  <c r="BE106" i="5"/>
  <c r="BG106" i="5"/>
  <c r="BI106" i="5"/>
  <c r="BK106" i="5"/>
  <c r="BM106" i="5"/>
  <c r="BO106" i="5"/>
  <c r="BP106" i="5"/>
  <c r="BQ106" i="5"/>
  <c r="BR106" i="5"/>
  <c r="BS106" i="5"/>
  <c r="BT106" i="5"/>
  <c r="I108" i="5"/>
  <c r="AK108" i="5"/>
  <c r="AS108" i="5"/>
  <c r="AU108" i="5"/>
  <c r="AW108" i="5"/>
  <c r="AY108" i="5"/>
  <c r="BI108" i="5"/>
  <c r="BK108" i="5"/>
  <c r="BM108" i="5"/>
  <c r="BO108" i="5"/>
  <c r="BQ108" i="5"/>
  <c r="BS108" i="5"/>
  <c r="I110" i="5"/>
  <c r="AK110" i="5"/>
  <c r="AQ110" i="5"/>
  <c r="AS110" i="5"/>
  <c r="AU110" i="5"/>
  <c r="AW110" i="5"/>
  <c r="AY110" i="5"/>
  <c r="BE110" i="5"/>
  <c r="BI110" i="5"/>
  <c r="BK110" i="5"/>
  <c r="BM110" i="5"/>
  <c r="BO110" i="5"/>
  <c r="BQ110" i="5"/>
  <c r="BS110" i="5"/>
  <c r="I113" i="5"/>
  <c r="AK113" i="5"/>
  <c r="AQ113" i="5"/>
  <c r="AS113" i="5"/>
  <c r="AU113" i="5"/>
  <c r="AW113" i="5"/>
  <c r="AY113" i="5"/>
  <c r="BE113" i="5"/>
  <c r="BG113" i="5"/>
  <c r="BI113" i="5"/>
  <c r="BK113" i="5"/>
  <c r="BM113" i="5"/>
  <c r="BO113" i="5"/>
  <c r="BQ113" i="5"/>
  <c r="BS113" i="5"/>
  <c r="I114" i="5"/>
  <c r="AK114" i="5"/>
  <c r="BM114" i="5"/>
  <c r="BO114" i="5"/>
  <c r="BQ114" i="5"/>
  <c r="BS114" i="5"/>
  <c r="E115" i="5"/>
  <c r="G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G115" i="5"/>
  <c r="AH115" i="5"/>
  <c r="AI115" i="5"/>
  <c r="AK115" i="5"/>
  <c r="AL115" i="5"/>
  <c r="AM115" i="5"/>
  <c r="AN115" i="5"/>
  <c r="AO115" i="5"/>
  <c r="AQ115" i="5"/>
  <c r="AS115" i="5"/>
  <c r="AU115" i="5"/>
  <c r="AW115" i="5"/>
  <c r="AY115" i="5"/>
  <c r="BA115" i="5"/>
  <c r="BC115" i="5"/>
  <c r="BE115" i="5"/>
  <c r="BG115" i="5"/>
  <c r="BI115" i="5"/>
  <c r="BK115" i="5"/>
  <c r="BM115" i="5"/>
  <c r="BO115" i="5"/>
  <c r="BP115" i="5"/>
  <c r="BQ115" i="5"/>
  <c r="BR115" i="5"/>
  <c r="BS115" i="5"/>
  <c r="BT115" i="5"/>
  <c r="I118" i="5"/>
  <c r="AK118" i="5"/>
  <c r="AQ118" i="5"/>
  <c r="AS118" i="5"/>
  <c r="AU118" i="5"/>
  <c r="AW118" i="5"/>
  <c r="AY118" i="5"/>
  <c r="BE118" i="5"/>
  <c r="BG118" i="5"/>
  <c r="BI118" i="5"/>
  <c r="BM118" i="5"/>
  <c r="BO118" i="5"/>
  <c r="BQ118" i="5"/>
  <c r="BS118" i="5"/>
  <c r="I119" i="5"/>
  <c r="AK119" i="5"/>
  <c r="BM119" i="5"/>
  <c r="BO119" i="5"/>
  <c r="BQ119" i="5"/>
  <c r="BS119" i="5"/>
  <c r="E120" i="5"/>
  <c r="G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G120" i="5"/>
  <c r="AH120" i="5"/>
  <c r="AI120" i="5"/>
  <c r="AK120" i="5"/>
  <c r="AL120" i="5"/>
  <c r="AM120" i="5"/>
  <c r="AN120" i="5"/>
  <c r="AO120" i="5"/>
  <c r="AQ120" i="5"/>
  <c r="AS120" i="5"/>
  <c r="AU120" i="5"/>
  <c r="AW120" i="5"/>
  <c r="AY120" i="5"/>
  <c r="BA120" i="5"/>
  <c r="BC120" i="5"/>
  <c r="BE120" i="5"/>
  <c r="BG120" i="5"/>
  <c r="BI120" i="5"/>
  <c r="BK120" i="5"/>
  <c r="BM120" i="5"/>
  <c r="BO120" i="5"/>
  <c r="BP120" i="5"/>
  <c r="BQ120" i="5"/>
  <c r="BR120" i="5"/>
  <c r="BS120" i="5"/>
  <c r="E122" i="5"/>
  <c r="F122" i="5"/>
  <c r="I122" i="5"/>
  <c r="J122" i="5"/>
  <c r="AK122" i="5"/>
  <c r="AS122" i="5"/>
  <c r="AU122" i="5"/>
  <c r="AW122" i="5"/>
  <c r="AY122" i="5"/>
  <c r="BE122" i="5"/>
  <c r="BG122" i="5"/>
  <c r="BI122" i="5"/>
  <c r="BM122" i="5"/>
  <c r="BO122" i="5"/>
  <c r="BQ122" i="5"/>
  <c r="BS122" i="5"/>
  <c r="BO124" i="5"/>
  <c r="BQ124" i="5"/>
  <c r="BS124" i="5"/>
  <c r="I125" i="5"/>
  <c r="AK125" i="5"/>
  <c r="AW125" i="5"/>
  <c r="BE125" i="5"/>
  <c r="BI125" i="5"/>
  <c r="BM125" i="5"/>
  <c r="BO125" i="5"/>
  <c r="BQ125" i="5"/>
  <c r="BS125" i="5"/>
  <c r="I126" i="5"/>
  <c r="AK126" i="5"/>
  <c r="AW126" i="5"/>
  <c r="AY126" i="5"/>
  <c r="BE126" i="5"/>
  <c r="BI126" i="5"/>
  <c r="BM126" i="5"/>
  <c r="BO126" i="5"/>
  <c r="BQ126" i="5"/>
  <c r="BS126" i="5"/>
  <c r="E127" i="5"/>
  <c r="G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H127" i="5"/>
  <c r="AI127" i="5"/>
  <c r="AK127" i="5"/>
  <c r="AL127" i="5"/>
  <c r="AM127" i="5"/>
  <c r="AN127" i="5"/>
  <c r="AO127" i="5"/>
  <c r="AQ127" i="5"/>
  <c r="AS127" i="5"/>
  <c r="AU127" i="5"/>
  <c r="AW127" i="5"/>
  <c r="AY127" i="5"/>
  <c r="BA127" i="5"/>
  <c r="BC127" i="5"/>
  <c r="BE127" i="5"/>
  <c r="BG127" i="5"/>
  <c r="BI127" i="5"/>
  <c r="BK127" i="5"/>
  <c r="BM127" i="5"/>
  <c r="BO127" i="5"/>
  <c r="BP127" i="5"/>
  <c r="BQ127" i="5"/>
  <c r="BR127" i="5"/>
  <c r="BS127" i="5"/>
  <c r="BT127" i="5"/>
  <c r="I130" i="5"/>
  <c r="AK130" i="5"/>
  <c r="AO130" i="5"/>
  <c r="AQ130" i="5"/>
  <c r="AS130" i="5"/>
  <c r="AU130" i="5"/>
  <c r="AW130" i="5"/>
  <c r="AY130" i="5"/>
  <c r="BE130" i="5"/>
  <c r="BI130" i="5"/>
  <c r="BK130" i="5"/>
  <c r="BM130" i="5"/>
  <c r="BO130" i="5"/>
  <c r="BQ130" i="5"/>
  <c r="BS130" i="5"/>
  <c r="I131" i="5"/>
  <c r="AK131" i="5"/>
  <c r="BM131" i="5"/>
  <c r="BO131" i="5"/>
  <c r="BQ131" i="5"/>
  <c r="BS131" i="5"/>
  <c r="E132" i="5"/>
  <c r="G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G132" i="5"/>
  <c r="AH132" i="5"/>
  <c r="AI132" i="5"/>
  <c r="AK132" i="5"/>
  <c r="AL132" i="5"/>
  <c r="AM132" i="5"/>
  <c r="AN132" i="5"/>
  <c r="AO132" i="5"/>
  <c r="AQ132" i="5"/>
  <c r="AS132" i="5"/>
  <c r="AU132" i="5"/>
  <c r="AW132" i="5"/>
  <c r="AY132" i="5"/>
  <c r="BA132" i="5"/>
  <c r="BC132" i="5"/>
  <c r="BE132" i="5"/>
  <c r="BG132" i="5"/>
  <c r="BI132" i="5"/>
  <c r="BK132" i="5"/>
  <c r="BM132" i="5"/>
  <c r="BO132" i="5"/>
  <c r="BP132" i="5"/>
  <c r="BQ132" i="5"/>
  <c r="BR132" i="5"/>
  <c r="BS132" i="5"/>
  <c r="BT132" i="5"/>
  <c r="I134" i="5"/>
  <c r="AK134" i="5"/>
  <c r="BM134" i="5"/>
  <c r="BO134" i="5"/>
  <c r="BQ134" i="5"/>
  <c r="BS134" i="5"/>
  <c r="I137" i="5"/>
  <c r="AK137" i="5"/>
  <c r="AO137" i="5"/>
  <c r="AQ137" i="5"/>
  <c r="AS137" i="5"/>
  <c r="AU137" i="5"/>
  <c r="AW137" i="5"/>
  <c r="AY137" i="5"/>
  <c r="BE137" i="5"/>
  <c r="BG137" i="5"/>
  <c r="BI137" i="5"/>
  <c r="BM137" i="5"/>
  <c r="BO137" i="5"/>
  <c r="BQ137" i="5"/>
  <c r="BS137" i="5"/>
  <c r="I138" i="5"/>
  <c r="AK138" i="5"/>
  <c r="BI138" i="5"/>
  <c r="BK138" i="5"/>
  <c r="BM138" i="5"/>
  <c r="BO138" i="5"/>
  <c r="BQ138" i="5"/>
  <c r="BS138" i="5"/>
  <c r="E139" i="5"/>
  <c r="G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G139" i="5"/>
  <c r="AH139" i="5"/>
  <c r="AI139" i="5"/>
  <c r="AK139" i="5"/>
  <c r="AL139" i="5"/>
  <c r="AM139" i="5"/>
  <c r="AN139" i="5"/>
  <c r="AO139" i="5"/>
  <c r="AQ139" i="5"/>
  <c r="AS139" i="5"/>
  <c r="AU139" i="5"/>
  <c r="AW139" i="5"/>
  <c r="AY139" i="5"/>
  <c r="BA139" i="5"/>
  <c r="BC139" i="5"/>
  <c r="BE139" i="5"/>
  <c r="BG139" i="5"/>
  <c r="BI139" i="5"/>
  <c r="BK139" i="5"/>
  <c r="BM139" i="5"/>
  <c r="BO139" i="5"/>
  <c r="BP139" i="5"/>
  <c r="BQ139" i="5"/>
  <c r="BR139" i="5"/>
  <c r="BS139" i="5"/>
  <c r="BT139" i="5"/>
  <c r="F141" i="5"/>
  <c r="I141" i="5"/>
  <c r="J141" i="5"/>
  <c r="AK141" i="5"/>
  <c r="BI141" i="5"/>
  <c r="BK141" i="5"/>
  <c r="BM141" i="5"/>
  <c r="BO141" i="5"/>
  <c r="BQ141" i="5"/>
  <c r="BS141" i="5"/>
  <c r="F143" i="5"/>
  <c r="I143" i="5"/>
  <c r="J143" i="5"/>
  <c r="AK143" i="5"/>
  <c r="AS143" i="5"/>
  <c r="AU143" i="5"/>
  <c r="AW143" i="5"/>
  <c r="AY143" i="5"/>
  <c r="BG143" i="5"/>
  <c r="BI143" i="5"/>
  <c r="BM143" i="5"/>
  <c r="BO143" i="5"/>
  <c r="BQ143" i="5"/>
  <c r="BS143" i="5"/>
  <c r="F146" i="5"/>
  <c r="I146" i="5"/>
  <c r="J146" i="5"/>
  <c r="AK146" i="5"/>
  <c r="AS146" i="5"/>
  <c r="AU146" i="5"/>
  <c r="AW146" i="5"/>
  <c r="AY146" i="5"/>
  <c r="BE146" i="5"/>
  <c r="BG146" i="5"/>
  <c r="BI146" i="5"/>
  <c r="BM146" i="5"/>
  <c r="BO146" i="5"/>
  <c r="BQ146" i="5"/>
  <c r="BS146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Y148" i="5"/>
  <c r="AZ148" i="5"/>
  <c r="BA148" i="5"/>
  <c r="BC148" i="5"/>
  <c r="BE148" i="5"/>
  <c r="BG148" i="5"/>
  <c r="BI148" i="5"/>
  <c r="BK148" i="5"/>
  <c r="BM148" i="5"/>
  <c r="BN148" i="5"/>
  <c r="BO148" i="5"/>
  <c r="BP148" i="5"/>
  <c r="BQ148" i="5"/>
  <c r="BR148" i="5"/>
  <c r="BS148" i="5"/>
  <c r="BT148" i="5"/>
  <c r="I150" i="5"/>
  <c r="AG150" i="5"/>
  <c r="AK150" i="5"/>
  <c r="AY150" i="5"/>
  <c r="BE150" i="5"/>
  <c r="BM150" i="5"/>
  <c r="BO150" i="5"/>
  <c r="BQ150" i="5"/>
  <c r="BS150" i="5"/>
  <c r="G152" i="5"/>
  <c r="I152" i="5"/>
  <c r="AK152" i="5"/>
  <c r="BE152" i="5"/>
  <c r="BM152" i="5"/>
  <c r="BO152" i="5"/>
  <c r="BQ152" i="5"/>
  <c r="BS152" i="5"/>
  <c r="I154" i="5"/>
  <c r="AK154" i="5"/>
  <c r="BM154" i="5"/>
  <c r="BO154" i="5"/>
  <c r="BQ154" i="5"/>
  <c r="BS154" i="5"/>
  <c r="I156" i="5"/>
  <c r="AI156" i="5"/>
  <c r="AK156" i="5"/>
  <c r="AS156" i="5"/>
  <c r="AU156" i="5"/>
  <c r="AW156" i="5"/>
  <c r="AY156" i="5"/>
  <c r="BE156" i="5"/>
  <c r="BI156" i="5"/>
  <c r="BK156" i="5"/>
  <c r="BM156" i="5"/>
  <c r="BO156" i="5"/>
  <c r="BQ156" i="5"/>
  <c r="BS156" i="5"/>
  <c r="BM158" i="5"/>
  <c r="BS158" i="5"/>
  <c r="I160" i="5"/>
  <c r="AK160" i="5"/>
  <c r="BM160" i="5"/>
  <c r="BO160" i="5"/>
  <c r="BQ160" i="5"/>
  <c r="BS160" i="5"/>
  <c r="AG162" i="5"/>
  <c r="AI162" i="5"/>
  <c r="AK162" i="5"/>
  <c r="AO162" i="5"/>
  <c r="AQ162" i="5"/>
  <c r="AS162" i="5"/>
  <c r="AU162" i="5"/>
  <c r="AW162" i="5"/>
  <c r="BE162" i="5"/>
  <c r="BG162" i="5"/>
  <c r="BM162" i="5"/>
  <c r="BO162" i="5"/>
  <c r="BQ162" i="5"/>
  <c r="BS162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W164" i="5"/>
  <c r="AY164" i="5"/>
  <c r="BA164" i="5"/>
  <c r="BC164" i="5"/>
  <c r="BE164" i="5"/>
  <c r="BG164" i="5"/>
  <c r="BI164" i="5"/>
  <c r="BK164" i="5"/>
  <c r="BM164" i="5"/>
  <c r="BN164" i="5"/>
  <c r="BO164" i="5"/>
  <c r="BP164" i="5"/>
  <c r="BQ164" i="5"/>
  <c r="BR164" i="5"/>
  <c r="BS164" i="5"/>
  <c r="BT164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G166" i="5"/>
  <c r="AH166" i="5"/>
  <c r="AI166" i="5"/>
  <c r="AK166" i="5"/>
  <c r="AL166" i="5"/>
  <c r="AM166" i="5"/>
  <c r="AN166" i="5"/>
  <c r="AO166" i="5"/>
  <c r="AQ166" i="5"/>
  <c r="AS166" i="5"/>
  <c r="AU166" i="5"/>
  <c r="AW166" i="5"/>
  <c r="AY166" i="5"/>
  <c r="BA166" i="5"/>
  <c r="BC166" i="5"/>
  <c r="BE166" i="5"/>
  <c r="BG166" i="5"/>
  <c r="BI166" i="5"/>
  <c r="BK166" i="5"/>
  <c r="BM166" i="5"/>
  <c r="BO166" i="5"/>
  <c r="BP166" i="5"/>
  <c r="BQ166" i="5"/>
  <c r="BR166" i="5"/>
  <c r="BS166" i="5"/>
  <c r="BT166" i="5"/>
  <c r="I168" i="5"/>
  <c r="AK168" i="5"/>
  <c r="BM168" i="5"/>
  <c r="BO168" i="5"/>
  <c r="BQ168" i="5"/>
  <c r="BS168" i="5"/>
  <c r="G170" i="5"/>
  <c r="I170" i="5"/>
  <c r="AK170" i="5"/>
  <c r="BG170" i="5"/>
  <c r="BM170" i="5"/>
  <c r="BO170" i="5"/>
  <c r="BQ170" i="5"/>
  <c r="BS170" i="5"/>
  <c r="Y173" i="5"/>
  <c r="AC173" i="5"/>
  <c r="AI173" i="5"/>
  <c r="AK173" i="5"/>
  <c r="AQ173" i="5"/>
  <c r="AU173" i="5"/>
  <c r="AY173" i="5"/>
  <c r="BM173" i="5"/>
  <c r="BO173" i="5"/>
  <c r="BQ173" i="5"/>
  <c r="BS173" i="5"/>
  <c r="E174" i="5"/>
  <c r="G174" i="5"/>
  <c r="I174" i="5"/>
  <c r="Y174" i="5"/>
  <c r="AA174" i="5"/>
  <c r="AC174" i="5"/>
  <c r="AE174" i="5"/>
  <c r="AG174" i="5"/>
  <c r="AI174" i="5"/>
  <c r="AK174" i="5"/>
  <c r="AO174" i="5"/>
  <c r="AQ174" i="5"/>
  <c r="AS174" i="5"/>
  <c r="AU174" i="5"/>
  <c r="AW174" i="5"/>
  <c r="AY174" i="5"/>
  <c r="BA174" i="5"/>
  <c r="BC174" i="5"/>
  <c r="BE174" i="5"/>
  <c r="BG174" i="5"/>
  <c r="BI174" i="5"/>
  <c r="BK174" i="5"/>
  <c r="BM174" i="5"/>
  <c r="BO174" i="5"/>
  <c r="BQ174" i="5"/>
  <c r="BS174" i="5"/>
  <c r="I176" i="5"/>
  <c r="AK176" i="5"/>
  <c r="BM176" i="5"/>
  <c r="BQ176" i="5"/>
  <c r="BS176" i="5"/>
  <c r="I178" i="5"/>
  <c r="AK178" i="5"/>
  <c r="BM178" i="5"/>
  <c r="BQ178" i="5"/>
  <c r="BS178" i="5"/>
  <c r="I180" i="5"/>
  <c r="AK180" i="5"/>
  <c r="BM180" i="5"/>
  <c r="BO180" i="5"/>
  <c r="BQ180" i="5"/>
  <c r="BS180" i="5"/>
  <c r="I182" i="5"/>
  <c r="AK182" i="5"/>
  <c r="BM182" i="5"/>
  <c r="BO182" i="5"/>
  <c r="BQ182" i="5"/>
  <c r="BS182" i="5"/>
  <c r="G185" i="5"/>
  <c r="I185" i="5"/>
  <c r="Y185" i="5"/>
  <c r="AA185" i="5"/>
  <c r="AK185" i="5"/>
  <c r="BM185" i="5"/>
  <c r="BQ185" i="5"/>
  <c r="BS185" i="5"/>
  <c r="G186" i="5"/>
  <c r="AK186" i="5"/>
  <c r="BM186" i="5"/>
  <c r="BO186" i="5"/>
  <c r="BQ186" i="5"/>
  <c r="BS186" i="5"/>
  <c r="G187" i="5"/>
  <c r="AK187" i="5"/>
  <c r="BM187" i="5"/>
  <c r="BO187" i="5"/>
  <c r="BQ187" i="5"/>
  <c r="BS187" i="5"/>
  <c r="E189" i="5"/>
  <c r="G189" i="5"/>
  <c r="I189" i="5"/>
  <c r="K189" i="5"/>
  <c r="M189" i="5"/>
  <c r="O189" i="5"/>
  <c r="Q189" i="5"/>
  <c r="S189" i="5"/>
  <c r="U189" i="5"/>
  <c r="W189" i="5"/>
  <c r="Y189" i="5"/>
  <c r="AA189" i="5"/>
  <c r="AC189" i="5"/>
  <c r="AE189" i="5"/>
  <c r="AG189" i="5"/>
  <c r="AI189" i="5"/>
  <c r="AK189" i="5"/>
  <c r="AM189" i="5"/>
  <c r="AO189" i="5"/>
  <c r="AQ189" i="5"/>
  <c r="AS189" i="5"/>
  <c r="AU189" i="5"/>
  <c r="AW189" i="5"/>
  <c r="AY189" i="5"/>
  <c r="BA189" i="5"/>
  <c r="BC189" i="5"/>
  <c r="BE189" i="5"/>
  <c r="BG189" i="5"/>
  <c r="BI189" i="5"/>
  <c r="BK189" i="5"/>
  <c r="BM189" i="5"/>
  <c r="BO189" i="5"/>
  <c r="BQ189" i="5"/>
  <c r="BS189" i="5"/>
  <c r="G192" i="5"/>
  <c r="I192" i="5"/>
  <c r="Q192" i="5"/>
  <c r="U192" i="5"/>
  <c r="AA192" i="5"/>
  <c r="AE192" i="5"/>
  <c r="AG192" i="5"/>
  <c r="AK192" i="5"/>
  <c r="AS192" i="5"/>
  <c r="BM192" i="5"/>
  <c r="BO192" i="5"/>
  <c r="BQ192" i="5"/>
  <c r="BS192" i="5"/>
  <c r="G193" i="5"/>
  <c r="I193" i="5"/>
  <c r="Q193" i="5"/>
  <c r="U193" i="5"/>
  <c r="W193" i="5"/>
  <c r="AA193" i="5"/>
  <c r="AC193" i="5"/>
  <c r="AI193" i="5"/>
  <c r="AK193" i="5"/>
  <c r="BM193" i="5"/>
  <c r="BO193" i="5"/>
  <c r="BQ193" i="5"/>
  <c r="BS193" i="5"/>
  <c r="G194" i="5"/>
  <c r="AK194" i="5"/>
  <c r="BM194" i="5"/>
  <c r="BO194" i="5"/>
  <c r="BQ194" i="5"/>
  <c r="BS194" i="5"/>
  <c r="BM195" i="5"/>
  <c r="E196" i="5"/>
  <c r="G196" i="5"/>
  <c r="I196" i="5"/>
  <c r="K196" i="5"/>
  <c r="M196" i="5"/>
  <c r="O196" i="5"/>
  <c r="Q196" i="5"/>
  <c r="S196" i="5"/>
  <c r="U196" i="5"/>
  <c r="W196" i="5"/>
  <c r="Y196" i="5"/>
  <c r="AA196" i="5"/>
  <c r="AC196" i="5"/>
  <c r="AE196" i="5"/>
  <c r="AG196" i="5"/>
  <c r="AI196" i="5"/>
  <c r="AK196" i="5"/>
  <c r="AM196" i="5"/>
  <c r="AO196" i="5"/>
  <c r="AQ196" i="5"/>
  <c r="AS196" i="5"/>
  <c r="AU196" i="5"/>
  <c r="AW196" i="5"/>
  <c r="AY196" i="5"/>
  <c r="BA196" i="5"/>
  <c r="BC196" i="5"/>
  <c r="BE196" i="5"/>
  <c r="BG196" i="5"/>
  <c r="BI196" i="5"/>
  <c r="BK196" i="5"/>
  <c r="BM196" i="5"/>
  <c r="BO196" i="5"/>
  <c r="BQ196" i="5"/>
  <c r="BS196" i="5"/>
  <c r="I199" i="5"/>
  <c r="AK199" i="5"/>
  <c r="AU199" i="5"/>
  <c r="AW199" i="5"/>
  <c r="BM199" i="5"/>
  <c r="BO199" i="5"/>
  <c r="BQ199" i="5"/>
  <c r="BS199" i="5"/>
  <c r="I200" i="5"/>
  <c r="AK200" i="5"/>
  <c r="BM200" i="5"/>
  <c r="BO200" i="5"/>
  <c r="BQ200" i="5"/>
  <c r="BS200" i="5"/>
  <c r="I201" i="5"/>
  <c r="AK201" i="5"/>
  <c r="BM201" i="5"/>
  <c r="BO201" i="5"/>
  <c r="BQ201" i="5"/>
  <c r="BS201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E202" i="5"/>
  <c r="AG202" i="5"/>
  <c r="AH202" i="5"/>
  <c r="AI202" i="5"/>
  <c r="AJ202" i="5"/>
  <c r="AK202" i="5"/>
  <c r="AL202" i="5"/>
  <c r="AM202" i="5"/>
  <c r="AN202" i="5"/>
  <c r="AO202" i="5"/>
  <c r="AQ202" i="5"/>
  <c r="AS202" i="5"/>
  <c r="AU202" i="5"/>
  <c r="AW202" i="5"/>
  <c r="AY202" i="5"/>
  <c r="BA202" i="5"/>
  <c r="BC202" i="5"/>
  <c r="BE202" i="5"/>
  <c r="BG202" i="5"/>
  <c r="BI202" i="5"/>
  <c r="BK202" i="5"/>
  <c r="BM202" i="5"/>
  <c r="BO202" i="5"/>
  <c r="BP202" i="5"/>
  <c r="BQ202" i="5"/>
  <c r="BR202" i="5"/>
  <c r="BS202" i="5"/>
  <c r="I204" i="5"/>
  <c r="AS204" i="5"/>
  <c r="BM204" i="5"/>
  <c r="BQ204" i="5"/>
  <c r="BS204" i="5"/>
  <c r="I206" i="5"/>
  <c r="AK206" i="5"/>
  <c r="BM206" i="5"/>
  <c r="BQ206" i="5"/>
  <c r="BS206" i="5"/>
  <c r="I208" i="5"/>
  <c r="AK208" i="5"/>
  <c r="BM208" i="5"/>
  <c r="BO208" i="5"/>
  <c r="BQ208" i="5"/>
  <c r="BS208" i="5"/>
  <c r="I210" i="5"/>
  <c r="AK210" i="5"/>
  <c r="BM210" i="5"/>
  <c r="BO210" i="5"/>
  <c r="BQ210" i="5"/>
  <c r="BS210" i="5"/>
  <c r="I212" i="5"/>
  <c r="AK212" i="5"/>
  <c r="BM212" i="5"/>
  <c r="BO212" i="5"/>
  <c r="BQ212" i="5"/>
  <c r="BS212" i="5"/>
  <c r="E214" i="5"/>
  <c r="I214" i="5"/>
  <c r="K214" i="5"/>
  <c r="M214" i="5"/>
  <c r="O214" i="5"/>
  <c r="Q214" i="5"/>
  <c r="S214" i="5"/>
  <c r="U214" i="5"/>
  <c r="W214" i="5"/>
  <c r="Y214" i="5"/>
  <c r="AA214" i="5"/>
  <c r="AC214" i="5"/>
  <c r="AE214" i="5"/>
  <c r="AG214" i="5"/>
  <c r="AI214" i="5"/>
  <c r="AK214" i="5"/>
  <c r="AM214" i="5"/>
  <c r="BM214" i="5"/>
  <c r="BO214" i="5"/>
  <c r="BQ214" i="5"/>
  <c r="BS214" i="5"/>
  <c r="I216" i="5"/>
  <c r="AK216" i="5"/>
  <c r="AY216" i="5"/>
  <c r="BM216" i="5"/>
  <c r="BO216" i="5"/>
  <c r="BQ216" i="5"/>
  <c r="BS216" i="5"/>
  <c r="I218" i="5"/>
  <c r="AK218" i="5"/>
  <c r="BM218" i="5"/>
  <c r="BO218" i="5"/>
  <c r="BQ218" i="5"/>
  <c r="BS218" i="5"/>
  <c r="I220" i="5"/>
  <c r="AK220" i="5"/>
  <c r="BM220" i="5"/>
  <c r="BQ220" i="5"/>
  <c r="BS220" i="5"/>
  <c r="I222" i="5"/>
  <c r="AK222" i="5"/>
  <c r="BM222" i="5"/>
  <c r="BO222" i="5"/>
  <c r="BQ222" i="5"/>
  <c r="BS222" i="5"/>
  <c r="G224" i="5"/>
  <c r="I224" i="5"/>
  <c r="K224" i="5"/>
  <c r="M224" i="5"/>
  <c r="AK224" i="5"/>
  <c r="AO224" i="5"/>
  <c r="AQ224" i="5"/>
  <c r="AW224" i="5"/>
  <c r="AY224" i="5"/>
  <c r="BM224" i="5"/>
  <c r="BQ224" i="5"/>
  <c r="BS224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C226" i="5"/>
  <c r="BE226" i="5"/>
  <c r="BG226" i="5"/>
  <c r="BI226" i="5"/>
  <c r="BK226" i="5"/>
  <c r="BM226" i="5"/>
  <c r="BN226" i="5"/>
  <c r="BO226" i="5"/>
  <c r="BP226" i="5"/>
  <c r="BQ226" i="5"/>
  <c r="BR226" i="5"/>
  <c r="BS226" i="5"/>
  <c r="BT226" i="5"/>
  <c r="G229" i="5"/>
  <c r="AK229" i="5"/>
  <c r="BM229" i="5"/>
  <c r="BO229" i="5"/>
  <c r="BQ229" i="5"/>
  <c r="BS229" i="5"/>
  <c r="G230" i="5"/>
  <c r="AK230" i="5"/>
  <c r="BM230" i="5"/>
  <c r="BO230" i="5"/>
  <c r="BQ230" i="5"/>
  <c r="BS230" i="5"/>
  <c r="G231" i="5"/>
  <c r="AK231" i="5"/>
  <c r="BM231" i="5"/>
  <c r="BO231" i="5"/>
  <c r="BQ231" i="5"/>
  <c r="BS231" i="5"/>
  <c r="G232" i="5"/>
  <c r="AK232" i="5"/>
  <c r="BM232" i="5"/>
  <c r="BO232" i="5"/>
  <c r="BQ232" i="5"/>
  <c r="BS232" i="5"/>
  <c r="G233" i="5"/>
  <c r="AK233" i="5"/>
  <c r="BM233" i="5"/>
  <c r="BO233" i="5"/>
  <c r="BQ233" i="5"/>
  <c r="BS233" i="5"/>
  <c r="E235" i="5"/>
  <c r="G235" i="5"/>
  <c r="I235" i="5"/>
  <c r="K235" i="5"/>
  <c r="M235" i="5"/>
  <c r="O235" i="5"/>
  <c r="Q235" i="5"/>
  <c r="S235" i="5"/>
  <c r="U235" i="5"/>
  <c r="W235" i="5"/>
  <c r="Y235" i="5"/>
  <c r="AA235" i="5"/>
  <c r="AC235" i="5"/>
  <c r="AE235" i="5"/>
  <c r="AG235" i="5"/>
  <c r="AI235" i="5"/>
  <c r="AK235" i="5"/>
  <c r="AM235" i="5"/>
  <c r="AO235" i="5"/>
  <c r="AQ235" i="5"/>
  <c r="AS235" i="5"/>
  <c r="AU235" i="5"/>
  <c r="AW235" i="5"/>
  <c r="AY235" i="5"/>
  <c r="BA235" i="5"/>
  <c r="BC235" i="5"/>
  <c r="BE235" i="5"/>
  <c r="BG235" i="5"/>
  <c r="BI235" i="5"/>
  <c r="BK235" i="5"/>
  <c r="BM235" i="5"/>
  <c r="BO235" i="5"/>
  <c r="BQ235" i="5"/>
  <c r="BS235" i="5"/>
  <c r="G237" i="5"/>
  <c r="AK237" i="5"/>
  <c r="BM237" i="5"/>
  <c r="BO237" i="5"/>
  <c r="BQ237" i="5"/>
  <c r="BS237" i="5"/>
  <c r="I240" i="5"/>
  <c r="AK240" i="5"/>
  <c r="BM240" i="5"/>
  <c r="BO240" i="5"/>
  <c r="BQ240" i="5"/>
  <c r="BS240" i="5"/>
  <c r="I241" i="5"/>
  <c r="AK241" i="5"/>
  <c r="BM241" i="5"/>
  <c r="BO241" i="5"/>
  <c r="BQ241" i="5"/>
  <c r="BS241" i="5"/>
  <c r="I242" i="5"/>
  <c r="AK242" i="5"/>
  <c r="BM242" i="5"/>
  <c r="BO242" i="5"/>
  <c r="BQ242" i="5"/>
  <c r="BS242" i="5"/>
  <c r="I243" i="5"/>
  <c r="AK243" i="5"/>
  <c r="BM243" i="5"/>
  <c r="BO243" i="5"/>
  <c r="BQ243" i="5"/>
  <c r="BS243" i="5"/>
  <c r="I244" i="5"/>
  <c r="AK244" i="5"/>
  <c r="BM244" i="5"/>
  <c r="BO244" i="5"/>
  <c r="BQ244" i="5"/>
  <c r="BS244" i="5"/>
  <c r="I245" i="5"/>
  <c r="AK245" i="5"/>
  <c r="BM245" i="5"/>
  <c r="BO245" i="5"/>
  <c r="BQ245" i="5"/>
  <c r="BS245" i="5"/>
  <c r="I246" i="5"/>
  <c r="AK246" i="5"/>
  <c r="BM246" i="5"/>
  <c r="BO246" i="5"/>
  <c r="BQ246" i="5"/>
  <c r="BS246" i="5"/>
  <c r="I247" i="5"/>
  <c r="AK247" i="5"/>
  <c r="BM247" i="5"/>
  <c r="BO247" i="5"/>
  <c r="BQ247" i="5"/>
  <c r="BS247" i="5"/>
  <c r="E248" i="5"/>
  <c r="G248" i="5"/>
  <c r="I248" i="5"/>
  <c r="K248" i="5"/>
  <c r="O248" i="5"/>
  <c r="Q248" i="5"/>
  <c r="S248" i="5"/>
  <c r="U248" i="5"/>
  <c r="W248" i="5"/>
  <c r="Y248" i="5"/>
  <c r="AA248" i="5"/>
  <c r="AC248" i="5"/>
  <c r="AE248" i="5"/>
  <c r="AG248" i="5"/>
  <c r="AI248" i="5"/>
  <c r="AK248" i="5"/>
  <c r="AO248" i="5"/>
  <c r="AQ248" i="5"/>
  <c r="AS248" i="5"/>
  <c r="AU248" i="5"/>
  <c r="AW248" i="5"/>
  <c r="AY248" i="5"/>
  <c r="BA248" i="5"/>
  <c r="BC248" i="5"/>
  <c r="BG248" i="5"/>
  <c r="BI248" i="5"/>
  <c r="BM248" i="5"/>
  <c r="BQ248" i="5"/>
  <c r="BS248" i="5"/>
  <c r="E250" i="5"/>
  <c r="G250" i="5"/>
  <c r="I250" i="5"/>
  <c r="K250" i="5"/>
  <c r="M250" i="5"/>
  <c r="O250" i="5"/>
  <c r="Q250" i="5"/>
  <c r="S250" i="5"/>
  <c r="U250" i="5"/>
  <c r="W250" i="5"/>
  <c r="Y250" i="5"/>
  <c r="AA250" i="5"/>
  <c r="AC250" i="5"/>
  <c r="AE250" i="5"/>
  <c r="AG250" i="5"/>
  <c r="AI250" i="5"/>
  <c r="AK250" i="5"/>
  <c r="AM250" i="5"/>
  <c r="AO250" i="5"/>
  <c r="AQ250" i="5"/>
  <c r="AS250" i="5"/>
  <c r="AU250" i="5"/>
  <c r="AW250" i="5"/>
  <c r="AY250" i="5"/>
  <c r="BA250" i="5"/>
  <c r="BC250" i="5"/>
  <c r="BE250" i="5"/>
  <c r="BG250" i="5"/>
  <c r="BI250" i="5"/>
  <c r="BK250" i="5"/>
  <c r="BM250" i="5"/>
  <c r="BO250" i="5"/>
  <c r="BQ250" i="5"/>
  <c r="BS250" i="5"/>
  <c r="AK252" i="5"/>
  <c r="G253" i="5"/>
  <c r="I253" i="5"/>
  <c r="K253" i="5"/>
  <c r="AC253" i="5"/>
  <c r="AG253" i="5"/>
  <c r="AI253" i="5"/>
  <c r="AK253" i="5"/>
  <c r="AY253" i="5"/>
  <c r="BM253" i="5"/>
  <c r="BQ253" i="5"/>
  <c r="BS253" i="5"/>
  <c r="I254" i="5"/>
  <c r="K254" i="5"/>
  <c r="Y254" i="5"/>
  <c r="AC254" i="5"/>
  <c r="AI254" i="5"/>
  <c r="AK254" i="5"/>
  <c r="AU254" i="5"/>
  <c r="BM254" i="5"/>
  <c r="BQ254" i="5"/>
  <c r="BS254" i="5"/>
  <c r="I255" i="5"/>
  <c r="AK255" i="5"/>
  <c r="BM255" i="5"/>
  <c r="BQ255" i="5"/>
  <c r="BS255" i="5"/>
  <c r="I256" i="5"/>
  <c r="AK256" i="5"/>
  <c r="AS256" i="5"/>
  <c r="BM256" i="5"/>
  <c r="BQ256" i="5"/>
  <c r="BS256" i="5"/>
  <c r="I257" i="5"/>
  <c r="AK257" i="5"/>
  <c r="BG257" i="5"/>
  <c r="BM257" i="5"/>
  <c r="BQ257" i="5"/>
  <c r="BS257" i="5"/>
  <c r="E259" i="5"/>
  <c r="G259" i="5"/>
  <c r="I259" i="5"/>
  <c r="K259" i="5"/>
  <c r="M259" i="5"/>
  <c r="O259" i="5"/>
  <c r="Q259" i="5"/>
  <c r="S259" i="5"/>
  <c r="U259" i="5"/>
  <c r="W259" i="5"/>
  <c r="Y259" i="5"/>
  <c r="AA259" i="5"/>
  <c r="AC259" i="5"/>
  <c r="AE259" i="5"/>
  <c r="AG259" i="5"/>
  <c r="AI259" i="5"/>
  <c r="AK259" i="5"/>
  <c r="AM259" i="5"/>
  <c r="AO259" i="5"/>
  <c r="AQ259" i="5"/>
  <c r="AS259" i="5"/>
  <c r="AU259" i="5"/>
  <c r="AW259" i="5"/>
  <c r="AY259" i="5"/>
  <c r="BA259" i="5"/>
  <c r="BC259" i="5"/>
  <c r="BE259" i="5"/>
  <c r="BG259" i="5"/>
  <c r="BI259" i="5"/>
  <c r="BK259" i="5"/>
  <c r="BM259" i="5"/>
  <c r="BO259" i="5"/>
  <c r="BQ259" i="5"/>
  <c r="BS259" i="5"/>
  <c r="G261" i="5"/>
  <c r="AK261" i="5"/>
  <c r="BM261" i="5"/>
  <c r="BO261" i="5"/>
  <c r="BQ261" i="5"/>
  <c r="BS261" i="5"/>
  <c r="I263" i="5"/>
  <c r="AK263" i="5"/>
  <c r="BM263" i="5"/>
  <c r="BO263" i="5"/>
  <c r="BQ263" i="5"/>
  <c r="BS263" i="5"/>
  <c r="G265" i="5"/>
  <c r="AK265" i="5"/>
  <c r="BM265" i="5"/>
  <c r="BO265" i="5"/>
  <c r="BQ265" i="5"/>
  <c r="BS265" i="5"/>
  <c r="E267" i="5"/>
  <c r="G267" i="5"/>
  <c r="I267" i="5"/>
  <c r="K267" i="5"/>
  <c r="M267" i="5"/>
  <c r="O267" i="5"/>
  <c r="Q267" i="5"/>
  <c r="S267" i="5"/>
  <c r="U267" i="5"/>
  <c r="W267" i="5"/>
  <c r="Y267" i="5"/>
  <c r="AA267" i="5"/>
  <c r="AC267" i="5"/>
  <c r="AE267" i="5"/>
  <c r="AG267" i="5"/>
  <c r="AI267" i="5"/>
  <c r="AK267" i="5"/>
  <c r="AM267" i="5"/>
  <c r="AO267" i="5"/>
  <c r="AQ267" i="5"/>
  <c r="AS267" i="5"/>
  <c r="AU267" i="5"/>
  <c r="AW267" i="5"/>
  <c r="AY267" i="5"/>
  <c r="BA267" i="5"/>
  <c r="BC267" i="5"/>
  <c r="BE267" i="5"/>
  <c r="BG267" i="5"/>
  <c r="BI267" i="5"/>
  <c r="BK267" i="5"/>
  <c r="BM267" i="5"/>
  <c r="BO267" i="5"/>
  <c r="BQ267" i="5"/>
  <c r="BS267" i="5"/>
  <c r="E269" i="5"/>
  <c r="G269" i="5"/>
  <c r="I269" i="5"/>
  <c r="K269" i="5"/>
  <c r="M269" i="5"/>
  <c r="O269" i="5"/>
  <c r="Q269" i="5"/>
  <c r="S269" i="5"/>
  <c r="U269" i="5"/>
  <c r="W269" i="5"/>
  <c r="Y269" i="5"/>
  <c r="AA269" i="5"/>
  <c r="AC269" i="5"/>
  <c r="AE269" i="5"/>
  <c r="AG269" i="5"/>
  <c r="AI269" i="5"/>
  <c r="AK269" i="5"/>
  <c r="AM269" i="5"/>
  <c r="AO269" i="5"/>
  <c r="AQ269" i="5"/>
  <c r="AS269" i="5"/>
  <c r="AU269" i="5"/>
  <c r="AW269" i="5"/>
  <c r="AY269" i="5"/>
  <c r="BA269" i="5"/>
  <c r="BC269" i="5"/>
  <c r="BE269" i="5"/>
  <c r="BG269" i="5"/>
  <c r="BI269" i="5"/>
  <c r="BK269" i="5"/>
  <c r="BM269" i="5"/>
  <c r="BO269" i="5"/>
  <c r="BQ269" i="5"/>
  <c r="BS269" i="5"/>
  <c r="AK271" i="5"/>
  <c r="BM271" i="5"/>
  <c r="BO271" i="5"/>
  <c r="BQ271" i="5"/>
  <c r="BS271" i="5"/>
  <c r="E273" i="5"/>
  <c r="G273" i="5"/>
  <c r="I273" i="5"/>
  <c r="K273" i="5"/>
  <c r="M273" i="5"/>
  <c r="O273" i="5"/>
  <c r="Q273" i="5"/>
  <c r="S273" i="5"/>
  <c r="U273" i="5"/>
  <c r="W273" i="5"/>
  <c r="Y273" i="5"/>
  <c r="AA273" i="5"/>
  <c r="AC273" i="5"/>
  <c r="AE273" i="5"/>
  <c r="AG273" i="5"/>
  <c r="AI273" i="5"/>
  <c r="AK273" i="5"/>
  <c r="AM273" i="5"/>
  <c r="AO273" i="5"/>
  <c r="AQ273" i="5"/>
  <c r="AS273" i="5"/>
  <c r="AU273" i="5"/>
  <c r="AW273" i="5"/>
  <c r="AY273" i="5"/>
  <c r="BA273" i="5"/>
  <c r="BC273" i="5"/>
  <c r="BE273" i="5"/>
  <c r="BG273" i="5"/>
  <c r="BI273" i="5"/>
  <c r="BK273" i="5"/>
  <c r="BM273" i="5"/>
  <c r="BO273" i="5"/>
  <c r="BQ273" i="5"/>
  <c r="BS273" i="5"/>
  <c r="E275" i="5"/>
  <c r="G275" i="5"/>
  <c r="BQ275" i="5"/>
  <c r="AK277" i="5"/>
  <c r="AO277" i="5"/>
  <c r="AQ277" i="5"/>
  <c r="AS277" i="5"/>
  <c r="AU277" i="5"/>
  <c r="BM277" i="5"/>
  <c r="AK279" i="5"/>
  <c r="BM279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U281" i="5"/>
  <c r="V281" i="5"/>
  <c r="W281" i="5"/>
  <c r="X281" i="5"/>
  <c r="Y281" i="5"/>
  <c r="Z281" i="5"/>
  <c r="AA281" i="5"/>
  <c r="AB281" i="5"/>
  <c r="AC281" i="5"/>
  <c r="AD281" i="5"/>
  <c r="AE281" i="5"/>
  <c r="AF281" i="5"/>
  <c r="AG281" i="5"/>
  <c r="AH281" i="5"/>
  <c r="AI281" i="5"/>
  <c r="AJ281" i="5"/>
  <c r="AK281" i="5"/>
  <c r="AL281" i="5"/>
  <c r="AM281" i="5"/>
  <c r="AN281" i="5"/>
  <c r="AO281" i="5"/>
  <c r="AP281" i="5"/>
  <c r="AQ281" i="5"/>
  <c r="AR281" i="5"/>
  <c r="AS281" i="5"/>
  <c r="AT281" i="5"/>
  <c r="AU281" i="5"/>
  <c r="AW281" i="5"/>
  <c r="AY281" i="5"/>
  <c r="BA281" i="5"/>
  <c r="BC281" i="5"/>
  <c r="BE281" i="5"/>
  <c r="BG281" i="5"/>
  <c r="BI281" i="5"/>
  <c r="BK281" i="5"/>
  <c r="BM281" i="5"/>
  <c r="BN281" i="5"/>
  <c r="BO281" i="5"/>
  <c r="BP281" i="5"/>
  <c r="BQ281" i="5"/>
  <c r="BR281" i="5"/>
  <c r="BS281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R284" i="5"/>
  <c r="S284" i="5"/>
  <c r="T284" i="5"/>
  <c r="U284" i="5"/>
  <c r="V284" i="5"/>
  <c r="W284" i="5"/>
  <c r="X284" i="5"/>
  <c r="Y284" i="5"/>
  <c r="Z284" i="5"/>
  <c r="AA284" i="5"/>
  <c r="AB284" i="5"/>
  <c r="AC284" i="5"/>
  <c r="AD284" i="5"/>
  <c r="AE284" i="5"/>
  <c r="AG284" i="5"/>
  <c r="AH284" i="5"/>
  <c r="AI284" i="5"/>
  <c r="AJ284" i="5"/>
  <c r="AK284" i="5"/>
  <c r="AL284" i="5"/>
  <c r="AM284" i="5"/>
  <c r="AN284" i="5"/>
  <c r="AO284" i="5"/>
  <c r="AQ284" i="5"/>
  <c r="AS284" i="5"/>
  <c r="AU284" i="5"/>
  <c r="AW284" i="5"/>
  <c r="AY284" i="5"/>
  <c r="BA284" i="5"/>
  <c r="BC284" i="5"/>
  <c r="BE284" i="5"/>
  <c r="BG284" i="5"/>
  <c r="BI284" i="5"/>
  <c r="BK284" i="5"/>
  <c r="BM284" i="5"/>
  <c r="BO284" i="5"/>
  <c r="BP284" i="5"/>
  <c r="BQ284" i="5"/>
  <c r="BR284" i="5"/>
  <c r="BS284" i="5"/>
  <c r="BS287" i="5"/>
  <c r="A1" i="8"/>
  <c r="AF5" i="8"/>
  <c r="AF6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27" i="8"/>
  <c r="D12" i="9"/>
  <c r="D19" i="9"/>
  <c r="D31" i="9"/>
  <c r="D48" i="9"/>
  <c r="D62" i="9"/>
  <c r="D115" i="9"/>
  <c r="D161" i="9"/>
  <c r="D233" i="9"/>
  <c r="D234" i="9"/>
  <c r="D237" i="9"/>
  <c r="D285" i="9"/>
  <c r="D357" i="9"/>
  <c r="D375" i="9"/>
  <c r="D376" i="9"/>
  <c r="D420" i="9"/>
  <c r="D467" i="9"/>
  <c r="D500" i="9"/>
  <c r="D536" i="9"/>
  <c r="D564" i="9"/>
  <c r="E11" i="13"/>
  <c r="G11" i="13"/>
  <c r="I11" i="13"/>
  <c r="K11" i="13"/>
  <c r="E12" i="13"/>
  <c r="G12" i="13"/>
  <c r="I12" i="13"/>
  <c r="K12" i="13"/>
  <c r="E13" i="13"/>
  <c r="G13" i="13"/>
  <c r="I13" i="13"/>
  <c r="K13" i="13"/>
  <c r="C15" i="13"/>
  <c r="E15" i="13"/>
  <c r="G15" i="13"/>
  <c r="I15" i="13"/>
  <c r="K15" i="13"/>
  <c r="G17" i="13"/>
  <c r="I17" i="13"/>
  <c r="K17" i="13"/>
  <c r="G19" i="13"/>
  <c r="I19" i="13"/>
  <c r="K19" i="13"/>
  <c r="E7" i="2"/>
  <c r="E8" i="2"/>
  <c r="E13" i="2"/>
  <c r="E14" i="2"/>
  <c r="E18" i="2"/>
  <c r="E23" i="2"/>
  <c r="E25" i="2"/>
  <c r="E26" i="2"/>
  <c r="E30" i="2"/>
  <c r="E31" i="2"/>
  <c r="E33" i="2"/>
  <c r="E37" i="2"/>
  <c r="E41" i="2"/>
  <c r="J15" i="16"/>
  <c r="J19" i="16"/>
  <c r="J21" i="16"/>
  <c r="J28" i="16"/>
  <c r="J30" i="16"/>
  <c r="C9" i="11"/>
  <c r="C11" i="11"/>
  <c r="C46" i="11"/>
  <c r="C49" i="11"/>
  <c r="C51" i="11"/>
  <c r="C75" i="11"/>
  <c r="C77" i="11"/>
  <c r="C91" i="11"/>
  <c r="C93" i="11"/>
  <c r="C95" i="11"/>
  <c r="C108" i="11"/>
  <c r="C114" i="11"/>
  <c r="C117" i="11"/>
  <c r="C128" i="11"/>
  <c r="C135" i="11"/>
  <c r="C247" i="11"/>
  <c r="C249" i="11"/>
  <c r="C251" i="11"/>
  <c r="C253" i="11"/>
  <c r="C255" i="11"/>
  <c r="C266" i="11"/>
  <c r="C270" i="11"/>
  <c r="C653" i="11"/>
  <c r="K14" i="1"/>
  <c r="K15" i="1"/>
  <c r="K16" i="1"/>
  <c r="E18" i="1"/>
  <c r="G18" i="1"/>
  <c r="I18" i="1"/>
  <c r="K18" i="1"/>
  <c r="Q2" i="4"/>
  <c r="G9" i="4"/>
  <c r="I9" i="4"/>
  <c r="K9" i="4"/>
  <c r="M9" i="4"/>
  <c r="A11" i="4"/>
  <c r="C11" i="4"/>
  <c r="E11" i="4"/>
  <c r="G11" i="4"/>
  <c r="I11" i="4"/>
  <c r="K11" i="4"/>
  <c r="M11" i="4"/>
  <c r="O11" i="4"/>
  <c r="Q11" i="4"/>
  <c r="BC12" i="4"/>
  <c r="BE12" i="4"/>
  <c r="BG12" i="4"/>
  <c r="BC13" i="4"/>
  <c r="BE13" i="4"/>
  <c r="BG13" i="4"/>
  <c r="BI13" i="4"/>
  <c r="C14" i="4"/>
  <c r="E14" i="4"/>
  <c r="G14" i="4"/>
  <c r="I14" i="4"/>
  <c r="K14" i="4"/>
  <c r="M14" i="4"/>
  <c r="O14" i="4"/>
  <c r="Q14" i="4"/>
  <c r="BE14" i="4"/>
  <c r="BG14" i="4"/>
  <c r="E15" i="4"/>
  <c r="G15" i="4"/>
  <c r="G35" i="4"/>
  <c r="M35" i="4"/>
  <c r="G36" i="4"/>
  <c r="M36" i="4"/>
  <c r="G37" i="4"/>
  <c r="M37" i="4"/>
  <c r="G38" i="4"/>
  <c r="M38" i="4"/>
  <c r="G39" i="4"/>
  <c r="M39" i="4"/>
  <c r="G40" i="4"/>
  <c r="M40" i="4"/>
  <c r="G41" i="4"/>
  <c r="M41" i="4"/>
  <c r="G42" i="4"/>
  <c r="M42" i="4"/>
  <c r="G43" i="4"/>
  <c r="M43" i="4"/>
  <c r="G44" i="4"/>
  <c r="M44" i="4"/>
  <c r="G45" i="4"/>
  <c r="M45" i="4"/>
  <c r="G46" i="4"/>
  <c r="M46" i="4"/>
  <c r="G47" i="4"/>
  <c r="M47" i="4"/>
  <c r="M48" i="4"/>
  <c r="BG48" i="4"/>
  <c r="G49" i="4"/>
  <c r="K49" i="4"/>
  <c r="M49" i="4"/>
  <c r="BG51" i="4"/>
  <c r="BG52" i="4"/>
  <c r="BG56" i="4"/>
  <c r="BG57" i="4"/>
  <c r="BG62" i="4"/>
  <c r="BG63" i="4"/>
  <c r="BG64" i="4"/>
  <c r="BG69" i="4"/>
  <c r="BG71" i="4"/>
  <c r="BG73" i="4"/>
  <c r="BG76" i="4"/>
  <c r="BG77" i="4"/>
  <c r="BG78" i="4"/>
  <c r="BG84" i="4"/>
  <c r="BG85" i="4"/>
  <c r="BG89" i="4"/>
  <c r="BG113" i="4"/>
  <c r="BG118" i="4"/>
  <c r="BG122" i="4"/>
  <c r="BG137" i="4"/>
  <c r="BG143" i="4"/>
  <c r="BG146" i="4"/>
  <c r="BG162" i="4"/>
  <c r="BG241" i="4"/>
  <c r="BI241" i="4"/>
  <c r="BI248" i="4"/>
  <c r="AS2" i="7"/>
  <c r="AS3" i="7"/>
  <c r="AS9" i="7"/>
  <c r="AS10" i="7"/>
  <c r="AS11" i="7"/>
  <c r="AS12" i="7"/>
  <c r="AS13" i="7"/>
  <c r="AS14" i="7"/>
  <c r="AS15" i="7"/>
  <c r="AS16" i="7"/>
  <c r="S17" i="7"/>
  <c r="AS17" i="7"/>
  <c r="AS18" i="7"/>
  <c r="C19" i="7"/>
  <c r="E19" i="7"/>
  <c r="G19" i="7"/>
  <c r="I19" i="7"/>
  <c r="K19" i="7"/>
  <c r="M19" i="7"/>
  <c r="O19" i="7"/>
  <c r="Q19" i="7"/>
  <c r="S19" i="7"/>
  <c r="U19" i="7"/>
  <c r="V19" i="7"/>
  <c r="W19" i="7"/>
  <c r="X19" i="7"/>
  <c r="Y19" i="7"/>
  <c r="AA19" i="7"/>
  <c r="AC19" i="7"/>
  <c r="AG19" i="7"/>
  <c r="AI19" i="7"/>
  <c r="AK19" i="7"/>
  <c r="AM19" i="7"/>
  <c r="AO19" i="7"/>
  <c r="AQ19" i="7"/>
  <c r="AS19" i="7"/>
  <c r="C22" i="7"/>
  <c r="E22" i="7"/>
  <c r="Q22" i="7"/>
  <c r="S22" i="7"/>
  <c r="U22" i="7"/>
  <c r="V22" i="7"/>
  <c r="W22" i="7"/>
  <c r="X22" i="7"/>
  <c r="Y22" i="7"/>
  <c r="AA22" i="7"/>
  <c r="AC22" i="7"/>
  <c r="AG22" i="7"/>
  <c r="AI22" i="7"/>
  <c r="AK22" i="7"/>
  <c r="AM22" i="7"/>
  <c r="AQ22" i="7"/>
  <c r="AS22" i="7"/>
  <c r="AS23" i="7"/>
  <c r="AS24" i="7"/>
  <c r="S25" i="7"/>
  <c r="X25" i="7"/>
  <c r="AS25" i="7"/>
  <c r="S26" i="7"/>
  <c r="U26" i="7"/>
  <c r="AS26" i="7"/>
  <c r="AS27" i="7"/>
  <c r="W28" i="7"/>
  <c r="AS28" i="7"/>
  <c r="S29" i="7"/>
  <c r="U29" i="7"/>
  <c r="AS29" i="7"/>
  <c r="AS30" i="7"/>
  <c r="AS31" i="7"/>
  <c r="AS32" i="7"/>
  <c r="AS33" i="7"/>
  <c r="AS34" i="7"/>
  <c r="W35" i="7"/>
  <c r="X35" i="7"/>
  <c r="AA35" i="7"/>
  <c r="AC35" i="7"/>
  <c r="AG35" i="7"/>
  <c r="AI35" i="7"/>
  <c r="AS35" i="7"/>
  <c r="W36" i="7"/>
  <c r="X36" i="7"/>
  <c r="Y36" i="7"/>
  <c r="AC36" i="7"/>
  <c r="AG36" i="7"/>
  <c r="AS36" i="7"/>
  <c r="AS37" i="7"/>
  <c r="W38" i="7"/>
  <c r="X38" i="7"/>
  <c r="Y38" i="7"/>
  <c r="AA38" i="7"/>
  <c r="AS38" i="7"/>
  <c r="C39" i="7"/>
  <c r="E39" i="7"/>
  <c r="G39" i="7"/>
  <c r="I39" i="7"/>
  <c r="K39" i="7"/>
  <c r="M39" i="7"/>
  <c r="O39" i="7"/>
  <c r="Q39" i="7"/>
  <c r="S39" i="7"/>
  <c r="U39" i="7"/>
  <c r="V39" i="7"/>
  <c r="W39" i="7"/>
  <c r="X39" i="7"/>
  <c r="Y39" i="7"/>
  <c r="AA39" i="7"/>
  <c r="AC39" i="7"/>
  <c r="AG39" i="7"/>
  <c r="AI39" i="7"/>
  <c r="AK39" i="7"/>
  <c r="AM39" i="7"/>
  <c r="AO39" i="7"/>
  <c r="AQ39" i="7"/>
  <c r="AS39" i="7"/>
  <c r="C42" i="7"/>
  <c r="E42" i="7"/>
  <c r="K42" i="7"/>
  <c r="O42" i="7"/>
  <c r="U42" i="7"/>
  <c r="AS42" i="7"/>
  <c r="C43" i="7"/>
  <c r="E43" i="7"/>
  <c r="K43" i="7"/>
  <c r="O43" i="7"/>
  <c r="U43" i="7"/>
  <c r="AS43" i="7"/>
  <c r="C44" i="7"/>
  <c r="E44" i="7"/>
  <c r="K44" i="7"/>
  <c r="O44" i="7"/>
  <c r="U44" i="7"/>
  <c r="AS44" i="7"/>
  <c r="AS45" i="7"/>
  <c r="C46" i="7"/>
  <c r="E46" i="7"/>
  <c r="G46" i="7"/>
  <c r="I46" i="7"/>
  <c r="K46" i="7"/>
  <c r="M46" i="7"/>
  <c r="O46" i="7"/>
  <c r="Q46" i="7"/>
  <c r="S46" i="7"/>
  <c r="U46" i="7"/>
  <c r="V46" i="7"/>
  <c r="W46" i="7"/>
  <c r="X46" i="7"/>
  <c r="Y46" i="7"/>
  <c r="AA46" i="7"/>
  <c r="AC46" i="7"/>
  <c r="AG46" i="7"/>
  <c r="AI46" i="7"/>
  <c r="AK46" i="7"/>
  <c r="AM46" i="7"/>
  <c r="AO46" i="7"/>
  <c r="AQ46" i="7"/>
  <c r="AS46" i="7"/>
  <c r="AS48" i="7"/>
  <c r="C49" i="7"/>
  <c r="E49" i="7"/>
  <c r="G49" i="7"/>
  <c r="I49" i="7"/>
  <c r="K49" i="7"/>
  <c r="M49" i="7"/>
  <c r="O49" i="7"/>
  <c r="Q49" i="7"/>
  <c r="S49" i="7"/>
  <c r="U49" i="7"/>
  <c r="V49" i="7"/>
  <c r="W49" i="7"/>
  <c r="X49" i="7"/>
  <c r="Y49" i="7"/>
  <c r="AA49" i="7"/>
  <c r="AC49" i="7"/>
  <c r="AG49" i="7"/>
  <c r="AI49" i="7"/>
  <c r="AK49" i="7"/>
  <c r="AM49" i="7"/>
  <c r="AO49" i="7"/>
  <c r="AQ49" i="7"/>
  <c r="AS49" i="7"/>
  <c r="AJ52" i="7"/>
  <c r="AS52" i="7"/>
  <c r="AS53" i="7"/>
  <c r="AS54" i="7"/>
  <c r="O55" i="7"/>
  <c r="Y55" i="7"/>
  <c r="AS55" i="7"/>
  <c r="O56" i="7"/>
  <c r="Y56" i="7"/>
  <c r="AS56" i="7"/>
  <c r="C57" i="7"/>
  <c r="E57" i="7"/>
  <c r="G57" i="7"/>
  <c r="I57" i="7"/>
  <c r="K57" i="7"/>
  <c r="M57" i="7"/>
  <c r="O57" i="7"/>
  <c r="Q57" i="7"/>
  <c r="S57" i="7"/>
  <c r="U57" i="7"/>
  <c r="V57" i="7"/>
  <c r="W57" i="7"/>
  <c r="X57" i="7"/>
  <c r="Y57" i="7"/>
  <c r="AA57" i="7"/>
  <c r="AC57" i="7"/>
  <c r="AG57" i="7"/>
  <c r="AI57" i="7"/>
  <c r="AK57" i="7"/>
  <c r="AM57" i="7"/>
  <c r="AO57" i="7"/>
  <c r="AQ57" i="7"/>
  <c r="AS57" i="7"/>
  <c r="AS59" i="7"/>
  <c r="C62" i="7"/>
  <c r="E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C62" i="7"/>
  <c r="AE62" i="7"/>
  <c r="AF62" i="7"/>
  <c r="AG62" i="7"/>
  <c r="AI62" i="7"/>
  <c r="AJ62" i="7"/>
  <c r="AK62" i="7"/>
  <c r="AM62" i="7"/>
  <c r="AO62" i="7"/>
  <c r="AQ62" i="7"/>
  <c r="AS62" i="7"/>
  <c r="AI64" i="7"/>
  <c r="AK64" i="7"/>
  <c r="AS64" i="7"/>
  <c r="C66" i="7"/>
  <c r="E66" i="7"/>
  <c r="G66" i="7"/>
  <c r="I66" i="7"/>
  <c r="K66" i="7"/>
  <c r="M66" i="7"/>
  <c r="O66" i="7"/>
  <c r="Q66" i="7"/>
  <c r="S66" i="7"/>
  <c r="U66" i="7"/>
  <c r="V66" i="7"/>
  <c r="W66" i="7"/>
  <c r="X66" i="7"/>
  <c r="Y66" i="7"/>
  <c r="Z66" i="7"/>
  <c r="AA66" i="7"/>
  <c r="AC66" i="7"/>
  <c r="AG66" i="7"/>
  <c r="AI66" i="7"/>
  <c r="AK66" i="7"/>
  <c r="AM66" i="7"/>
  <c r="AO66" i="7"/>
  <c r="AQ66" i="7"/>
  <c r="AS66" i="7"/>
  <c r="BF11" i="10"/>
  <c r="J12" i="10"/>
  <c r="R12" i="10"/>
  <c r="T12" i="10"/>
  <c r="BF12" i="10"/>
  <c r="F13" i="10"/>
  <c r="R13" i="10"/>
  <c r="V13" i="10"/>
  <c r="AD13" i="10"/>
  <c r="AF13" i="10"/>
  <c r="AH13" i="10"/>
  <c r="AJ13" i="10"/>
  <c r="AL13" i="10"/>
  <c r="AN13" i="10"/>
  <c r="AP13" i="10"/>
  <c r="AR13" i="10"/>
  <c r="BF13" i="10"/>
  <c r="F14" i="10"/>
  <c r="BF14" i="10"/>
  <c r="F15" i="10"/>
  <c r="H15" i="10"/>
  <c r="J15" i="10"/>
  <c r="L15" i="10"/>
  <c r="N15" i="10"/>
  <c r="P15" i="10"/>
  <c r="R15" i="10"/>
  <c r="T15" i="10"/>
  <c r="V15" i="10"/>
  <c r="X15" i="10"/>
  <c r="Z15" i="10"/>
  <c r="AB15" i="10"/>
  <c r="AD15" i="10"/>
  <c r="AF15" i="10"/>
  <c r="AH15" i="10"/>
  <c r="AJ15" i="10"/>
  <c r="AL15" i="10"/>
  <c r="AN15" i="10"/>
  <c r="AP15" i="10"/>
  <c r="AR15" i="10"/>
  <c r="AT15" i="10"/>
  <c r="AV15" i="10"/>
  <c r="AX15" i="10"/>
  <c r="AZ15" i="10"/>
  <c r="BB15" i="10"/>
  <c r="BD15" i="10"/>
  <c r="BF15" i="10"/>
  <c r="F18" i="10"/>
  <c r="BF18" i="10"/>
  <c r="BF19" i="10"/>
  <c r="BF20" i="10"/>
  <c r="F21" i="10"/>
  <c r="AN21" i="10"/>
  <c r="BF21" i="10"/>
  <c r="AN22" i="10"/>
  <c r="BF22" i="10"/>
  <c r="BF23" i="10"/>
  <c r="BF24" i="10"/>
  <c r="F25" i="10"/>
  <c r="H25" i="10"/>
  <c r="J25" i="10"/>
  <c r="L25" i="10"/>
  <c r="N25" i="10"/>
  <c r="P25" i="10"/>
  <c r="R25" i="10"/>
  <c r="T25" i="10"/>
  <c r="V25" i="10"/>
  <c r="X25" i="10"/>
  <c r="Z25" i="10"/>
  <c r="AB25" i="10"/>
  <c r="AD25" i="10"/>
  <c r="AF25" i="10"/>
  <c r="AH25" i="10"/>
  <c r="AJ25" i="10"/>
  <c r="AL25" i="10"/>
  <c r="AN25" i="10"/>
  <c r="AP25" i="10"/>
  <c r="AR25" i="10"/>
  <c r="AT25" i="10"/>
  <c r="AV25" i="10"/>
  <c r="AX25" i="10"/>
  <c r="AZ25" i="10"/>
  <c r="BB25" i="10"/>
  <c r="BD25" i="10"/>
  <c r="BF25" i="10"/>
  <c r="F26" i="10"/>
  <c r="H26" i="10"/>
  <c r="J26" i="10"/>
  <c r="L26" i="10"/>
  <c r="N26" i="10"/>
  <c r="P26" i="10"/>
  <c r="R26" i="10"/>
  <c r="T26" i="10"/>
  <c r="V26" i="10"/>
  <c r="X26" i="10"/>
  <c r="Z26" i="10"/>
  <c r="AB26" i="10"/>
  <c r="AD26" i="10"/>
  <c r="AF26" i="10"/>
  <c r="AH26" i="10"/>
  <c r="AJ26" i="10"/>
  <c r="AL26" i="10"/>
  <c r="AN26" i="10"/>
  <c r="AP26" i="10"/>
  <c r="AR26" i="10"/>
  <c r="AT26" i="10"/>
  <c r="AV26" i="10"/>
  <c r="AX26" i="10"/>
  <c r="AZ26" i="10"/>
  <c r="BB26" i="10"/>
  <c r="BD26" i="10"/>
  <c r="BF26" i="10"/>
</calcChain>
</file>

<file path=xl/comments1.xml><?xml version="1.0" encoding="utf-8"?>
<comments xmlns="http://schemas.openxmlformats.org/spreadsheetml/2006/main">
  <authors>
    <author>Lindsay Long</author>
    <author>tvos</author>
    <author>awu3</author>
    <author>Enron</author>
  </authors>
  <commentList>
    <comment ref="Y12" authorId="0" shapeId="0">
      <text>
        <r>
          <rPr>
            <b/>
            <sz val="8"/>
            <color indexed="81"/>
            <rFont val="Tahoma"/>
          </rPr>
          <t>Lindsay Long:</t>
        </r>
        <r>
          <rPr>
            <sz val="8"/>
            <color indexed="81"/>
            <rFont val="Tahoma"/>
          </rPr>
          <t xml:space="preserve">
IBC Turbo invoices Warehouse 56,200, security - 10,121, other is reclass of amounts not belonging to Doyle.
</t>
        </r>
      </text>
    </comment>
    <comment ref="Y15" authorId="0" shapeId="0">
      <text>
        <r>
          <rPr>
            <b/>
            <sz val="8"/>
            <color indexed="81"/>
            <rFont val="Tahoma"/>
          </rPr>
          <t>Lindsay Long:</t>
        </r>
        <r>
          <rPr>
            <sz val="8"/>
            <color indexed="81"/>
            <rFont val="Tahoma"/>
          </rPr>
          <t xml:space="preserve">
Doyle originally charged for all LEC burners.  This amount to reclass excess over 3 LEC burners.
</t>
        </r>
      </text>
    </comment>
    <comment ref="Q16" authorId="0" shapeId="0">
      <text>
        <r>
          <rPr>
            <b/>
            <sz val="8"/>
            <color indexed="81"/>
            <rFont val="Tahoma"/>
          </rPr>
          <t>Lindsay Long:</t>
        </r>
        <r>
          <rPr>
            <sz val="8"/>
            <color indexed="81"/>
            <rFont val="Tahoma"/>
          </rPr>
          <t xml:space="preserve">
Net of $2,850,000 and (1,200,000)= 1,650,000.
$2.8MM was refunded 4/99.
</t>
        </r>
      </text>
    </comment>
    <comment ref="BK16" authorId="1" shapeId="0">
      <text>
        <r>
          <rPr>
            <b/>
            <sz val="8"/>
            <color indexed="81"/>
            <rFont val="Tahoma"/>
          </rPr>
          <t>tvos:</t>
        </r>
        <r>
          <rPr>
            <sz val="8"/>
            <color indexed="81"/>
            <rFont val="Tahoma"/>
          </rPr>
          <t xml:space="preserve">
$60K refund from GE and $57K adjustment to tie to G/L</t>
        </r>
      </text>
    </comment>
    <comment ref="B158" authorId="2" shapeId="0">
      <text>
        <r>
          <rPr>
            <sz val="8"/>
            <color indexed="81"/>
            <rFont val="Tahoma"/>
            <family val="2"/>
          </rPr>
          <t xml:space="preserve">Adjustment made for part of Change order works which are included in line 46 to 137, running against the orginal budget. </t>
        </r>
        <r>
          <rPr>
            <b/>
            <sz val="8"/>
            <color indexed="81"/>
            <rFont val="Tahoma"/>
          </rPr>
          <t xml:space="preserve">
</t>
        </r>
      </text>
    </comment>
    <comment ref="B174" authorId="2" shapeId="0">
      <text>
        <r>
          <rPr>
            <b/>
            <sz val="8"/>
            <color indexed="81"/>
            <rFont val="Tahoma"/>
          </rPr>
          <t>awu3:</t>
        </r>
        <r>
          <rPr>
            <sz val="8"/>
            <color indexed="81"/>
            <rFont val="Tahoma"/>
          </rPr>
          <t xml:space="preserve">
Include Substation/Switchyard from Nepco Billing
</t>
        </r>
      </text>
    </comment>
    <comment ref="AS204" authorId="3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O&amp;M Reimbursement
1 March $65537
2 April 421012.05
</t>
        </r>
      </text>
    </comment>
    <comment ref="K253" authorId="0" shapeId="0">
      <text>
        <r>
          <rPr>
            <b/>
            <sz val="8"/>
            <color indexed="81"/>
            <rFont val="Tahoma"/>
          </rPr>
          <t>Lindsay Long:</t>
        </r>
        <r>
          <rPr>
            <sz val="8"/>
            <color indexed="81"/>
            <rFont val="Tahoma"/>
          </rPr>
          <t xml:space="preserve">
Includes $21,899 expensed on E07A59.
</t>
        </r>
      </text>
    </comment>
    <comment ref="M253" authorId="0" shapeId="0">
      <text>
        <r>
          <rPr>
            <b/>
            <sz val="8"/>
            <color indexed="81"/>
            <rFont val="Tahoma"/>
          </rPr>
          <t>Lindsay Long:</t>
        </r>
        <r>
          <rPr>
            <sz val="8"/>
            <color indexed="81"/>
            <rFont val="Tahoma"/>
          </rPr>
          <t xml:space="preserve">
Expensed on WO# E07A59.
</t>
        </r>
      </text>
    </comment>
    <comment ref="O253" authorId="0" shapeId="0">
      <text>
        <r>
          <rPr>
            <b/>
            <sz val="8"/>
            <color indexed="81"/>
            <rFont val="Tahoma"/>
          </rPr>
          <t>Lindsay Long:</t>
        </r>
        <r>
          <rPr>
            <sz val="8"/>
            <color indexed="81"/>
            <rFont val="Tahoma"/>
          </rPr>
          <t xml:space="preserve">
Expensed on WO# E07A59.
</t>
        </r>
      </text>
    </comment>
    <comment ref="U253" authorId="0" shapeId="0">
      <text>
        <r>
          <rPr>
            <b/>
            <sz val="8"/>
            <color indexed="81"/>
            <rFont val="Tahoma"/>
          </rPr>
          <t>Lindsay Long:</t>
        </r>
        <r>
          <rPr>
            <sz val="8"/>
            <color indexed="81"/>
            <rFont val="Tahoma"/>
          </rPr>
          <t xml:space="preserve">
Expensed on WO# E07A59.
</t>
        </r>
      </text>
    </comment>
    <comment ref="K254" authorId="0" shapeId="0">
      <text>
        <r>
          <rPr>
            <b/>
            <sz val="8"/>
            <color indexed="81"/>
            <rFont val="Tahoma"/>
          </rPr>
          <t>Lindsay Long:</t>
        </r>
        <r>
          <rPr>
            <sz val="8"/>
            <color indexed="81"/>
            <rFont val="Tahoma"/>
          </rPr>
          <t xml:space="preserve">
Includes $2,485 expensed on E07A59.
</t>
        </r>
      </text>
    </comment>
    <comment ref="W255" authorId="0" shapeId="0">
      <text>
        <r>
          <rPr>
            <b/>
            <sz val="8"/>
            <color indexed="81"/>
            <rFont val="Tahoma"/>
          </rPr>
          <t>Lindsay Long:</t>
        </r>
        <r>
          <rPr>
            <sz val="8"/>
            <color indexed="81"/>
            <rFont val="Tahoma"/>
          </rPr>
          <t xml:space="preserve">
Reverse Ogden, Newell legal costs not belonging to Doyle.</t>
        </r>
      </text>
    </comment>
  </commentList>
</comments>
</file>

<file path=xl/comments2.xml><?xml version="1.0" encoding="utf-8"?>
<comments xmlns="http://schemas.openxmlformats.org/spreadsheetml/2006/main">
  <authors>
    <author>awu3</author>
  </authors>
  <commentList>
    <comment ref="B32" authorId="0" shapeId="0">
      <text>
        <r>
          <rPr>
            <b/>
            <sz val="8"/>
            <color indexed="81"/>
            <rFont val="Tahoma"/>
          </rPr>
          <t>awu3:</t>
        </r>
        <r>
          <rPr>
            <sz val="8"/>
            <color indexed="81"/>
            <rFont val="Tahoma"/>
          </rPr>
          <t xml:space="preserve">
Include Substation/Switchyard from Nepco Billing
</t>
        </r>
      </text>
    </comment>
    <comment ref="B36" authorId="0" shapeId="0">
      <text>
        <r>
          <rPr>
            <b/>
            <sz val="8"/>
            <color indexed="81"/>
            <rFont val="Tahoma"/>
          </rPr>
          <t>awu3:</t>
        </r>
        <r>
          <rPr>
            <sz val="8"/>
            <color indexed="81"/>
            <rFont val="Tahoma"/>
          </rPr>
          <t xml:space="preserve">
Include Substation/Switchyard from Nepco Billing
</t>
        </r>
      </text>
    </comment>
  </commentList>
</comments>
</file>

<file path=xl/comments3.xml><?xml version="1.0" encoding="utf-8"?>
<comments xmlns="http://schemas.openxmlformats.org/spreadsheetml/2006/main">
  <authors>
    <author>Lindsay Long</author>
    <author>awu3</author>
  </authors>
  <commentList>
    <comment ref="K42" authorId="0" shapeId="0">
      <text>
        <r>
          <rPr>
            <b/>
            <sz val="8"/>
            <color indexed="81"/>
            <rFont val="Tahoma"/>
          </rPr>
          <t>Lindsay Long:</t>
        </r>
        <r>
          <rPr>
            <sz val="8"/>
            <color indexed="81"/>
            <rFont val="Tahoma"/>
          </rPr>
          <t xml:space="preserve">
Payment equal to 50% of purchase price.
</t>
        </r>
      </text>
    </comment>
    <comment ref="O42" authorId="0" shapeId="0">
      <text>
        <r>
          <rPr>
            <b/>
            <sz val="8"/>
            <color indexed="81"/>
            <rFont val="Tahoma"/>
          </rPr>
          <t>Lindsay Long:</t>
        </r>
        <r>
          <rPr>
            <sz val="8"/>
            <color indexed="81"/>
            <rFont val="Tahoma"/>
          </rPr>
          <t xml:space="preserve">
Payment for 40% of contract price, remaining 10% upon delivery.
</t>
        </r>
      </text>
    </comment>
    <comment ref="K43" authorId="0" shapeId="0">
      <text>
        <r>
          <rPr>
            <b/>
            <sz val="8"/>
            <color indexed="81"/>
            <rFont val="Tahoma"/>
          </rPr>
          <t>Lindsay Long:</t>
        </r>
        <r>
          <rPr>
            <sz val="8"/>
            <color indexed="81"/>
            <rFont val="Tahoma"/>
          </rPr>
          <t xml:space="preserve">
Payment equal to 50% of purchase price.
</t>
        </r>
      </text>
    </comment>
    <comment ref="O43" authorId="0" shapeId="0">
      <text>
        <r>
          <rPr>
            <b/>
            <sz val="8"/>
            <color indexed="81"/>
            <rFont val="Tahoma"/>
          </rPr>
          <t>Lindsay Long:</t>
        </r>
        <r>
          <rPr>
            <sz val="8"/>
            <color indexed="81"/>
            <rFont val="Tahoma"/>
          </rPr>
          <t xml:space="preserve">
Payment equal to 50% of purchase price.
</t>
        </r>
      </text>
    </comment>
    <comment ref="K44" authorId="0" shapeId="0">
      <text>
        <r>
          <rPr>
            <b/>
            <sz val="8"/>
            <color indexed="81"/>
            <rFont val="Tahoma"/>
          </rPr>
          <t>Lindsay Long:</t>
        </r>
        <r>
          <rPr>
            <sz val="8"/>
            <color indexed="81"/>
            <rFont val="Tahoma"/>
          </rPr>
          <t xml:space="preserve">
Payment equal to 50% of purchase price.
</t>
        </r>
      </text>
    </comment>
    <comment ref="O44" authorId="0" shapeId="0">
      <text>
        <r>
          <rPr>
            <b/>
            <sz val="8"/>
            <color indexed="81"/>
            <rFont val="Tahoma"/>
          </rPr>
          <t>Lindsay Long:</t>
        </r>
        <r>
          <rPr>
            <sz val="8"/>
            <color indexed="81"/>
            <rFont val="Tahoma"/>
          </rPr>
          <t xml:space="preserve">
Payment equal to 50% of purchase price.
</t>
        </r>
      </text>
    </comment>
    <comment ref="I66" authorId="1" shapeId="0">
      <text>
        <r>
          <rPr>
            <sz val="8"/>
            <color indexed="81"/>
            <rFont val="Tahoma"/>
          </rPr>
          <t xml:space="preserve">Allan Wu:
Deposit of &amp;1200000 on turbines refunded in April
</t>
        </r>
      </text>
    </comment>
    <comment ref="M66" authorId="1" shapeId="0">
      <text>
        <r>
          <rPr>
            <b/>
            <sz val="8"/>
            <color indexed="81"/>
            <rFont val="Tahoma"/>
          </rPr>
          <t>Allan Wu:</t>
        </r>
        <r>
          <rPr>
            <sz val="8"/>
            <color indexed="81"/>
            <rFont val="Tahoma"/>
          </rPr>
          <t xml:space="preserve">
Deposit of $1200000 paid in January refunded and $2850000 paid this month refunded in April</t>
        </r>
      </text>
    </comment>
    <comment ref="O66" authorId="1" shapeId="0">
      <text>
        <r>
          <rPr>
            <sz val="8"/>
            <color indexed="81"/>
            <rFont val="Tahoma"/>
          </rPr>
          <t xml:space="preserve">Allan Wu:
Deposit of $2850000 refunded this month.
</t>
        </r>
      </text>
    </comment>
  </commentList>
</comments>
</file>

<file path=xl/comments4.xml><?xml version="1.0" encoding="utf-8"?>
<comments xmlns="http://schemas.openxmlformats.org/spreadsheetml/2006/main">
  <authors>
    <author>Lindsay Long</author>
  </authors>
  <commentList>
    <comment ref="T11" authorId="0" shapeId="0">
      <text>
        <r>
          <rPr>
            <b/>
            <sz val="8"/>
            <color indexed="81"/>
            <rFont val="Tahoma"/>
          </rPr>
          <t>Lindsay Long:</t>
        </r>
        <r>
          <rPr>
            <sz val="8"/>
            <color indexed="81"/>
            <rFont val="Tahoma"/>
          </rPr>
          <t xml:space="preserve">
Estimate thru 10/15
</t>
        </r>
      </text>
    </comment>
  </commentList>
</comments>
</file>

<file path=xl/comments5.xml><?xml version="1.0" encoding="utf-8"?>
<comments xmlns="http://schemas.openxmlformats.org/spreadsheetml/2006/main">
  <authors>
    <author>tvos</author>
    <author>awu3</author>
  </authors>
  <commentList>
    <comment ref="F26" authorId="0" shapeId="0">
      <text>
        <r>
          <rPr>
            <b/>
            <sz val="8"/>
            <color indexed="81"/>
            <rFont val="Tahoma"/>
          </rPr>
          <t>tvos:</t>
        </r>
        <r>
          <rPr>
            <sz val="8"/>
            <color indexed="81"/>
            <rFont val="Tahoma"/>
          </rPr>
          <t xml:space="preserve">
IDC Booked backwards in July - to be corrected in August.
</t>
        </r>
      </text>
    </comment>
    <comment ref="P26" authorId="1" shapeId="0">
      <text>
        <r>
          <rPr>
            <b/>
            <sz val="8"/>
            <color indexed="81"/>
            <rFont val="Tahoma"/>
          </rPr>
          <t>awu3:</t>
        </r>
        <r>
          <rPr>
            <sz val="8"/>
            <color indexed="81"/>
            <rFont val="Tahoma"/>
          </rPr>
          <t xml:space="preserve">
Mobolization
</t>
        </r>
      </text>
    </comment>
    <comment ref="AH26" authorId="1" shapeId="0">
      <text>
        <r>
          <rPr>
            <b/>
            <sz val="8"/>
            <color indexed="81"/>
            <rFont val="Tahoma"/>
          </rPr>
          <t>awu3:</t>
        </r>
        <r>
          <rPr>
            <sz val="8"/>
            <color indexed="81"/>
            <rFont val="Tahoma"/>
          </rPr>
          <t xml:space="preserve">
timing diff - sewerline
</t>
        </r>
      </text>
    </comment>
    <comment ref="AJ26" authorId="1" shapeId="0">
      <text>
        <r>
          <rPr>
            <b/>
            <sz val="8"/>
            <color indexed="81"/>
            <rFont val="Tahoma"/>
          </rPr>
          <t>awu3:</t>
        </r>
        <r>
          <rPr>
            <sz val="8"/>
            <color indexed="81"/>
            <rFont val="Tahoma"/>
          </rPr>
          <t xml:space="preserve">
Mobolization Cost
</t>
        </r>
      </text>
    </comment>
    <comment ref="AN26" authorId="1" shapeId="0">
      <text>
        <r>
          <rPr>
            <b/>
            <sz val="8"/>
            <color indexed="81"/>
            <rFont val="Tahoma"/>
          </rPr>
          <t xml:space="preserve">capital salaries
</t>
        </r>
      </text>
    </comment>
    <comment ref="AP26" authorId="1" shapeId="0">
      <text>
        <r>
          <rPr>
            <b/>
            <sz val="8"/>
            <color indexed="81"/>
            <rFont val="Tahoma"/>
          </rPr>
          <t>awu3:</t>
        </r>
        <r>
          <rPr>
            <sz val="8"/>
            <color indexed="81"/>
            <rFont val="Tahoma"/>
          </rPr>
          <t xml:space="preserve">
Mobolization Reimbursement
59123 Sewer Line</t>
        </r>
      </text>
    </comment>
    <comment ref="AT26" authorId="0" shapeId="0">
      <text>
        <r>
          <rPr>
            <b/>
            <sz val="8"/>
            <color indexed="81"/>
            <rFont val="Tahoma"/>
          </rPr>
          <t>tvos:</t>
        </r>
        <r>
          <rPr>
            <sz val="8"/>
            <color indexed="81"/>
            <rFont val="Tahoma"/>
          </rPr>
          <t xml:space="preserve">
IDC booked backwards.  To be corrected in Aug.</t>
        </r>
      </text>
    </comment>
  </commentList>
</comments>
</file>

<file path=xl/comments6.xml><?xml version="1.0" encoding="utf-8"?>
<comments xmlns="http://schemas.openxmlformats.org/spreadsheetml/2006/main">
  <authors>
    <author>Lindsay Long</author>
    <author>nepco</author>
    <author>awu3</author>
  </authors>
  <commentList>
    <comment ref="Y12" authorId="0" shapeId="0">
      <text>
        <r>
          <rPr>
            <b/>
            <sz val="8"/>
            <color indexed="81"/>
            <rFont val="Tahoma"/>
          </rPr>
          <t>Lindsay Long:</t>
        </r>
        <r>
          <rPr>
            <sz val="8"/>
            <color indexed="81"/>
            <rFont val="Tahoma"/>
          </rPr>
          <t xml:space="preserve">
IBC Turbo invoices Warehouse 56,200, security - 10,121, other is reclass of amounts not belonging to Doyle.
</t>
        </r>
      </text>
    </comment>
    <comment ref="Y15" authorId="0" shapeId="0">
      <text>
        <r>
          <rPr>
            <b/>
            <sz val="8"/>
            <color indexed="81"/>
            <rFont val="Tahoma"/>
          </rPr>
          <t>Lindsay Long:</t>
        </r>
        <r>
          <rPr>
            <sz val="8"/>
            <color indexed="81"/>
            <rFont val="Tahoma"/>
          </rPr>
          <t xml:space="preserve">
Doyle originally charged for all LEC burners.  This amount to reclass excess over 3 LEC burners.
</t>
        </r>
      </text>
    </comment>
    <comment ref="Q16" authorId="0" shapeId="0">
      <text>
        <r>
          <rPr>
            <b/>
            <sz val="8"/>
            <color indexed="81"/>
            <rFont val="Tahoma"/>
          </rPr>
          <t>Lindsay Long:</t>
        </r>
        <r>
          <rPr>
            <sz val="8"/>
            <color indexed="81"/>
            <rFont val="Tahoma"/>
          </rPr>
          <t xml:space="preserve">
Net of $2,850,000 and (1,200,000)= 1,650,000.
$2.8MM was refunded 4/99.
</t>
        </r>
      </text>
    </comment>
    <comment ref="B71" authorId="1" shapeId="0">
      <text>
        <r>
          <rPr>
            <b/>
            <sz val="8"/>
            <color indexed="81"/>
            <rFont val="Tahoma"/>
          </rPr>
          <t>nepco:</t>
        </r>
        <r>
          <rPr>
            <sz val="8"/>
            <color indexed="81"/>
            <rFont val="Tahoma"/>
          </rPr>
          <t xml:space="preserve">
10% delivery
90% 30days
</t>
        </r>
      </text>
    </comment>
    <comment ref="K246" authorId="0" shapeId="0">
      <text>
        <r>
          <rPr>
            <b/>
            <sz val="8"/>
            <color indexed="81"/>
            <rFont val="Tahoma"/>
          </rPr>
          <t>Lindsay Long:</t>
        </r>
        <r>
          <rPr>
            <sz val="8"/>
            <color indexed="81"/>
            <rFont val="Tahoma"/>
          </rPr>
          <t xml:space="preserve">
Includes $21,899 expensed on E07A59.
</t>
        </r>
      </text>
    </comment>
    <comment ref="M246" authorId="0" shapeId="0">
      <text>
        <r>
          <rPr>
            <b/>
            <sz val="8"/>
            <color indexed="81"/>
            <rFont val="Tahoma"/>
          </rPr>
          <t>Lindsay Long:</t>
        </r>
        <r>
          <rPr>
            <sz val="8"/>
            <color indexed="81"/>
            <rFont val="Tahoma"/>
          </rPr>
          <t xml:space="preserve">
Expensed on WO# E07A59.
</t>
        </r>
      </text>
    </comment>
    <comment ref="O246" authorId="0" shapeId="0">
      <text>
        <r>
          <rPr>
            <b/>
            <sz val="8"/>
            <color indexed="81"/>
            <rFont val="Tahoma"/>
          </rPr>
          <t>Lindsay Long:</t>
        </r>
        <r>
          <rPr>
            <sz val="8"/>
            <color indexed="81"/>
            <rFont val="Tahoma"/>
          </rPr>
          <t xml:space="preserve">
Expensed on WO# E07A59.
</t>
        </r>
      </text>
    </comment>
    <comment ref="U246" authorId="0" shapeId="0">
      <text>
        <r>
          <rPr>
            <b/>
            <sz val="8"/>
            <color indexed="81"/>
            <rFont val="Tahoma"/>
          </rPr>
          <t>Lindsay Long:</t>
        </r>
        <r>
          <rPr>
            <sz val="8"/>
            <color indexed="81"/>
            <rFont val="Tahoma"/>
          </rPr>
          <t xml:space="preserve">
Expensed on WO# E07A59.
</t>
        </r>
      </text>
    </comment>
    <comment ref="K247" authorId="0" shapeId="0">
      <text>
        <r>
          <rPr>
            <b/>
            <sz val="8"/>
            <color indexed="81"/>
            <rFont val="Tahoma"/>
          </rPr>
          <t>Lindsay Long:</t>
        </r>
        <r>
          <rPr>
            <sz val="8"/>
            <color indexed="81"/>
            <rFont val="Tahoma"/>
          </rPr>
          <t xml:space="preserve">
Includes $2,485 expensed on E07A59.
</t>
        </r>
      </text>
    </comment>
    <comment ref="W248" authorId="0" shapeId="0">
      <text>
        <r>
          <rPr>
            <b/>
            <sz val="8"/>
            <color indexed="81"/>
            <rFont val="Tahoma"/>
          </rPr>
          <t>Lindsay Long:</t>
        </r>
        <r>
          <rPr>
            <sz val="8"/>
            <color indexed="81"/>
            <rFont val="Tahoma"/>
          </rPr>
          <t xml:space="preserve">
Reverse Ogden, Newell legal costs not belonging to Doyle.</t>
        </r>
      </text>
    </comment>
    <comment ref="B284" authorId="2" shapeId="0">
      <text>
        <r>
          <rPr>
            <b/>
            <sz val="8"/>
            <color indexed="81"/>
            <rFont val="Tahoma"/>
          </rPr>
          <t>awu3:</t>
        </r>
        <r>
          <rPr>
            <sz val="8"/>
            <color indexed="81"/>
            <rFont val="Tahoma"/>
          </rPr>
          <t xml:space="preserve">
Include Substation/Switchyard from Nepco Billing
</t>
        </r>
      </text>
    </comment>
  </commentList>
</comments>
</file>

<file path=xl/sharedStrings.xml><?xml version="1.0" encoding="utf-8"?>
<sst xmlns="http://schemas.openxmlformats.org/spreadsheetml/2006/main" count="7001" uniqueCount="1768">
  <si>
    <t>REFURBISHMENT TTS</t>
  </si>
  <si>
    <t>BRIMHALL DELIVERY SERVICE</t>
  </si>
  <si>
    <t>REFURBISHM'T/TRANSPT</t>
  </si>
  <si>
    <t xml:space="preserve">        WT010700</t>
  </si>
  <si>
    <t>LAND PURCHASE</t>
  </si>
  <si>
    <t>SEWER LINE</t>
  </si>
  <si>
    <t>ENA TURBINE COST Adder</t>
  </si>
  <si>
    <t>Reimbursement from Genco</t>
  </si>
  <si>
    <t>Reserve</t>
  </si>
  <si>
    <t>Power Transformer/OPC</t>
  </si>
  <si>
    <t>Doyle Refurbishment- Wood Group make-up payment</t>
  </si>
  <si>
    <t>Doyle Refurbishment- Project Management</t>
  </si>
  <si>
    <t>Doyle Refurbishment- TAW Generator Refurbishment</t>
  </si>
  <si>
    <t>Nepco Nov and Dec Expense</t>
  </si>
  <si>
    <t>Nepco Fixed Lump Sum portion of work</t>
  </si>
  <si>
    <t>IDC True-up</t>
  </si>
  <si>
    <t xml:space="preserve">        WT012800</t>
  </si>
  <si>
    <t>ADDTL PMT</t>
  </si>
  <si>
    <t>1-1044-00</t>
  </si>
  <si>
    <t>INV 1-1048-00</t>
  </si>
  <si>
    <t xml:space="preserve">          99005L</t>
  </si>
  <si>
    <t>99005L</t>
  </si>
  <si>
    <t>99005R</t>
  </si>
  <si>
    <t xml:space="preserve">      AWU020002H</t>
  </si>
  <si>
    <t xml:space="preserve">      TAB010002E</t>
  </si>
  <si>
    <t>REV NEPCO ACCUAL</t>
  </si>
  <si>
    <t xml:space="preserve">       AW010002G</t>
  </si>
  <si>
    <t>January, 2000</t>
  </si>
  <si>
    <t>Legal Expeneses</t>
  </si>
  <si>
    <t>05/31/2000.</t>
  </si>
  <si>
    <t>Power Systems Spc</t>
  </si>
  <si>
    <t xml:space="preserve">GLC consulting </t>
  </si>
  <si>
    <t>ABB power T&amp;D co</t>
  </si>
  <si>
    <t>May, 2000</t>
  </si>
  <si>
    <t>Saving from Transformer</t>
  </si>
  <si>
    <t>Mobilization ( Net of Reimbursement )</t>
  </si>
  <si>
    <t>as of 08/31/00</t>
  </si>
  <si>
    <t>OPC Transformer Assemble</t>
  </si>
  <si>
    <t>Oversight of construction &amp; Refurb</t>
  </si>
  <si>
    <t>Oversight of construction &amp; refurb</t>
  </si>
  <si>
    <t>Refurb- TAW</t>
  </si>
  <si>
    <t>Refurb - H &amp; M Generator Work</t>
  </si>
  <si>
    <t>Refurb - H &amp; M Exhaust Milestone</t>
  </si>
  <si>
    <t>Monroe Water &amp; Light</t>
  </si>
  <si>
    <t>Walton EMC Monroe</t>
  </si>
  <si>
    <t>Sewer line Construction</t>
  </si>
  <si>
    <t>2/29/2000</t>
  </si>
  <si>
    <t>Reimbursement from Oglethorpe</t>
  </si>
  <si>
    <t xml:space="preserve">G.L.C Consulting </t>
  </si>
  <si>
    <t>Refurbishment Contract Management</t>
  </si>
  <si>
    <t>EECC</t>
  </si>
  <si>
    <t>EECC Refurbishment Cost Reimbursement</t>
  </si>
  <si>
    <t>Pre- NTP engineering Support</t>
  </si>
  <si>
    <t xml:space="preserve">Doyle Construction Fixed Overhead Dec </t>
  </si>
  <si>
    <t xml:space="preserve">Doyle Refurbishment fixed Overhead DEC </t>
  </si>
  <si>
    <t>Doyle Construction Fixed Overhead Jan</t>
  </si>
  <si>
    <t>Doyle Refurbishment fixed Overhead Jan</t>
  </si>
  <si>
    <t xml:space="preserve">Doyle Refurbish Oversight </t>
  </si>
  <si>
    <t>Engineering Support - Substation Cost- Jan</t>
  </si>
  <si>
    <t>Engineering Support - Substation Cost-Dec</t>
  </si>
  <si>
    <t>Doyle 230kV Breakers</t>
  </si>
  <si>
    <t>ABB Rewind Transport from Pensacola to St. Louis</t>
  </si>
  <si>
    <t>230KV transformer</t>
  </si>
  <si>
    <t>O&amp;M Mobilization expense by OEC</t>
  </si>
  <si>
    <t>Power System Mfg, LLC</t>
  </si>
  <si>
    <t>Doyle Refurbish : PSSPC  scheduel Bonus</t>
  </si>
  <si>
    <t>Doyle Refurbish : PSSPC Work</t>
  </si>
  <si>
    <t>H&amp;M Enclosure Work</t>
  </si>
  <si>
    <t>Doyle Refurbish: Freight Expense</t>
  </si>
  <si>
    <t>Doyle Refurbish: H&amp;M Turbine Refurb</t>
  </si>
  <si>
    <t>Power System Mfg</t>
  </si>
  <si>
    <t>H&amp;M Industrial Services. INC</t>
  </si>
  <si>
    <t>Doyle PSSPC Refurb Work</t>
  </si>
  <si>
    <t>EECC Fixed Overhead</t>
  </si>
  <si>
    <t>EECC Refurbishment Project Management</t>
  </si>
  <si>
    <t>EECC Switchyard / Transformer work</t>
  </si>
  <si>
    <t>Nepco Reimbursable expense</t>
  </si>
  <si>
    <t>Nepco Fixed Overhead Expense</t>
  </si>
  <si>
    <t>PSSPC TD of I for Refurb work</t>
  </si>
  <si>
    <t>PSSPC on Site additional Work</t>
  </si>
  <si>
    <t>H&amp;M Exhaust System Transportation</t>
  </si>
  <si>
    <t>FERC Application / Approval Expense</t>
  </si>
  <si>
    <t>Reclass IUKA warehouse cost to Inventory</t>
  </si>
  <si>
    <t xml:space="preserve">     R00002802-5</t>
  </si>
  <si>
    <t>August, 2000</t>
  </si>
  <si>
    <t xml:space="preserve">          99006R</t>
  </si>
  <si>
    <t xml:space="preserve">     R00002801-6</t>
  </si>
  <si>
    <t xml:space="preserve">        N01G5727</t>
  </si>
  <si>
    <t xml:space="preserve">      0002-05494</t>
  </si>
  <si>
    <t xml:space="preserve">           AD660</t>
  </si>
  <si>
    <t xml:space="preserve">           AD664</t>
  </si>
  <si>
    <t xml:space="preserve">           AD662</t>
  </si>
  <si>
    <t xml:space="preserve">           AD663</t>
  </si>
  <si>
    <t xml:space="preserve">           AD661</t>
  </si>
  <si>
    <t xml:space="preserve">      0003-05671</t>
  </si>
  <si>
    <t xml:space="preserve">      0001-04897</t>
  </si>
  <si>
    <t xml:space="preserve">      0001-04896</t>
  </si>
  <si>
    <t xml:space="preserve">        N01G5669</t>
  </si>
  <si>
    <t xml:space="preserve">         TS00019</t>
  </si>
  <si>
    <t xml:space="preserve">           AD742</t>
  </si>
  <si>
    <t xml:space="preserve">           AD717</t>
  </si>
  <si>
    <t xml:space="preserve">           AD716</t>
  </si>
  <si>
    <t xml:space="preserve">           AD715</t>
  </si>
  <si>
    <t xml:space="preserve">        WT041000</t>
  </si>
  <si>
    <t xml:space="preserve">      TAB180012F</t>
  </si>
  <si>
    <t xml:space="preserve">       EXP042500</t>
  </si>
  <si>
    <t xml:space="preserve">        WT042500</t>
  </si>
  <si>
    <t xml:space="preserve">       AWU10012A</t>
  </si>
  <si>
    <t xml:space="preserve">     JR 2100012E</t>
  </si>
  <si>
    <t xml:space="preserve">      TAB050012C</t>
  </si>
  <si>
    <t xml:space="preserve">      R0002801-7</t>
  </si>
  <si>
    <t>R00002803-7</t>
  </si>
  <si>
    <t xml:space="preserve">   99008R,99008L</t>
  </si>
  <si>
    <t>99008L</t>
  </si>
  <si>
    <t>99008R</t>
  </si>
  <si>
    <t xml:space="preserve">       I-1045-00</t>
  </si>
  <si>
    <t>R0002802-7</t>
  </si>
  <si>
    <t xml:space="preserve">       I-1074-00</t>
  </si>
  <si>
    <t xml:space="preserve">       I-1075-00</t>
  </si>
  <si>
    <t xml:space="preserve">       I-1076-00</t>
  </si>
  <si>
    <t>R0002801-7</t>
  </si>
  <si>
    <t xml:space="preserve">        WT051900</t>
  </si>
  <si>
    <t>FERC APPLICATION</t>
  </si>
  <si>
    <t>LEGE</t>
  </si>
  <si>
    <t xml:space="preserve">       AW010014F</t>
  </si>
  <si>
    <t>MATL</t>
  </si>
  <si>
    <t xml:space="preserve">         TS00022</t>
  </si>
  <si>
    <t xml:space="preserve">       EXP050400</t>
  </si>
  <si>
    <t>Doyle Refurbish: PSSPC Parts</t>
  </si>
  <si>
    <t>Doyle Refurbish: IUKA Facility Expenses</t>
  </si>
  <si>
    <t>Doyle Refurbish: PSSPC Contract</t>
  </si>
  <si>
    <t>Power System Spc</t>
  </si>
  <si>
    <t>Doyle Refurbish: Parts</t>
  </si>
  <si>
    <t>Mike Nelson</t>
  </si>
  <si>
    <t>IUKA facility Preparation</t>
  </si>
  <si>
    <t>Jacoby, Ben F</t>
  </si>
  <si>
    <t>Labor for installment</t>
  </si>
  <si>
    <t>Feburary, 2000</t>
  </si>
  <si>
    <t>April, 1999</t>
  </si>
  <si>
    <t>March, 1999</t>
  </si>
  <si>
    <t>Feburary, 1999</t>
  </si>
  <si>
    <t>January, 1999</t>
  </si>
  <si>
    <t>Year to Date</t>
  </si>
  <si>
    <t>IDC</t>
  </si>
  <si>
    <t>OPC Deposit on Power Purchase Agreement</t>
  </si>
  <si>
    <t xml:space="preserve">John L. Wortham </t>
  </si>
  <si>
    <t>H &amp; M Industrial Service</t>
  </si>
  <si>
    <t>Environmental Consulting Technology</t>
  </si>
  <si>
    <t>Jacoby, Ben</t>
  </si>
  <si>
    <t>Tishomingo Railroad</t>
  </si>
  <si>
    <t>Spears, Clay</t>
  </si>
  <si>
    <t>Doyle Construction Invoices</t>
  </si>
  <si>
    <t>IUKA Facility-Spare Parts Inventory</t>
  </si>
  <si>
    <t>Doyle exhaust stacks</t>
  </si>
  <si>
    <t>Doyle : Dow Inlet Duct</t>
  </si>
  <si>
    <t>Doyle Inlet Duct</t>
  </si>
  <si>
    <t>Doyle - Refurb Inlets</t>
  </si>
  <si>
    <t>Doyle Refurb - Transportation</t>
  </si>
  <si>
    <t>Doyle: Refurbish - Inlet</t>
  </si>
  <si>
    <t>Turbine Payment</t>
  </si>
  <si>
    <t>Doyle Permitting</t>
  </si>
  <si>
    <t>transportation</t>
  </si>
  <si>
    <t xml:space="preserve">       AWU10003H</t>
  </si>
  <si>
    <t>DOYLE LEGAL EXPENSE</t>
  </si>
  <si>
    <t xml:space="preserve">     JAR 030003B</t>
  </si>
  <si>
    <t>WALTON EMC MONORE</t>
  </si>
  <si>
    <t>WALTON EMC MONROE</t>
  </si>
  <si>
    <t>MONROE WATER,LIGHT,&amp; GAS COMM.</t>
  </si>
  <si>
    <t xml:space="preserve">       EXP012700</t>
  </si>
  <si>
    <t>TRLV/ATL-DOYLEPORJE</t>
  </si>
  <si>
    <t>REF CONTRACT MGMT</t>
  </si>
  <si>
    <t>2/1/2000</t>
  </si>
  <si>
    <t>JOHN L. WORTHAM &amp; SON, LLP</t>
  </si>
  <si>
    <t>DOYLE CONST</t>
  </si>
  <si>
    <t>CRED</t>
  </si>
  <si>
    <t xml:space="preserve">        WT020400</t>
  </si>
  <si>
    <t>I-1049-00</t>
  </si>
  <si>
    <t>I-1037-99</t>
  </si>
  <si>
    <t>INV I-1036-99</t>
  </si>
  <si>
    <t xml:space="preserve">        WT021700</t>
  </si>
  <si>
    <t>I-1043-00</t>
  </si>
  <si>
    <t>I-1055-00</t>
  </si>
  <si>
    <t xml:space="preserve">        S9P732-2</t>
  </si>
  <si>
    <t>R00002803-3</t>
  </si>
  <si>
    <t>I-1047-00</t>
  </si>
  <si>
    <t xml:space="preserve">  PRJ-00-0063-MS</t>
  </si>
  <si>
    <t>PRJ-00-0063-MS</t>
  </si>
  <si>
    <t>S9P732-2</t>
  </si>
  <si>
    <t>ABB POWER T &amp; D COMPANY</t>
  </si>
  <si>
    <t xml:space="preserve">         TS99232</t>
  </si>
  <si>
    <t>TS99209</t>
  </si>
  <si>
    <t>PRJ-00-0058-MS</t>
  </si>
  <si>
    <t>S9P34-2</t>
  </si>
  <si>
    <t>P9P553-0699</t>
  </si>
  <si>
    <t>R0000002801-3</t>
  </si>
  <si>
    <t>R00002802-3</t>
  </si>
  <si>
    <t>PRJ-00-0056-MS</t>
  </si>
  <si>
    <t>S9P33-02</t>
  </si>
  <si>
    <t>PRJ-00-0057-MS</t>
  </si>
  <si>
    <t>O&amp;M MOBILIZATION</t>
  </si>
  <si>
    <t xml:space="preserve">         TS99298</t>
  </si>
  <si>
    <t>LABOR TO INSTALL</t>
  </si>
  <si>
    <t>Enron Capital &amp; Trade Services</t>
  </si>
  <si>
    <t>Business Analysis &amp; Reporting</t>
  </si>
  <si>
    <t>Power Plants - Doyle</t>
  </si>
  <si>
    <t>NEPCO</t>
  </si>
  <si>
    <t>EECC &amp; NEPCO SCOPE</t>
  </si>
  <si>
    <t>DEVELOPMENT EXPENSE</t>
  </si>
  <si>
    <t xml:space="preserve"> LEGAL EXPENSE</t>
  </si>
  <si>
    <t xml:space="preserve">        N01G5474</t>
  </si>
  <si>
    <t>GE TURBINES</t>
  </si>
  <si>
    <t>AD566</t>
  </si>
  <si>
    <t>AD568</t>
  </si>
  <si>
    <t>AD569</t>
  </si>
  <si>
    <t>AD567</t>
  </si>
  <si>
    <t>AD626</t>
  </si>
  <si>
    <t>a) Additional Power Support Invoices and OEC invoice for Jaw Clutch and Converter</t>
  </si>
  <si>
    <t>b) Land options reclassed to Athens - 01 Site</t>
  </si>
  <si>
    <t>230KV BREAKERS</t>
  </si>
  <si>
    <t>TS99232</t>
  </si>
  <si>
    <t>I-1051-00</t>
  </si>
  <si>
    <t xml:space="preserve">       I-1052-00</t>
  </si>
  <si>
    <t>DOYLE REFURB PARTS</t>
  </si>
  <si>
    <t>JACOBY,BEN F.</t>
  </si>
  <si>
    <t xml:space="preserve">       EXP021100</t>
  </si>
  <si>
    <t>TRVL-CA-HOU-TN</t>
  </si>
  <si>
    <t>2/28/2000</t>
  </si>
  <si>
    <t>DOYLE PERMITTING</t>
  </si>
  <si>
    <t xml:space="preserve">   SPEARS NELSON</t>
  </si>
  <si>
    <t>TISHOMINGO RAILROAD CO., INC.</t>
  </si>
  <si>
    <t xml:space="preserve">          99-349</t>
  </si>
  <si>
    <t>DOYLE REFURB-TURBINE</t>
  </si>
  <si>
    <t xml:space="preserve">       EXP020300</t>
  </si>
  <si>
    <t>TRVL/TRVL/GA-DOYLEPR</t>
  </si>
  <si>
    <t xml:space="preserve">       EXP012800</t>
  </si>
  <si>
    <t>TRVL-CA-HOU-MA</t>
  </si>
  <si>
    <t>Neel-Schaffer INC</t>
  </si>
  <si>
    <t>Walton EMC</t>
  </si>
  <si>
    <t>Replacement of the battery compartment to the Dow Sarnia Control Cabinet</t>
  </si>
  <si>
    <t>Doyle Development Cost-- Walton County Power Plant Permitting and Survey</t>
  </si>
  <si>
    <t>Reimbursement from Walton</t>
  </si>
  <si>
    <t>Comments</t>
  </si>
  <si>
    <t>MAJOR EQUIPMENT</t>
  </si>
  <si>
    <t>TURBINE REFURBISHMENT</t>
  </si>
  <si>
    <t>AUX TRANSFORMERS</t>
  </si>
  <si>
    <t>LOAD CENTER TRANSFORMERS</t>
  </si>
  <si>
    <t>CIRCUIT BREAKERS</t>
  </si>
  <si>
    <t>TD OF I-ABB</t>
  </si>
  <si>
    <t>FREIGHT - TRANSFORMERS</t>
  </si>
  <si>
    <t>TRANSFORMER INSTALLATION</t>
  </si>
  <si>
    <t>OFF LOAD CIRCUIT BREAKERS</t>
  </si>
  <si>
    <t xml:space="preserve">UNIT 1 REPAIR </t>
  </si>
  <si>
    <t xml:space="preserve">INSURANCE </t>
  </si>
  <si>
    <t>INSURANCE COVERAGE FOR REPAIR</t>
  </si>
  <si>
    <t>MISC TVA REQUIREMENTS</t>
  </si>
  <si>
    <t>TOTAL MAJOR EQUIPMENT</t>
  </si>
  <si>
    <t>EECC PROGRAM MGT</t>
  </si>
  <si>
    <t>TOTAL EECC PROGRAM MGT</t>
  </si>
  <si>
    <t>TOTAL EECC &amp; NEPCO SCOPE</t>
  </si>
  <si>
    <t>MOBILIZATION OF O&amp;M</t>
  </si>
  <si>
    <t>SPARE PARTS</t>
  </si>
  <si>
    <t>LAND ACQUISITION</t>
  </si>
  <si>
    <t>ENVIRONMENTAL PERMITTING</t>
  </si>
  <si>
    <t>GAS INTERCONNECTION</t>
  </si>
  <si>
    <t>ELECTRICAL INTERCONNECTION</t>
  </si>
  <si>
    <t>W.O. Cost</t>
  </si>
  <si>
    <t>O.H Cost (21.6%)</t>
  </si>
  <si>
    <t>SALES TAX ON EQUIPMENT</t>
  </si>
  <si>
    <t>INSURANCE DURING CONSTR</t>
  </si>
  <si>
    <t>CAPITALIZED SALARIES</t>
  </si>
  <si>
    <t>INTEREST DURING CONSTRUCTION</t>
  </si>
  <si>
    <t>Subtotal - CapX</t>
  </si>
  <si>
    <t>FINANCING FEE</t>
  </si>
  <si>
    <t>DEVELOPMENT EXPENSES</t>
  </si>
  <si>
    <t>Travel Expenses</t>
  </si>
  <si>
    <t>Deloitte &amp; Touche</t>
  </si>
  <si>
    <t>HARC Development Service- Tom Young</t>
  </si>
  <si>
    <t>Maps</t>
  </si>
  <si>
    <t>Engineering Assessment</t>
  </si>
  <si>
    <t>ICF - Studies</t>
  </si>
  <si>
    <t>Sale Tax on Equipment</t>
  </si>
  <si>
    <t>Variance in Last Report</t>
  </si>
  <si>
    <t>Variance Change</t>
  </si>
  <si>
    <t>LEGAL EXPENSES</t>
  </si>
  <si>
    <t>Subtotal - Expense</t>
  </si>
  <si>
    <t>EI Hourly billing</t>
  </si>
  <si>
    <t>TOTAL DEVELOPMENT EXPENSE</t>
  </si>
  <si>
    <t>TOTAL LEGAL EXPENSE</t>
  </si>
  <si>
    <t>Control Budet</t>
  </si>
  <si>
    <t>Current Estimate</t>
  </si>
  <si>
    <t>Actuals to Date</t>
  </si>
  <si>
    <t>%</t>
  </si>
  <si>
    <t>Complete</t>
  </si>
  <si>
    <t>MW</t>
  </si>
  <si>
    <t>TARGET $$/MW</t>
  </si>
  <si>
    <t>Project</t>
  </si>
  <si>
    <t>TOTAL PROGRAM</t>
  </si>
  <si>
    <t xml:space="preserve">  Target $$/MW</t>
  </si>
  <si>
    <t>Estimate to Complete</t>
  </si>
  <si>
    <t>DCS</t>
  </si>
  <si>
    <t>TOTAL NEPCO</t>
  </si>
  <si>
    <t>EECC RECONCILIATION</t>
  </si>
  <si>
    <t>Fulton</t>
  </si>
  <si>
    <t>Brownsville</t>
  </si>
  <si>
    <t>New Albany</t>
  </si>
  <si>
    <t>Caledonia</t>
  </si>
  <si>
    <t>Total</t>
  </si>
  <si>
    <t>Current</t>
  </si>
  <si>
    <t>Facilities Study</t>
  </si>
  <si>
    <t xml:space="preserve">Control </t>
  </si>
  <si>
    <t>Budget</t>
  </si>
  <si>
    <t>Estimate</t>
  </si>
  <si>
    <t>a</t>
  </si>
  <si>
    <t>Major Equipment Detail</t>
  </si>
  <si>
    <t>Refurbishment with DLN Units 1-6</t>
  </si>
  <si>
    <t>Spare Parts</t>
  </si>
  <si>
    <t>(includes commission)</t>
  </si>
  <si>
    <t>Dow Unit</t>
  </si>
  <si>
    <t>ENA Output Bonus</t>
  </si>
  <si>
    <t>TOTAL DOYLE EXPENSE --- ENA</t>
  </si>
  <si>
    <t>ENA Production Bonus</t>
  </si>
  <si>
    <t>Commission</t>
  </si>
  <si>
    <t>Dissassembly</t>
  </si>
  <si>
    <t>4 Kepco Units (original)</t>
  </si>
  <si>
    <t>Purchase</t>
  </si>
  <si>
    <t>Less Steam Turbine</t>
  </si>
  <si>
    <t>1 Kepco Unit (new set)</t>
  </si>
  <si>
    <t>1 of 4 Purchase price</t>
  </si>
  <si>
    <t>Disassembly &amp; shipping</t>
  </si>
  <si>
    <t>Commission 10%</t>
  </si>
  <si>
    <t>Disassemble &amp; move to Kunsan Port</t>
  </si>
  <si>
    <t>Unidentified</t>
  </si>
  <si>
    <t>Purchase &amp; spares</t>
  </si>
  <si>
    <t>Commission (7%)</t>
  </si>
  <si>
    <t>Freight Reimbursement to IBC</t>
  </si>
  <si>
    <t>Allocate to 2000</t>
  </si>
  <si>
    <t>Transformers etc</t>
  </si>
  <si>
    <t>Total IBC items</t>
  </si>
  <si>
    <t>Grand Total Major Equipment</t>
  </si>
  <si>
    <t>a)  Sunk Cost</t>
  </si>
  <si>
    <t>Commission IBC(10%)</t>
  </si>
  <si>
    <t>Commission Natole</t>
  </si>
  <si>
    <t>Spare parts to be reconciled per Miller</t>
  </si>
  <si>
    <t>EECC increased current estimate</t>
  </si>
  <si>
    <t>Decrease Environmental permitting</t>
  </si>
  <si>
    <t xml:space="preserve">Decrease Legal expense </t>
  </si>
  <si>
    <t>Issue</t>
  </si>
  <si>
    <t>Total Savings</t>
  </si>
  <si>
    <t>Tax Handling Fee to LLC for arms length transaction .25% not included in plan</t>
  </si>
  <si>
    <t>Fuel cost during start up not included</t>
  </si>
  <si>
    <t>Decrease Development</t>
  </si>
  <si>
    <t>Issues/Savings</t>
  </si>
  <si>
    <t xml:space="preserve">TVA Peaking Plant </t>
  </si>
  <si>
    <t>Net Increase</t>
  </si>
  <si>
    <t>Savings Recognized</t>
  </si>
  <si>
    <t>RESALE HANDLING FEES (.25%)</t>
  </si>
  <si>
    <t>Escrow</t>
  </si>
  <si>
    <t>Legal Fees</t>
  </si>
  <si>
    <t>Insurance</t>
  </si>
  <si>
    <t>Other</t>
  </si>
  <si>
    <t>Actuals</t>
  </si>
  <si>
    <t>(Mo-to-date)</t>
  </si>
  <si>
    <t>Report Date:</t>
  </si>
  <si>
    <t>Expenditures to date:</t>
  </si>
  <si>
    <t>Total Project</t>
  </si>
  <si>
    <t>ENRON CAPITAL &amp; TRADE RESOURCES</t>
  </si>
  <si>
    <t>Total to Complete</t>
  </si>
  <si>
    <t>Anticipated</t>
  </si>
  <si>
    <t>Increase /</t>
  </si>
  <si>
    <t>(Savings)</t>
  </si>
  <si>
    <t>To Update:</t>
  </si>
  <si>
    <t>Go to Summary tab</t>
  </si>
  <si>
    <t>Go to LLC tab</t>
  </si>
  <si>
    <t>unhide all columns</t>
  </si>
  <si>
    <t>update actuals for applicable month</t>
  </si>
  <si>
    <t>check totals</t>
  </si>
  <si>
    <t>make sure that sum of Actuals to Date Total Project + Estimate to Complete + variance = Current Estimate amount</t>
  </si>
  <si>
    <t>Doyle Legal Expenses</t>
  </si>
  <si>
    <t>Power System MFG, LLC</t>
  </si>
  <si>
    <t>Doyle Refurbishment - LEC Installation</t>
  </si>
  <si>
    <t>John L. Wortham &amp; Son LLP</t>
  </si>
  <si>
    <t>Insurance for Doyle Refurbishment - Turbine</t>
  </si>
  <si>
    <t>Power System SPC, INC</t>
  </si>
  <si>
    <t>Doyle Refurbishment - PSSPC Parts</t>
  </si>
  <si>
    <t>Doyle Refurbishment - H&amp;M Technical Direction</t>
  </si>
  <si>
    <t>Doyle Refurbishment - PSSPC Rotors</t>
  </si>
  <si>
    <t>Doyle Refurbishment - HGP Parts</t>
  </si>
  <si>
    <t>Doyle Refurbishment - H&amp;M Exhaust / Inlet</t>
  </si>
  <si>
    <t>Joacoby Ben F</t>
  </si>
  <si>
    <t>Land Option Extention Expense</t>
  </si>
  <si>
    <t>Oglethorpe Corp</t>
  </si>
  <si>
    <t>Walton</t>
  </si>
  <si>
    <t>Reimbursement for the Transformer  and Substation</t>
  </si>
  <si>
    <t>Reimbursement for the project</t>
  </si>
  <si>
    <t>Reimbursement for the mobilization of O&amp;M Expense for March and April</t>
  </si>
  <si>
    <t>Reimbursement for Sewerline Construction Cost</t>
  </si>
  <si>
    <t>Ben Jacoby</t>
  </si>
  <si>
    <t xml:space="preserve">reclass wrong coding </t>
  </si>
  <si>
    <t>Explanation of Variance Change Relative to Last Report</t>
  </si>
  <si>
    <t>#6 Payment for TTS Refurbishment Contract</t>
  </si>
  <si>
    <t>Travle</t>
  </si>
  <si>
    <t>Sewer Line</t>
  </si>
  <si>
    <t>update variance explanations to current estimate</t>
  </si>
  <si>
    <t>Save file as new name</t>
  </si>
  <si>
    <t>Variance</t>
  </si>
  <si>
    <t>TOTAL</t>
  </si>
  <si>
    <t>Energy Services</t>
  </si>
  <si>
    <t>TURBINE UNITS, Disassemble</t>
  </si>
  <si>
    <t>TURBINE UNITS, Freight</t>
  </si>
  <si>
    <t>LABOR</t>
  </si>
  <si>
    <t>Mobilization Fee</t>
  </si>
  <si>
    <t>Subtotal Mobilization of O&amp;M</t>
  </si>
  <si>
    <t>Subtotal Land Acquisition</t>
  </si>
  <si>
    <t>Permitting</t>
  </si>
  <si>
    <t>Subtotal Environmental Permitting</t>
  </si>
  <si>
    <t>Subtotal Electrical Interconnection</t>
  </si>
  <si>
    <t>Bank fees</t>
  </si>
  <si>
    <t>Subtotal Financing Fee</t>
  </si>
  <si>
    <t>Salaries</t>
  </si>
  <si>
    <t>Utility Consulting Services</t>
  </si>
  <si>
    <t>COST SUMMARY ($ thousands)</t>
  </si>
  <si>
    <t>Control Budget</t>
  </si>
  <si>
    <t>in cell "Q4" drop in date of Project Tracking report used as backup</t>
  </si>
  <si>
    <t>tie budget and current estimate to report from week before; explain any changes on summary tab</t>
  </si>
  <si>
    <t>DEBT RESERVE</t>
  </si>
  <si>
    <t>CONTINGENCY</t>
  </si>
  <si>
    <t>TURBINE UNITS, Purchase - GE 7B's (3)</t>
  </si>
  <si>
    <t>TURBINE UNITS, Purchase - GE 7EA's (2)</t>
  </si>
  <si>
    <t>TURBINE UNITS, Scope Change - Evap Cooling</t>
  </si>
  <si>
    <t>TURBINE UNITS, Scope Change - Exhause Stack</t>
  </si>
  <si>
    <t>Kepco</t>
  </si>
  <si>
    <t>IBC</t>
  </si>
  <si>
    <t>GE</t>
  </si>
  <si>
    <t>Subtotal Major Equip</t>
  </si>
  <si>
    <t>Land acquisition/option</t>
  </si>
  <si>
    <t>WORKING CAPITAL</t>
  </si>
  <si>
    <t>REIMBURSEMENT to OPC for Substation</t>
  </si>
  <si>
    <t xml:space="preserve">Subtotal </t>
  </si>
  <si>
    <t>Doyle I, LLC</t>
  </si>
  <si>
    <t>TOTAL DOYLE</t>
  </si>
  <si>
    <t>DOYLE I, LLC</t>
  </si>
  <si>
    <t>as of 04/23/99</t>
  </si>
  <si>
    <t>Other - LEC Burners</t>
  </si>
  <si>
    <t>Work Order #</t>
  </si>
  <si>
    <t>E1231F</t>
  </si>
  <si>
    <t>Project to Date</t>
  </si>
  <si>
    <t>S70015</t>
  </si>
  <si>
    <t>S80015</t>
  </si>
  <si>
    <t>Work Order Reconciliation to Cost Summary</t>
  </si>
  <si>
    <t>Total  Work Order</t>
  </si>
  <si>
    <t>Total per Cost Summary</t>
  </si>
  <si>
    <t>Difference</t>
  </si>
  <si>
    <t>Month to Date</t>
  </si>
  <si>
    <t>Items on Cost Summary not on</t>
  </si>
  <si>
    <t xml:space="preserve">   Work Order</t>
  </si>
  <si>
    <t>Kilpatrick, Stockton</t>
  </si>
  <si>
    <t xml:space="preserve">   Other</t>
  </si>
  <si>
    <t>King, Spalding</t>
  </si>
  <si>
    <t>March IDC</t>
  </si>
  <si>
    <t>Cash Received from Walton</t>
  </si>
  <si>
    <t>Cash Received from parts sold back to ABB</t>
  </si>
  <si>
    <t>Reclass parts from power spares to 34k inventory</t>
  </si>
  <si>
    <t>April, 2000</t>
  </si>
  <si>
    <t>Doyle I Project</t>
  </si>
  <si>
    <t>Legal fees charged to Work Order # E07A59</t>
  </si>
  <si>
    <t>1998 and 1999</t>
  </si>
  <si>
    <t xml:space="preserve">King &amp; Spalding </t>
  </si>
  <si>
    <t>Date</t>
  </si>
  <si>
    <t>Invoice</t>
  </si>
  <si>
    <t>#</t>
  </si>
  <si>
    <t>Amount</t>
  </si>
  <si>
    <t>Kilpatrick &amp; Stockton</t>
  </si>
  <si>
    <t>Total 1998 Legal fees</t>
  </si>
  <si>
    <t>Total Legal fees not included in WO# S80015</t>
  </si>
  <si>
    <t>Total 1999 Legal fees</t>
  </si>
  <si>
    <t>Legal fees expensed on E07A59</t>
  </si>
  <si>
    <t>Included fees expensed on WO# E07A59</t>
  </si>
  <si>
    <t>May, 1999</t>
  </si>
  <si>
    <t>June, 1999</t>
  </si>
  <si>
    <t>Doyle Plant</t>
  </si>
  <si>
    <t>July, 1999</t>
  </si>
  <si>
    <t>Oglethorpe Payment</t>
  </si>
  <si>
    <t>Enron Capital &amp; Trade Resources</t>
  </si>
  <si>
    <t>to date</t>
  </si>
  <si>
    <t>KEPCO through IBC for units fromYoungwol</t>
  </si>
  <si>
    <t>IBC - Removal of 1 KEPCO Youngwol turbine</t>
  </si>
  <si>
    <t>IBC - Removal of 2 KEPCO Youngwol turbine</t>
  </si>
  <si>
    <t>IBC - Freight for 2 KEPCO Youngwol turbine</t>
  </si>
  <si>
    <t>IBC - Freight for 1 KEPCO Youngwol turbine</t>
  </si>
  <si>
    <t>IBC - Freight for Dow parts</t>
  </si>
  <si>
    <t>AJ Mechanical - Refurb work</t>
  </si>
  <si>
    <t>IBC - DOW Refurb work per NA refurb contract</t>
  </si>
  <si>
    <t>IBC - Warehouse lease</t>
  </si>
  <si>
    <t>IBC - WH Security</t>
  </si>
  <si>
    <t>IBC - WH Security - 7% fee</t>
  </si>
  <si>
    <t>IBC - Compressor stack/unstack; blade 1 manuf - 7% fee</t>
  </si>
  <si>
    <t>Air Liquide mo payment</t>
  </si>
  <si>
    <t>EPS Consultants - Option refund</t>
  </si>
  <si>
    <t>M&amp;M leasing - Option refund</t>
  </si>
  <si>
    <t>GE payment</t>
  </si>
  <si>
    <t>Total Turbines</t>
  </si>
  <si>
    <t>Contract</t>
  </si>
  <si>
    <t>Price</t>
  </si>
  <si>
    <t>as of 12/28/00</t>
  </si>
  <si>
    <t>4 sets LEC  @ $1,280,000 ea = $5,120,000</t>
  </si>
  <si>
    <t>hardware @ $73,333 ea = $293,333</t>
  </si>
  <si>
    <t>2 GE 7EA TURBINE UNITS - Exhaust stack - $500,000 ea</t>
  </si>
  <si>
    <t>2 GE 7EA TURBINE UNITS - Evaporative cooling - $408,000 ea</t>
  </si>
  <si>
    <t>(3) GE 7B Turbine Units from Youngwol</t>
  </si>
  <si>
    <t>(2) GE 7EA Turbine Units</t>
  </si>
  <si>
    <t xml:space="preserve">   Total LEC Burners</t>
  </si>
  <si>
    <t>Per Unit</t>
  </si>
  <si>
    <t>LEC Burners</t>
  </si>
  <si>
    <t>6 sets IGV's @$116,160 ea = $696,960</t>
  </si>
  <si>
    <t>3 units</t>
  </si>
  <si>
    <t>Remaining</t>
  </si>
  <si>
    <t>Allocation</t>
  </si>
  <si>
    <t>Total Contract Price</t>
  </si>
  <si>
    <t>(Doyle)</t>
  </si>
  <si>
    <t>(???)</t>
  </si>
  <si>
    <t>Detail of Major Equipment</t>
  </si>
  <si>
    <t>LEC Burner Contract Allocation</t>
  </si>
  <si>
    <t>N/A</t>
  </si>
  <si>
    <t>IBC - Compressor stack/unstack; blade 1 manuf (Rotor)</t>
  </si>
  <si>
    <t xml:space="preserve">3 sets LEC  @ $1,280,000 ea </t>
  </si>
  <si>
    <t xml:space="preserve">3 sets IGV's @$116,160 ea </t>
  </si>
  <si>
    <t xml:space="preserve">      3 sets Fuel Manifolds/Combustion Cases w/</t>
  </si>
  <si>
    <t xml:space="preserve">hardware @ $73,333 ea </t>
  </si>
  <si>
    <t xml:space="preserve">      Refurbishment Costs</t>
  </si>
  <si>
    <t>Total GE 7B - 3 from Youngwol</t>
  </si>
  <si>
    <t xml:space="preserve">          Total Cost 3 GE 7B Turbines before Refurbishment</t>
  </si>
  <si>
    <t xml:space="preserve">          Total Turbine Refurbishment 3 GE 7B</t>
  </si>
  <si>
    <t xml:space="preserve">          Total LEC Burners</t>
  </si>
  <si>
    <t xml:space="preserve">          Total Cost 2 GE 7EA Turbines</t>
  </si>
  <si>
    <t>Total GE 7EA - 2</t>
  </si>
  <si>
    <t xml:space="preserve">       4 sets Fuel Manifolds/Combustion Cases w/</t>
  </si>
  <si>
    <t>as of 07/12/99</t>
  </si>
  <si>
    <t>Refurb &amp; 7EA Contract Management</t>
  </si>
  <si>
    <t>START UP FUEL</t>
  </si>
  <si>
    <t>Paid 90%</t>
  </si>
  <si>
    <t>Unpaid 10%</t>
  </si>
  <si>
    <t>IBC - for Inlet (Air Intake per NA refurb contract)</t>
  </si>
  <si>
    <t>Evap Cooling Sys - 3 Refurb 7EAs @$366,667 ea (Power Systems)</t>
  </si>
  <si>
    <t>August, 1999</t>
  </si>
  <si>
    <t xml:space="preserve">Other </t>
  </si>
  <si>
    <t>Power Systems - Reburbishment Management</t>
  </si>
  <si>
    <t>Doyle, LLC</t>
  </si>
  <si>
    <t>Invoice Detail</t>
  </si>
  <si>
    <t>08/31/99</t>
  </si>
  <si>
    <t>Description</t>
  </si>
  <si>
    <t>Payroll</t>
  </si>
  <si>
    <t>Power Systems</t>
  </si>
  <si>
    <t>Milestone payment - Wood Group</t>
  </si>
  <si>
    <t>August project management fee</t>
  </si>
  <si>
    <t>Defer 1/2 Bush land payment until 2000</t>
  </si>
  <si>
    <t>Power Spares, Inc.</t>
  </si>
  <si>
    <t>LEC transition piece</t>
  </si>
  <si>
    <t>General Electric</t>
  </si>
  <si>
    <t>Gas turbine payment for August</t>
  </si>
  <si>
    <t>Environmental Consultants</t>
  </si>
  <si>
    <t>May permitting costs</t>
  </si>
  <si>
    <t>Neel-Schaffer, Inc.</t>
  </si>
  <si>
    <t>Permitting survey</t>
  </si>
  <si>
    <t>Air Liquide</t>
  </si>
  <si>
    <t>Steam turbine payment for August</t>
  </si>
  <si>
    <t>Bryan Garrett</t>
  </si>
  <si>
    <t>Travel</t>
  </si>
  <si>
    <t>Monthly consignment fee</t>
  </si>
  <si>
    <t>May reimbursement - warehouse costs</t>
  </si>
  <si>
    <t>June reimbursement - warehouse costs</t>
  </si>
  <si>
    <t>Benchmark Transportation - move turbines</t>
  </si>
  <si>
    <t>Milestone payment  2</t>
  </si>
  <si>
    <t>Benchmark Transportation</t>
  </si>
  <si>
    <t>move turbines to Mississippi</t>
  </si>
  <si>
    <t>IBC Turbo, Inc.</t>
  </si>
  <si>
    <t>Pensacola lease</t>
  </si>
  <si>
    <t>May/June invoice</t>
  </si>
  <si>
    <t>September, 1999</t>
  </si>
  <si>
    <t>09/30/99</t>
  </si>
  <si>
    <t>June - sales tax</t>
  </si>
  <si>
    <t>King &amp; Spalding</t>
  </si>
  <si>
    <t>June - loan agreement</t>
  </si>
  <si>
    <t>May - site issues</t>
  </si>
  <si>
    <t>September turbine payment</t>
  </si>
  <si>
    <t>September payment</t>
  </si>
  <si>
    <t>Environmental Consulting</t>
  </si>
  <si>
    <t>July invoice</t>
  </si>
  <si>
    <t>H &amp; M Industrial Services</t>
  </si>
  <si>
    <t>transport turbine</t>
  </si>
  <si>
    <t>COMPANY 34K</t>
  </si>
  <si>
    <t>S80015 - WALTON (PROJECT DOYLE ) - GA</t>
  </si>
  <si>
    <t>Work</t>
  </si>
  <si>
    <t>Property</t>
  </si>
  <si>
    <t>Cost</t>
  </si>
  <si>
    <t>GL Effective</t>
  </si>
  <si>
    <t>Text90</t>
  </si>
  <si>
    <t>Text91</t>
  </si>
  <si>
    <t>txtShade</t>
  </si>
  <si>
    <t>txtAuthAmt</t>
  </si>
  <si>
    <t>Order</t>
  </si>
  <si>
    <t>Name</t>
  </si>
  <si>
    <t>VendorName</t>
  </si>
  <si>
    <t>Number</t>
  </si>
  <si>
    <t>Unit</t>
  </si>
  <si>
    <t>Category</t>
  </si>
  <si>
    <t>Invoice Amount</t>
  </si>
  <si>
    <t>WALTON (PROJECT DOYLE ) - GA</t>
  </si>
  <si>
    <t>W R BUSH, EVELYN L BUSH,</t>
  </si>
  <si>
    <t xml:space="preserve">       BLANKFORD</t>
  </si>
  <si>
    <t>PROJECT DOYLE</t>
  </si>
  <si>
    <t>LAND</t>
  </si>
  <si>
    <t>KILPATRICK STOCKTON LLP</t>
  </si>
  <si>
    <t xml:space="preserve">         DALTON2</t>
  </si>
  <si>
    <t>LAND OPTION</t>
  </si>
  <si>
    <t xml:space="preserve">         DALTON1</t>
  </si>
  <si>
    <t>HOLLAND &amp; KNIGHT</t>
  </si>
  <si>
    <t>LEGAL FEES</t>
  </si>
  <si>
    <t>LEGL</t>
  </si>
  <si>
    <t>KEENAN,JEFFREY M</t>
  </si>
  <si>
    <t xml:space="preserve">       EXP122898</t>
  </si>
  <si>
    <t>TRVL-TX-KC</t>
  </si>
  <si>
    <t>TRVL</t>
  </si>
  <si>
    <t>OGDEN NEWELL &amp; WELCH</t>
  </si>
  <si>
    <t>12/31/98</t>
  </si>
  <si>
    <t>SITE SELECTION</t>
  </si>
  <si>
    <t>PROVENZANO,MARK</t>
  </si>
  <si>
    <t xml:space="preserve">       EXP112498</t>
  </si>
  <si>
    <t>TRVL-GA-TX</t>
  </si>
  <si>
    <t>SPEARS,R CLAY</t>
  </si>
  <si>
    <t xml:space="preserve">       EXP122298</t>
  </si>
  <si>
    <t>ATHENS, GA</t>
  </si>
  <si>
    <t>EPS CONSULTANTS INC</t>
  </si>
  <si>
    <t>GENERATORS-PROJECT</t>
  </si>
  <si>
    <t>MJEQ</t>
  </si>
  <si>
    <t xml:space="preserve"> </t>
  </si>
  <si>
    <t xml:space="preserve">       KA039905E</t>
  </si>
  <si>
    <t>RCLS DEVL EXP/E1231F</t>
  </si>
  <si>
    <t>AFCD</t>
  </si>
  <si>
    <t xml:space="preserve">       KA029906{</t>
  </si>
  <si>
    <t>RCLS FRGT/IBC</t>
  </si>
  <si>
    <t>FRGT</t>
  </si>
  <si>
    <t>RCLS FREIGHT/IBC</t>
  </si>
  <si>
    <t xml:space="preserve">       KA029906A</t>
  </si>
  <si>
    <t>INT DUR CONSTR/JAN</t>
  </si>
  <si>
    <t>IDCS</t>
  </si>
  <si>
    <t>RCLS IDCS/JAN</t>
  </si>
  <si>
    <t>INT DUR CONSTR/DEC</t>
  </si>
  <si>
    <t xml:space="preserve">       KA019906D</t>
  </si>
  <si>
    <t>CAPITALIZED INT/FEB</t>
  </si>
  <si>
    <t xml:space="preserve">       KA039906D</t>
  </si>
  <si>
    <t>EXP LEGAL</t>
  </si>
  <si>
    <t>POWER SYSTEMS SPC, INC.</t>
  </si>
  <si>
    <t xml:space="preserve">       L-1005-99</t>
  </si>
  <si>
    <t>LEC BURNERS</t>
  </si>
  <si>
    <t>PRTS</t>
  </si>
  <si>
    <t>FR 7 GAS TBN GENERAT</t>
  </si>
  <si>
    <t>7B GAS TURBINES (3)</t>
  </si>
  <si>
    <t xml:space="preserve">       EXP012999</t>
  </si>
  <si>
    <t>MEALS</t>
  </si>
  <si>
    <t>TRVL-HOUSTON/NASHVIL</t>
  </si>
  <si>
    <t>EXPENSE TRAVEL</t>
  </si>
  <si>
    <t xml:space="preserve">       KA059909F</t>
  </si>
  <si>
    <t>MAR CAPITAL INTEREST</t>
  </si>
  <si>
    <t xml:space="preserve">      NCR019908D</t>
  </si>
  <si>
    <t>NORWEST INVESTMENT</t>
  </si>
  <si>
    <t>MAR ADJUSTMENT</t>
  </si>
  <si>
    <t xml:space="preserve">       KA019907A</t>
  </si>
  <si>
    <t>REV LEGAL EXP</t>
  </si>
  <si>
    <t>M &amp; M LEASING AND ENRON ESCROW</t>
  </si>
  <si>
    <t xml:space="preserve">        WT031799</t>
  </si>
  <si>
    <t>TURBINES</t>
  </si>
  <si>
    <t>REV TRAVEL EXP</t>
  </si>
  <si>
    <t>ENRON INT'L ASSET MANAGEMENT</t>
  </si>
  <si>
    <t xml:space="preserve">       K51770199</t>
  </si>
  <si>
    <t>EXPENSES DOYLE</t>
  </si>
  <si>
    <t>CSUP</t>
  </si>
  <si>
    <t xml:space="preserve">      JAR029912C</t>
  </si>
  <si>
    <t>NORWEST</t>
  </si>
  <si>
    <t xml:space="preserve">       KA059912D</t>
  </si>
  <si>
    <t>CAPITAL INTEREST/APR</t>
  </si>
  <si>
    <t>GENERAL ELECTRIC COMPANY</t>
  </si>
  <si>
    <t xml:space="preserve">        N01G4464</t>
  </si>
  <si>
    <t>GAS TURBINE</t>
  </si>
  <si>
    <t xml:space="preserve">       I-1009-99</t>
  </si>
  <si>
    <t>LEC BURNERS WALTON</t>
  </si>
  <si>
    <t>TURBINES WALTON</t>
  </si>
  <si>
    <t xml:space="preserve">       EXP020899</t>
  </si>
  <si>
    <t>TRVL-GA</t>
  </si>
  <si>
    <t>AJ MECHANICAL, INC.</t>
  </si>
  <si>
    <t>TURBINE</t>
  </si>
  <si>
    <t xml:space="preserve">       KA029915D</t>
  </si>
  <si>
    <t>CAPITAL INTEREST/MAY</t>
  </si>
  <si>
    <t xml:space="preserve">      JAR059915D</t>
  </si>
  <si>
    <t>TRUE-UP IDC THRU APR</t>
  </si>
  <si>
    <t xml:space="preserve">       AP159914H</t>
  </si>
  <si>
    <t>RECLASS REFURB COSTS</t>
  </si>
  <si>
    <t>RECL REFURB FR NA</t>
  </si>
  <si>
    <t xml:space="preserve">        N01G4598</t>
  </si>
  <si>
    <t>GENERATOR</t>
  </si>
  <si>
    <t>IBC TURBO INC</t>
  </si>
  <si>
    <t xml:space="preserve">      DOYLE90001</t>
  </si>
  <si>
    <t>COMPRESSOR DOYLE</t>
  </si>
  <si>
    <t>Loss Expensed</t>
  </si>
  <si>
    <t>TMAT</t>
  </si>
  <si>
    <t>VIRGO,ROBERT</t>
  </si>
  <si>
    <t xml:space="preserve">       EXP043099</t>
  </si>
  <si>
    <t>FL-PROJECT DOYLE</t>
  </si>
  <si>
    <t xml:space="preserve">       EXP051299</t>
  </si>
  <si>
    <t>TRVL/TAMPA/HOU/MOINT</t>
  </si>
  <si>
    <t>EECC Construction Oversight -1/14 of the total Fixed Overhead</t>
  </si>
  <si>
    <t>ENA CONSTRUCTION COMPLETION BONUS</t>
  </si>
  <si>
    <t>OPC REIMBURSEMENT FOR MOBILIZATION</t>
  </si>
  <si>
    <t>EECC Refurbishment Oversight - Engineering Support for the refurbishment</t>
  </si>
  <si>
    <t>OPC Switchyard</t>
  </si>
  <si>
    <t xml:space="preserve">GE </t>
  </si>
  <si>
    <t>Bracewell &amp; Patter</t>
  </si>
  <si>
    <t>OPC Reimbursable expenses - FERC filing</t>
  </si>
  <si>
    <t xml:space="preserve">      JAR039918{</t>
  </si>
  <si>
    <t>OLGE THROPE</t>
  </si>
  <si>
    <t xml:space="preserve">       LL019918G</t>
  </si>
  <si>
    <t>FRGHT ON DOYLE TURBI</t>
  </si>
  <si>
    <t xml:space="preserve">   SFS-2-98-0012</t>
  </si>
  <si>
    <t>FULTON POWER</t>
  </si>
  <si>
    <t xml:space="preserve">       LL049918G</t>
  </si>
  <si>
    <t>JUNE IDC</t>
  </si>
  <si>
    <t xml:space="preserve">       LL029918G</t>
  </si>
  <si>
    <t>RCLS LEGL NOT DOYLE</t>
  </si>
  <si>
    <t>GENERAL ELECTRIC CO #05</t>
  </si>
  <si>
    <t xml:space="preserve">        N01G4599</t>
  </si>
  <si>
    <t>7EA GAS TURBINE</t>
  </si>
  <si>
    <t xml:space="preserve">       TL9990008</t>
  </si>
  <si>
    <t>WAREHOUSE SECURITY</t>
  </si>
  <si>
    <t>OTHR</t>
  </si>
  <si>
    <t>ENVIRONMENTAL CONSULTING &amp;</t>
  </si>
  <si>
    <t>PERMITTING</t>
  </si>
  <si>
    <t>PERM</t>
  </si>
  <si>
    <t xml:space="preserve">       TL5990027</t>
  </si>
  <si>
    <t>WAREHOUSE LEASE</t>
  </si>
  <si>
    <t>RENT</t>
  </si>
  <si>
    <t xml:space="preserve">        WT063099</t>
  </si>
  <si>
    <t>7% ADM FEE</t>
  </si>
  <si>
    <t>REFURBISH TURBINE DO</t>
  </si>
  <si>
    <t>COFFER,WALTER</t>
  </si>
  <si>
    <t>SPARE PARTS REIMBURSEMENT FROM OPC</t>
  </si>
  <si>
    <t>June, 2000</t>
  </si>
  <si>
    <t xml:space="preserve">       EXP051499</t>
  </si>
  <si>
    <t>TRVL/IAH/DC/TRANSMIS</t>
  </si>
  <si>
    <t>MILLER,MICHAEL J</t>
  </si>
  <si>
    <t xml:space="preserve">       EXP060999</t>
  </si>
  <si>
    <t>TRVL-HOU-CINCINNATI</t>
  </si>
  <si>
    <t xml:space="preserve">                                 </t>
  </si>
  <si>
    <t xml:space="preserve">     </t>
  </si>
  <si>
    <t xml:space="preserve">   </t>
  </si>
  <si>
    <t xml:space="preserve">    R00002801-3-</t>
  </si>
  <si>
    <t>R00002802-04</t>
  </si>
  <si>
    <t>R000028013</t>
  </si>
  <si>
    <t xml:space="preserve">        N01G5726</t>
  </si>
  <si>
    <t>TURBINE GENERATORS</t>
  </si>
  <si>
    <t xml:space="preserve">     JR 1670009H</t>
  </si>
  <si>
    <t>POWER SYSTEM MFG.</t>
  </si>
  <si>
    <t>BRACEWELL &amp; PATTERSON, L.L.P.</t>
  </si>
  <si>
    <t>OPC EXPENSE</t>
  </si>
  <si>
    <t xml:space="preserve">      AWU010009E</t>
  </si>
  <si>
    <t xml:space="preserve">       AWU10010A</t>
  </si>
  <si>
    <t xml:space="preserve">       AWU20010A</t>
  </si>
  <si>
    <t xml:space="preserve">       I-1071-00</t>
  </si>
  <si>
    <t>4/1/2000</t>
  </si>
  <si>
    <t xml:space="preserve">     R00002801-5</t>
  </si>
  <si>
    <t>DOYLE EECC FIX O/H</t>
  </si>
  <si>
    <t xml:space="preserve">          99006L</t>
  </si>
  <si>
    <t>NEPCO FIXED OVERHEAD</t>
  </si>
  <si>
    <t xml:space="preserve">     R00002803-5</t>
  </si>
  <si>
    <t>SWITCHUPGRADE</t>
  </si>
  <si>
    <t>EECC REFUB MGMT</t>
  </si>
  <si>
    <t>CONST MGMT</t>
  </si>
  <si>
    <t>NEPCO REIMB COST</t>
  </si>
  <si>
    <t>DOYLE LEGAL EXP</t>
  </si>
  <si>
    <t>GENERATOR PMT</t>
  </si>
  <si>
    <t>INV TS00019</t>
  </si>
  <si>
    <t>4/30/2000</t>
  </si>
  <si>
    <t>INV48</t>
  </si>
  <si>
    <t>INV50</t>
  </si>
  <si>
    <t>INV53</t>
  </si>
  <si>
    <t>INV49</t>
  </si>
  <si>
    <t xml:space="preserve">       EXP061899</t>
  </si>
  <si>
    <t>TRVL-PENSACOLA</t>
  </si>
  <si>
    <t xml:space="preserve">      TAB029921D</t>
  </si>
  <si>
    <t>RCLS TURBINE</t>
  </si>
  <si>
    <t xml:space="preserve">      AMC019920A</t>
  </si>
  <si>
    <t>ABB MFG DEPOSIT</t>
  </si>
  <si>
    <t xml:space="preserve">   SFS-2-98-0027</t>
  </si>
  <si>
    <t>DOYLE</t>
  </si>
  <si>
    <t>ABB POWER T&amp;D COMPANY INC</t>
  </si>
  <si>
    <t xml:space="preserve">           AD138</t>
  </si>
  <si>
    <t>TRANSFORMERS</t>
  </si>
  <si>
    <t xml:space="preserve">       A23020-51</t>
  </si>
  <si>
    <t xml:space="preserve">       A23020-44</t>
  </si>
  <si>
    <t xml:space="preserve">       A23020-39</t>
  </si>
  <si>
    <t xml:space="preserve">       A23020-45</t>
  </si>
  <si>
    <t xml:space="preserve">       LL019921H</t>
  </si>
  <si>
    <t xml:space="preserve">        WT072699</t>
  </si>
  <si>
    <t>BUSH WALTON SITE</t>
  </si>
  <si>
    <t xml:space="preserve">        WT072999</t>
  </si>
  <si>
    <t>BUSH WALTON</t>
  </si>
  <si>
    <t xml:space="preserve">        NO1G4632</t>
  </si>
  <si>
    <t>GE TURBINE</t>
  </si>
  <si>
    <t xml:space="preserve">       TL9990009</t>
  </si>
  <si>
    <t>DOYLE SECURITY SVCS</t>
  </si>
  <si>
    <t xml:space="preserve">       TL9990010</t>
  </si>
  <si>
    <t>DOYLE SECURITY</t>
  </si>
  <si>
    <t>KIWANIS CLUB OF MONROE, GA</t>
  </si>
  <si>
    <t xml:space="preserve">         INV0699</t>
  </si>
  <si>
    <t>CONTRIBUTION</t>
  </si>
  <si>
    <t xml:space="preserve">       TL5990028</t>
  </si>
  <si>
    <t xml:space="preserve">       LL029921H</t>
  </si>
  <si>
    <t>TRSF LECS TO INV</t>
  </si>
  <si>
    <t>AIR LIQUIDE AMERICA CORP</t>
  </si>
  <si>
    <t>JULY TURBINE</t>
  </si>
  <si>
    <t xml:space="preserve">       EXP072699</t>
  </si>
  <si>
    <t>TRAVEL-ATLANTA</t>
  </si>
  <si>
    <t>as of 09/11/00</t>
  </si>
  <si>
    <t>GARRETT,BRYAN</t>
  </si>
  <si>
    <t xml:space="preserve">       EXP061099</t>
  </si>
  <si>
    <t>SUPPLIES</t>
  </si>
  <si>
    <t xml:space="preserve">       EXP072099</t>
  </si>
  <si>
    <t xml:space="preserve">       EXP071999</t>
  </si>
  <si>
    <t>Oglethrope Power Company</t>
  </si>
  <si>
    <t>Reimbursement for legal cost - Bracewell Patterson</t>
  </si>
  <si>
    <t xml:space="preserve">       EXP061699</t>
  </si>
  <si>
    <t>TRAVEL-PENSACOLA</t>
  </si>
  <si>
    <t xml:space="preserve">       EXP062499</t>
  </si>
  <si>
    <t>TRVL/IAH-TAMPADOYLE</t>
  </si>
  <si>
    <t>TRVL/SEATTLE-DOYLEPO</t>
  </si>
  <si>
    <t>TRVL/TN-IAH/BROWNSVI</t>
  </si>
  <si>
    <t>BENCHMARK TRANSPORTATION</t>
  </si>
  <si>
    <t xml:space="preserve">      HOU-99-253</t>
  </si>
  <si>
    <t>TRANSPORT TURBINES</t>
  </si>
  <si>
    <t xml:space="preserve">         PMF-899</t>
  </si>
  <si>
    <t>INV.#PMF-899</t>
  </si>
  <si>
    <t>INV. PMF-899</t>
  </si>
  <si>
    <t xml:space="preserve">        PMF-899A</t>
  </si>
  <si>
    <t>MILESTONE PYMT 2</t>
  </si>
  <si>
    <t>Brimhall Delivery Service Total</t>
  </si>
  <si>
    <t>Elliott On-Site Service Total</t>
  </si>
  <si>
    <t>IBC Turbo INC Total</t>
  </si>
  <si>
    <t>In Place Machining Total</t>
  </si>
  <si>
    <t>John L. Wortham &amp; Son LLP Total</t>
  </si>
  <si>
    <t>Power System Total</t>
  </si>
  <si>
    <t>RTA Engineering  Total</t>
  </si>
  <si>
    <t>Turbine Technology Service Total</t>
  </si>
  <si>
    <t>Total Refurbishment Cost</t>
  </si>
  <si>
    <t xml:space="preserve">     JAR 079924E</t>
  </si>
  <si>
    <t>DEF.LAND PAY</t>
  </si>
  <si>
    <t xml:space="preserve">     JAR 059922I</t>
  </si>
  <si>
    <t>DEFER1/2BUSH LAN PMT</t>
  </si>
  <si>
    <t>POWER SPARES, INC.</t>
  </si>
  <si>
    <t xml:space="preserve">       I-1010-99</t>
  </si>
  <si>
    <t>LEC TRANSITION PIECE</t>
  </si>
  <si>
    <t xml:space="preserve">        N01G4736</t>
  </si>
  <si>
    <t xml:space="preserve">        SA990001</t>
  </si>
  <si>
    <t>NEPCO REIMBURSEMENT FROM GENCO</t>
  </si>
  <si>
    <r>
      <t xml:space="preserve">   Adjustment</t>
    </r>
    <r>
      <rPr>
        <b/>
        <sz val="8"/>
        <rFont val="Arial"/>
        <family val="2"/>
      </rPr>
      <t xml:space="preserve">     </t>
    </r>
    <r>
      <rPr>
        <sz val="8"/>
        <rFont val="Arial"/>
        <family val="2"/>
      </rPr>
      <t xml:space="preserve"> (See Note 1)</t>
    </r>
  </si>
  <si>
    <t>PENSACOLA LEASE</t>
  </si>
  <si>
    <t>Text93:</t>
  </si>
  <si>
    <t>MAY PERMITTING/COSTS</t>
  </si>
  <si>
    <t>NEEL-SCHAFFER INC</t>
  </si>
  <si>
    <t>PERMITTING SURVEY</t>
  </si>
  <si>
    <t>MAY/JULY INV</t>
  </si>
  <si>
    <t>TURBINE PAYMENT</t>
  </si>
  <si>
    <t xml:space="preserve">       EXP081099</t>
  </si>
  <si>
    <t>GA-DOYLE PROJECT</t>
  </si>
  <si>
    <t>JUNE SALES TAX ISSUE</t>
  </si>
  <si>
    <t>MAY INV SITE ISSUES</t>
  </si>
  <si>
    <t>KING &amp; SPALDING</t>
  </si>
  <si>
    <t>JUNE LOAN AGREEMENT</t>
  </si>
  <si>
    <t xml:space="preserve">        N01G4849</t>
  </si>
  <si>
    <t>SEPT TURBINE</t>
  </si>
  <si>
    <t>H &amp; M INDUSTRIAL SERVICES, INC</t>
  </si>
  <si>
    <t xml:space="preserve">        WT090899</t>
  </si>
  <si>
    <t>INC. 002921</t>
  </si>
  <si>
    <t>JULY INVOICE</t>
  </si>
  <si>
    <t>Initial project payment</t>
  </si>
  <si>
    <t>Project management - September</t>
  </si>
  <si>
    <t>Turbine Technology</t>
  </si>
  <si>
    <t>Refurb</t>
  </si>
  <si>
    <t>Mississippi Major</t>
  </si>
  <si>
    <t>Lease payment</t>
  </si>
  <si>
    <t>Mike Nelson, Contractor</t>
  </si>
  <si>
    <t>Facility preparation</t>
  </si>
  <si>
    <t>Travel expenses</t>
  </si>
  <si>
    <t>Robert Virgo</t>
  </si>
  <si>
    <t>Mississippi Major Impact Authority - lease Tri-State Com Park</t>
  </si>
  <si>
    <t>Mike Nelson Contractors, Inc. - site preparation</t>
  </si>
  <si>
    <t>4Q98 &amp; 1999 PLAN</t>
  </si>
  <si>
    <t>DETAILS OF CAPITAL EXPENDITURES</t>
  </si>
  <si>
    <t>Generation Services - RC 1231</t>
  </si>
  <si>
    <t>FY</t>
  </si>
  <si>
    <t>1998</t>
  </si>
  <si>
    <t>Actual</t>
  </si>
  <si>
    <t>1999</t>
  </si>
  <si>
    <t>GRAND</t>
  </si>
  <si>
    <t>Aug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</si>
  <si>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</si>
  <si>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</si>
  <si>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</si>
  <si>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</si>
  <si>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</si>
  <si>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</si>
  <si>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</si>
  <si>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</si>
  <si>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</si>
  <si>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</si>
  <si>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Sep</t>
  </si>
  <si>
    <t>2001</t>
  </si>
  <si>
    <t>Project Doyle (Walton)</t>
  </si>
  <si>
    <t>Project Doyle (Walton) - Cum Total</t>
  </si>
  <si>
    <t>Project Doyle (Walton) - Cum IDC</t>
  </si>
  <si>
    <t>GLC Consulting Services</t>
  </si>
  <si>
    <t>Consulting services</t>
  </si>
  <si>
    <t>Legal</t>
  </si>
  <si>
    <t>1st,2nd,3rd stage buckets, nozzle</t>
  </si>
  <si>
    <t>October, 1999</t>
  </si>
  <si>
    <t>Consignment fee</t>
  </si>
  <si>
    <t>August invoice</t>
  </si>
  <si>
    <t>IBC Turbo</t>
  </si>
  <si>
    <t>Neel Schaffer, Inc.</t>
  </si>
  <si>
    <t>Other - GLC</t>
  </si>
  <si>
    <t>July survey/permitting invoice</t>
  </si>
  <si>
    <t>October turbine payment</t>
  </si>
  <si>
    <t>Turbine refurb</t>
  </si>
  <si>
    <t>Nozzle</t>
  </si>
  <si>
    <t>Iuka building prep</t>
  </si>
  <si>
    <t>H&amp;M Industrial Services - transport turbines to Iuka/site prep</t>
  </si>
  <si>
    <t>10/31/99</t>
  </si>
  <si>
    <t>07/31/99</t>
  </si>
  <si>
    <t>06/30/99</t>
  </si>
  <si>
    <t>05/31/99</t>
  </si>
  <si>
    <t>04/30/99</t>
  </si>
  <si>
    <t>03/31/99</t>
  </si>
  <si>
    <t>02/28/99</t>
  </si>
  <si>
    <t>01/31/99</t>
  </si>
  <si>
    <t>Interest During Construction</t>
  </si>
  <si>
    <t>Power Spares</t>
  </si>
  <si>
    <t>Consignment Fee</t>
  </si>
  <si>
    <t>Reclass of Transformer</t>
  </si>
  <si>
    <t>Refurbish</t>
  </si>
  <si>
    <t>GE Rotor-Test/Inspect</t>
  </si>
  <si>
    <t>GLC Consulting SE</t>
  </si>
  <si>
    <t>Consultant</t>
  </si>
  <si>
    <t>Williams Gas Pipeline</t>
  </si>
  <si>
    <t>Interconnect</t>
  </si>
  <si>
    <t>Mike Nelson Contractor</t>
  </si>
  <si>
    <t>IUKA Site Preparation</t>
  </si>
  <si>
    <t>Garrett Bryan</t>
  </si>
  <si>
    <t>Golf Outing</t>
  </si>
  <si>
    <t>Mex-Customer Outing</t>
  </si>
  <si>
    <t>Meals</t>
  </si>
  <si>
    <t>Kilpatrick Stockton Land Option</t>
  </si>
  <si>
    <t xml:space="preserve">Land Acquisition </t>
  </si>
  <si>
    <t>Project Management fee for Turbine Refurbishment</t>
  </si>
  <si>
    <t>Project Management time and expense  for Turbine Refurbishment</t>
  </si>
  <si>
    <t>Reimburse Pensacola Payroll and Facility Charges</t>
  </si>
  <si>
    <t>Pass-Through Payment Wood Group Item #2</t>
  </si>
  <si>
    <t xml:space="preserve">Expense reimbursement billing for Sep 1999 pursuant to the </t>
  </si>
  <si>
    <t>Consignment agreement dated Feburary 17, 1999</t>
  </si>
  <si>
    <t xml:space="preserve">Kilpatrick Stockon </t>
  </si>
  <si>
    <t>Legal fee for closing documents</t>
  </si>
  <si>
    <t>Rewire</t>
  </si>
  <si>
    <t>Transportation</t>
  </si>
  <si>
    <t>2nd, 3 rd stage Shroud Block</t>
  </si>
  <si>
    <t>AJ Michanical Inc</t>
  </si>
  <si>
    <t>Applied Engineering</t>
  </si>
  <si>
    <t>The Salvage Association</t>
  </si>
  <si>
    <t>INS Moving Refurbishment</t>
  </si>
  <si>
    <t xml:space="preserve">Expense reimbursement billing for August 1999 pursuant to the </t>
  </si>
  <si>
    <t>the consignment agreement dated Feburary 17, 1999</t>
  </si>
  <si>
    <t>Banchmark Transpotation</t>
  </si>
  <si>
    <t>Moving Turbines</t>
  </si>
  <si>
    <t>Refurbish Turbine at Warehouse #8, Pensacola</t>
  </si>
  <si>
    <t>ABB Power T&amp;D Company</t>
  </si>
  <si>
    <t>Power Spares, INC</t>
  </si>
  <si>
    <t>Power Systems SPC I</t>
  </si>
  <si>
    <t>Monthly consignment fee dated Feburary 17th, 1999</t>
  </si>
  <si>
    <t>First 10% total payment of 2 type HGC-3 Generator Circuit Breakers</t>
  </si>
  <si>
    <t>Pass through payment to H&amp;M milestone payment #2</t>
  </si>
  <si>
    <t>Start up of 250 Ton Crane/Repairs</t>
  </si>
  <si>
    <t>Hoist &amp; Crane Service GroupVI (HCSG)</t>
  </si>
  <si>
    <t>11/30/99</t>
  </si>
  <si>
    <t>Neel Schaffer Inc</t>
  </si>
  <si>
    <t>Consulting</t>
  </si>
  <si>
    <t>H&amp;M Industrial Service, INC</t>
  </si>
  <si>
    <t>Labor of Iuka building preparation</t>
  </si>
  <si>
    <t>Iuka material for installation</t>
  </si>
  <si>
    <t>Iuka Travel Expense</t>
  </si>
  <si>
    <t>Parts</t>
  </si>
  <si>
    <t>Consign Fee - Sell Spare Parts</t>
  </si>
  <si>
    <t>Powre System, LLC</t>
  </si>
  <si>
    <t>Refurbishment</t>
  </si>
  <si>
    <t>Nov Turbine Payment</t>
  </si>
  <si>
    <t>Air Liquide America Corporation</t>
  </si>
  <si>
    <t>Letter Agreement Payment</t>
  </si>
  <si>
    <t>IBC Turbo, Inc</t>
  </si>
  <si>
    <t>Refurbishment- Pensacola Lease</t>
  </si>
  <si>
    <t>Legal Expense</t>
  </si>
  <si>
    <t>Environmental Committee</t>
  </si>
  <si>
    <t>Engineering Management</t>
  </si>
  <si>
    <t>Civil / Sitework Engineering</t>
  </si>
  <si>
    <t>Fundation / Piling</t>
  </si>
  <si>
    <t>Structural Steel Engineering</t>
  </si>
  <si>
    <t>Architectural Engineering</t>
  </si>
  <si>
    <t>Doyle Payment</t>
  </si>
  <si>
    <t>A/G Piping Engineering</t>
  </si>
  <si>
    <t>A/G Electrical Engineering</t>
  </si>
  <si>
    <t>Instrumentation &amp; CO</t>
  </si>
  <si>
    <t>Major Equipment</t>
  </si>
  <si>
    <t>Reserves</t>
  </si>
  <si>
    <t>Transportation &amp; Freight</t>
  </si>
  <si>
    <t>Site Improvement</t>
  </si>
  <si>
    <t>U/G Eletrical</t>
  </si>
  <si>
    <t>U/G Piping</t>
  </si>
  <si>
    <t>Grout</t>
  </si>
  <si>
    <t>A/G Piping</t>
  </si>
  <si>
    <t>A/G Electrical</t>
  </si>
  <si>
    <t>Site Preparation</t>
  </si>
  <si>
    <t>Electrical</t>
  </si>
  <si>
    <t>Piping</t>
  </si>
  <si>
    <t>Stuctural Steel</t>
  </si>
  <si>
    <t>Subtotal Structural Steel</t>
  </si>
  <si>
    <t>Field - Plant Start</t>
  </si>
  <si>
    <t>Startup Reserves</t>
  </si>
  <si>
    <t>Insulation</t>
  </si>
  <si>
    <t>Paint</t>
  </si>
  <si>
    <t>Project Management</t>
  </si>
  <si>
    <t>Construction Reserve</t>
  </si>
  <si>
    <t>Rework</t>
  </si>
  <si>
    <t>Backcharges</t>
  </si>
  <si>
    <t>Project Indirects</t>
  </si>
  <si>
    <t>Equipment Rental</t>
  </si>
  <si>
    <t>General Provisions</t>
  </si>
  <si>
    <t>Subtotal Project Indirects</t>
  </si>
  <si>
    <t>Permitting Fee</t>
  </si>
  <si>
    <t>Coffer, Walter</t>
  </si>
  <si>
    <t>Environmental Consulting Technologies</t>
  </si>
  <si>
    <t>Power System</t>
  </si>
  <si>
    <t>G.L.C Consulting Services</t>
  </si>
  <si>
    <t>Turbine Consultant</t>
  </si>
  <si>
    <t>Dec Turbine Payment</t>
  </si>
  <si>
    <t>Spears R. Clay</t>
  </si>
  <si>
    <t>PS</t>
  </si>
  <si>
    <t>To Complete</t>
  </si>
  <si>
    <t>Actuals Plus</t>
  </si>
  <si>
    <t>Est. to Complete</t>
  </si>
  <si>
    <t>(Over)/Under</t>
  </si>
  <si>
    <t>Enron North America</t>
  </si>
  <si>
    <t>(Decrease)</t>
  </si>
  <si>
    <t>Text98:</t>
  </si>
  <si>
    <t>INITIAL PAY PROJ</t>
  </si>
  <si>
    <t>COSU</t>
  </si>
  <si>
    <t>SEPT PROJ MGMT</t>
  </si>
  <si>
    <t>G.L.C. CONSULTING SERVICE</t>
  </si>
  <si>
    <t>CONSULTING</t>
  </si>
  <si>
    <t xml:space="preserve">      TAB029927H</t>
  </si>
  <si>
    <t>RECLASS TRANSFORMERS</t>
  </si>
  <si>
    <t>TURBINE TECHNOLOGY SERVICES</t>
  </si>
  <si>
    <t>REFURB</t>
  </si>
  <si>
    <t xml:space="preserve">       AW019928{</t>
  </si>
  <si>
    <t xml:space="preserve">     LEGAL083099</t>
  </si>
  <si>
    <t>DOYLE I PROJECT</t>
  </si>
  <si>
    <t>MISSISSIPPI MAJOR IMPACT AUTH</t>
  </si>
  <si>
    <t>MILLER MISSISSIP</t>
  </si>
  <si>
    <t>LEASE PMT</t>
  </si>
  <si>
    <t>AUG. INVOICE</t>
  </si>
  <si>
    <t>TURBINE REFURB</t>
  </si>
  <si>
    <t>MIKE NELSON CONTRACTORS, INC</t>
  </si>
  <si>
    <t xml:space="preserve">       INV091399</t>
  </si>
  <si>
    <t xml:space="preserve">       INV090299</t>
  </si>
  <si>
    <t>FACILITY PREPARATION</t>
  </si>
  <si>
    <t>04/30/2000.</t>
  </si>
  <si>
    <t>Turbine refurb-- manual panic switches added to fire extinguishing system - 3 units</t>
  </si>
  <si>
    <t>Turbine Refurb -- Repair Accessory CAB door damaged on shipment - Dow</t>
  </si>
  <si>
    <t>Turbine Refurb -- cooling fans on generator blowers</t>
  </si>
  <si>
    <t>Turbine Refurb -- CB 20 vavles for compressor air</t>
  </si>
  <si>
    <t>Turbine Refurb -- PSSPC management expense</t>
  </si>
  <si>
    <t>Turbine Refurb -- Inlet System pass through to Caldwell Energy</t>
  </si>
  <si>
    <t xml:space="preserve">EECC </t>
  </si>
  <si>
    <t>Construction Management- March</t>
  </si>
  <si>
    <t>Construction management - April</t>
  </si>
  <si>
    <t>Refurb Management</t>
  </si>
  <si>
    <t>Switchyard Engineering Support</t>
  </si>
  <si>
    <t>Fix Lump Sum Portion</t>
  </si>
  <si>
    <t>from CB</t>
  </si>
  <si>
    <t xml:space="preserve">Transformer &amp; Switchyard </t>
  </si>
  <si>
    <t>Environmental Permitting</t>
  </si>
  <si>
    <t>Gas Interconnection</t>
  </si>
  <si>
    <t>Insurance during Construction</t>
  </si>
  <si>
    <t>Start-up Fuel</t>
  </si>
  <si>
    <t>Development &amp; Legal Expenses</t>
  </si>
  <si>
    <t>Total Variance</t>
  </si>
  <si>
    <t>Control Budget vs Actual plus Est. to Complete Variance Explanations (000s)</t>
  </si>
  <si>
    <r>
      <t xml:space="preserve">     *The variance is the difference between the </t>
    </r>
    <r>
      <rPr>
        <b/>
        <sz val="10"/>
        <rFont val="Arial"/>
        <family val="2"/>
      </rPr>
      <t>Control Budget</t>
    </r>
    <r>
      <rPr>
        <sz val="10"/>
        <rFont val="Arial"/>
      </rPr>
      <t xml:space="preserve"> and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the</t>
    </r>
    <r>
      <rPr>
        <b/>
        <sz val="10"/>
        <rFont val="Arial"/>
        <family val="2"/>
      </rPr>
      <t xml:space="preserve"> Actual plus Est. to Complete </t>
    </r>
  </si>
  <si>
    <t>OGLETHORPE CORR</t>
  </si>
  <si>
    <t>MECH</t>
  </si>
  <si>
    <t>LAND OPTION EXT</t>
  </si>
  <si>
    <t>PMAN</t>
  </si>
  <si>
    <t>WALTON CASH</t>
  </si>
  <si>
    <t>RCLSS TRVL 2/00</t>
  </si>
  <si>
    <t>RCLSS TRVL 3/00</t>
  </si>
  <si>
    <t>SVCS</t>
  </si>
  <si>
    <t>5/1/2000</t>
  </si>
  <si>
    <t>5/31/2000</t>
  </si>
  <si>
    <t>INV R00002802-6</t>
  </si>
  <si>
    <t>INVR00002803-6</t>
  </si>
  <si>
    <t>THE WALTON TRIBUNE</t>
  </si>
  <si>
    <t>DOYLE ENVIRONMENTAL</t>
  </si>
  <si>
    <t>DOYLE-OPC</t>
  </si>
  <si>
    <t>TRVL/TAMPA-DOYLESITE</t>
  </si>
  <si>
    <t>Reimbursable protion of the work</t>
  </si>
  <si>
    <t>ABB</t>
  </si>
  <si>
    <t>Field Installation on Transformer</t>
  </si>
  <si>
    <t>115kv Breaker --Substation</t>
  </si>
  <si>
    <t>115 KV Breaker -- Substation</t>
  </si>
  <si>
    <t>230 KV Breaker -- Switchyard</t>
  </si>
  <si>
    <t>115 KV Breaker -- Switchyard</t>
  </si>
  <si>
    <t xml:space="preserve">Two (2) 7EA Gas Turbine Generators </t>
  </si>
  <si>
    <t xml:space="preserve">Legal </t>
  </si>
  <si>
    <t xml:space="preserve">     HOU-99-253A</t>
  </si>
  <si>
    <t>HOU99253A</t>
  </si>
  <si>
    <t xml:space="preserve">      HOU-99-272</t>
  </si>
  <si>
    <t>HOU99272</t>
  </si>
  <si>
    <t>5 EXHAUST  SYS</t>
  </si>
  <si>
    <t xml:space="preserve">       EXP090199</t>
  </si>
  <si>
    <t xml:space="preserve">       EXP091399</t>
  </si>
  <si>
    <t>MEALS-TRVL-FL</t>
  </si>
  <si>
    <t>CONSULTANT</t>
  </si>
  <si>
    <t>PROJ MGMT TURBINE</t>
  </si>
  <si>
    <t>PROJ MGT TURBINE</t>
  </si>
  <si>
    <t>VARIOUS</t>
  </si>
  <si>
    <t xml:space="preserve">       I-1024-99</t>
  </si>
  <si>
    <t>TURBIN REFURB</t>
  </si>
  <si>
    <t xml:space="preserve">       AW029930E</t>
  </si>
  <si>
    <t>CLOSING DOCUMENTS</t>
  </si>
  <si>
    <t>GENERATOR CIRCUIT</t>
  </si>
  <si>
    <t xml:space="preserve">       1-1021-99</t>
  </si>
  <si>
    <t>SELL SPARE PARTS</t>
  </si>
  <si>
    <t xml:space="preserve">       SA9900002</t>
  </si>
  <si>
    <t>REFURB PENSACOLA</t>
  </si>
  <si>
    <t xml:space="preserve">        SA990003</t>
  </si>
  <si>
    <t xml:space="preserve">       I-1020-99</t>
  </si>
  <si>
    <t>CONSIGNMENT FEE</t>
  </si>
  <si>
    <t xml:space="preserve">       3-3410-07</t>
  </si>
  <si>
    <t>JULY SURVEY/PERM</t>
  </si>
  <si>
    <t xml:space="preserve">         PMF-900</t>
  </si>
  <si>
    <t>TURBINE REFUR</t>
  </si>
  <si>
    <t>WILLIAMS GAS PIPELINE-TRANSCO</t>
  </si>
  <si>
    <t xml:space="preserve">        WT101299</t>
  </si>
  <si>
    <t>REFURBISH</t>
  </si>
  <si>
    <t xml:space="preserve">  PRJ-00-0064-MS</t>
  </si>
  <si>
    <t>TRANSP</t>
  </si>
  <si>
    <t xml:space="preserve">  PRJ-00-0061-MS</t>
  </si>
  <si>
    <t xml:space="preserve">   PRJ-00-0065MS</t>
  </si>
  <si>
    <t>DOYLE DEVEL. EXP.</t>
  </si>
  <si>
    <t>00000JR80-10006{</t>
  </si>
  <si>
    <t>Doyle Refund</t>
  </si>
  <si>
    <t xml:space="preserve">      TAB050006G</t>
  </si>
  <si>
    <t>ACCRUE 2/00 NEPCO</t>
  </si>
  <si>
    <t>00000JR79-10006{</t>
  </si>
  <si>
    <t>Walton-A.Wu</t>
  </si>
  <si>
    <t>00000JR61-10006{</t>
  </si>
  <si>
    <t xml:space="preserve">      AWU010005I</t>
  </si>
  <si>
    <t xml:space="preserve">      AWU040006F</t>
  </si>
  <si>
    <t>LEC BURNER-POWER SPA</t>
  </si>
  <si>
    <t xml:space="preserve">       EXP022200</t>
  </si>
  <si>
    <t>DEVELOPMENT</t>
  </si>
  <si>
    <t>3/1/2000</t>
  </si>
  <si>
    <t>LUKA TRANSP</t>
  </si>
  <si>
    <t xml:space="preserve">  PRJ-00-0053-MS</t>
  </si>
  <si>
    <t>DOYLE REFURB TRANSP</t>
  </si>
  <si>
    <t xml:space="preserve">       I-1056-00</t>
  </si>
  <si>
    <t>NEW ALBANY</t>
  </si>
  <si>
    <t xml:space="preserve">  PRJ-00-0060-MS</t>
  </si>
  <si>
    <t xml:space="preserve">  PRJ-00-0059-MS</t>
  </si>
  <si>
    <t xml:space="preserve">       I-1058-00</t>
  </si>
  <si>
    <t>PROJECT EXPENSES</t>
  </si>
  <si>
    <t xml:space="preserve">       I-1054-00</t>
  </si>
  <si>
    <t xml:space="preserve">     RTA02072000</t>
  </si>
  <si>
    <t xml:space="preserve">       I-1063-00</t>
  </si>
  <si>
    <t xml:space="preserve">       I-1062-00</t>
  </si>
  <si>
    <t xml:space="preserve">       I-1057-00</t>
  </si>
  <si>
    <t xml:space="preserve">       I-1061-00</t>
  </si>
  <si>
    <t xml:space="preserve">       I-1060-00</t>
  </si>
  <si>
    <t>030723000250009A</t>
  </si>
  <si>
    <t xml:space="preserve">       EXP022500</t>
  </si>
  <si>
    <t>MEALS-TRVL-GA-HOU</t>
  </si>
  <si>
    <t>06/30/2000</t>
  </si>
  <si>
    <t>Power Systems MFG</t>
  </si>
  <si>
    <t>GLC</t>
  </si>
  <si>
    <t>Secretary of State</t>
  </si>
  <si>
    <t>In Place Machining</t>
  </si>
  <si>
    <t xml:space="preserve">RTA Engineering </t>
  </si>
  <si>
    <t>Elliott On-Site Service</t>
  </si>
  <si>
    <t>Refurb unit 3 bearing work</t>
  </si>
  <si>
    <t>Refurb unit 3 repair</t>
  </si>
  <si>
    <t>O &amp; M Spare Parts</t>
  </si>
  <si>
    <t>ABB Transformer</t>
  </si>
  <si>
    <t>EECC Construction Management</t>
  </si>
  <si>
    <t>May Lump Sum Portion</t>
  </si>
  <si>
    <t>Jun Lump Sum Portion</t>
  </si>
  <si>
    <t>March Lump Sum Portion</t>
  </si>
  <si>
    <t>Jun Payment</t>
  </si>
  <si>
    <t>March Payment</t>
  </si>
  <si>
    <t>PSSPC on site work</t>
  </si>
  <si>
    <t>ENA Contract Management</t>
  </si>
  <si>
    <t>Sale Tax on Transformer</t>
  </si>
  <si>
    <t>INTERCONNECT</t>
  </si>
  <si>
    <t>APPLIED ENGINEERING CORP.</t>
  </si>
  <si>
    <t xml:space="preserve">        WT102299</t>
  </si>
  <si>
    <t>REWIRE</t>
  </si>
  <si>
    <t>2ND MILESTONE PMT</t>
  </si>
  <si>
    <t>HOIST &amp; CRANE SERVICE GROUP</t>
  </si>
  <si>
    <t>Variance of Current Period*</t>
  </si>
  <si>
    <t>TURBINE REFURBISHM'T</t>
  </si>
  <si>
    <t>LETTER AGREEMENT</t>
  </si>
  <si>
    <t>LUKA BLDG PREP</t>
  </si>
  <si>
    <t>THE SALVAGE ASSOC. LIMITED</t>
  </si>
  <si>
    <t>INS MOVING REFURB</t>
  </si>
  <si>
    <t xml:space="preserve">      HOU-99-296</t>
  </si>
  <si>
    <t>Transformer/Switchyard Equipments</t>
  </si>
  <si>
    <t>REIMBURSEMENT FROM DOYLE FOR SEWER LINE</t>
  </si>
  <si>
    <t>Bracewell &amp; Patterson</t>
  </si>
  <si>
    <t xml:space="preserve">Reimbursement from OPC </t>
  </si>
  <si>
    <t xml:space="preserve">        N01G4942</t>
  </si>
  <si>
    <t>OCT TURBINE</t>
  </si>
  <si>
    <t xml:space="preserve">     SPEARS MIKE</t>
  </si>
  <si>
    <t>IUKA SITE PREP</t>
  </si>
  <si>
    <t xml:space="preserve">      HOU-99-289</t>
  </si>
  <si>
    <t>POWER SYSTEMS MFG., LLC</t>
  </si>
  <si>
    <t>SPEARS MIKENELSO</t>
  </si>
  <si>
    <t xml:space="preserve">      TAB059930H</t>
  </si>
  <si>
    <t>ACCRUE 9/99 NEPCO</t>
  </si>
  <si>
    <t xml:space="preserve">      HOU-99-297</t>
  </si>
  <si>
    <t xml:space="preserve">      HOU-99-295</t>
  </si>
  <si>
    <t xml:space="preserve">      HOU-99-274</t>
  </si>
  <si>
    <t xml:space="preserve">      HOU-99-273</t>
  </si>
  <si>
    <t xml:space="preserve">       1-1018-99</t>
  </si>
  <si>
    <t>NOZZLE</t>
  </si>
  <si>
    <t xml:space="preserve">       I-1013-99</t>
  </si>
  <si>
    <t>GE ROTOR-TEST/INSPCT</t>
  </si>
  <si>
    <t xml:space="preserve">       I-1025-99</t>
  </si>
  <si>
    <t>2ND,3RD STAGE SHROUD</t>
  </si>
  <si>
    <t xml:space="preserve">       I-1019-99</t>
  </si>
  <si>
    <t xml:space="preserve">      HOU-99-275</t>
  </si>
  <si>
    <t xml:space="preserve">       EXP100899</t>
  </si>
  <si>
    <t>MEX-CUSTOMER OUTING</t>
  </si>
  <si>
    <t>GOLF OUTING</t>
  </si>
  <si>
    <t xml:space="preserve">        W.O.7997</t>
  </si>
  <si>
    <t>INST</t>
  </si>
  <si>
    <t xml:space="preserve">        WT110599</t>
  </si>
  <si>
    <t>OUTSIDE LEGAL</t>
  </si>
  <si>
    <t xml:space="preserve">        N01G5204</t>
  </si>
  <si>
    <t xml:space="preserve">        SA990004</t>
  </si>
  <si>
    <t>REFURB LEASE</t>
  </si>
  <si>
    <t xml:space="preserve">       I-1028-99</t>
  </si>
  <si>
    <t>MATERIALS</t>
  </si>
  <si>
    <t>OVHD</t>
  </si>
  <si>
    <t>TRAVEL EXP</t>
  </si>
  <si>
    <t>a) Duplicate entry corrected in November</t>
  </si>
  <si>
    <t xml:space="preserve">        WT113099</t>
  </si>
  <si>
    <t>PMF 903 11/15</t>
  </si>
  <si>
    <t>NATIONAL ENERGY PRODUCTION</t>
  </si>
  <si>
    <t>99001R 09/20</t>
  </si>
  <si>
    <t>PERMITTING FEE</t>
  </si>
  <si>
    <t>TURBINECONSULTANT</t>
  </si>
  <si>
    <t>PMF 902 11/03</t>
  </si>
  <si>
    <t>990011 9/20</t>
  </si>
  <si>
    <t>99002R 10/15</t>
  </si>
  <si>
    <t>99002L- 10/15</t>
  </si>
  <si>
    <t>PMF905 11/03</t>
  </si>
  <si>
    <t>PMF 904 11/3</t>
  </si>
  <si>
    <t>INV. 003132</t>
  </si>
  <si>
    <t>07/31/2000</t>
  </si>
  <si>
    <t xml:space="preserve">Doyle Extras provided by Tampa Armature Works as agreed to in the settlement agreement </t>
  </si>
  <si>
    <t>dated June 20, 2000</t>
  </si>
  <si>
    <t>Power Systems  SPC</t>
  </si>
  <si>
    <t>H &amp; M Turbine compartment work</t>
  </si>
  <si>
    <t>H &amp; M Exhaust system</t>
  </si>
  <si>
    <t>Refurbish Waterwash system</t>
  </si>
  <si>
    <t>Unit 1 repair parts</t>
  </si>
  <si>
    <t>Remaining Payment for Milestone 7</t>
  </si>
  <si>
    <t>Doyle: TTS : TD of I</t>
  </si>
  <si>
    <t>Unit 1 Repairs</t>
  </si>
  <si>
    <t>Refurbishment Turbine Work</t>
  </si>
  <si>
    <t>Refurb TD of I : PSSPC</t>
  </si>
  <si>
    <t>Refurbish Turbine Construction</t>
  </si>
  <si>
    <t>Refurbish Turbine Parts</t>
  </si>
  <si>
    <t>ENA Project Oversight</t>
  </si>
  <si>
    <t>ENA Construction Oversight</t>
  </si>
  <si>
    <t>Theresa Vos</t>
  </si>
  <si>
    <t xml:space="preserve">Walton EMC </t>
  </si>
  <si>
    <t>IDC to ENA</t>
  </si>
  <si>
    <t>IDC for June</t>
  </si>
  <si>
    <t>Allan Wu</t>
  </si>
  <si>
    <t>Development Expenses</t>
  </si>
  <si>
    <t>Short Payment for fix overhead</t>
  </si>
  <si>
    <t>July, 2000</t>
  </si>
  <si>
    <t>Turbine Refurbishment Invoice Detail by Month</t>
  </si>
  <si>
    <t>AJ Mechanical, INC.</t>
  </si>
  <si>
    <t>Zero out in July</t>
  </si>
  <si>
    <t>Turbine Air Intake Syetem Cost Reclassed from New Albany to Doyle</t>
  </si>
  <si>
    <t>IBC Turbo INC</t>
  </si>
  <si>
    <t>Compressor for Doyle</t>
  </si>
  <si>
    <t>Warehouse Security</t>
  </si>
  <si>
    <t>Warehouse Lease Rent</t>
  </si>
  <si>
    <t>7% IBC Turbo Miscellaneous Expenses Fee</t>
  </si>
  <si>
    <t>7% IBC Turbo Fee for the Compressor work in May</t>
  </si>
  <si>
    <t>Zero Out in July</t>
  </si>
  <si>
    <t>Zero out with June</t>
  </si>
  <si>
    <t>IBC Turbo. INC</t>
  </si>
  <si>
    <t>For Work done by AJ Mechanical</t>
  </si>
  <si>
    <t>Zero out</t>
  </si>
  <si>
    <t>Rcls Turbine</t>
  </si>
  <si>
    <t>Reimburse IBC for warehouse activities</t>
  </si>
  <si>
    <t>Doyle Refurbish: Refund for overpaid</t>
  </si>
  <si>
    <t>Benchmark Transportion</t>
  </si>
  <si>
    <t>3/31/00</t>
  </si>
  <si>
    <t># 6 Payment for TTS Refurbishment contract</t>
  </si>
  <si>
    <t>Write off of Loss in September 00</t>
  </si>
  <si>
    <t>Net Income (Loss)</t>
  </si>
  <si>
    <t>Total Project to Date Refurb Cost</t>
  </si>
  <si>
    <t>AJ Mechanical, INC. Total</t>
  </si>
  <si>
    <t>Applied Engineering Total</t>
  </si>
  <si>
    <t>Banchmark Transpotation Total</t>
  </si>
  <si>
    <t>H &amp; M Industrial Service Total</t>
  </si>
  <si>
    <t>Hoist &amp; Crane Service GroupVI (HCSG) Total</t>
  </si>
  <si>
    <t>Journal Entry Total</t>
  </si>
  <si>
    <t>Mike Nelson Total</t>
  </si>
  <si>
    <t>Mississippi Major Impact Authority Total</t>
  </si>
  <si>
    <t>Power Spares Total</t>
  </si>
  <si>
    <t>Riviera Finance Total</t>
  </si>
  <si>
    <t>The Salvage Association Total</t>
  </si>
  <si>
    <t>Tishomingo Railroad Total</t>
  </si>
  <si>
    <t>Grand Total</t>
  </si>
  <si>
    <t>IUKA Equipment Inventory --Consignment Fee</t>
  </si>
  <si>
    <t>Doyle Refurbish</t>
  </si>
  <si>
    <t>102999 10/31/99</t>
  </si>
  <si>
    <t>102899 11/30/99</t>
  </si>
  <si>
    <t>102199 11/8</t>
  </si>
  <si>
    <t xml:space="preserve">      TAB129934{</t>
  </si>
  <si>
    <t>RCLSS SPARE PARTS-NA</t>
  </si>
  <si>
    <t xml:space="preserve">       AW019934{</t>
  </si>
  <si>
    <t xml:space="preserve">       AWU29934{</t>
  </si>
  <si>
    <t xml:space="preserve">        N01G5098</t>
  </si>
  <si>
    <t>NOV TURBINE</t>
  </si>
  <si>
    <t xml:space="preserve">         100453A</t>
  </si>
  <si>
    <t>REFUR</t>
  </si>
  <si>
    <t>110422000289933D</t>
  </si>
  <si>
    <t xml:space="preserve">       EXP110399</t>
  </si>
  <si>
    <t xml:space="preserve">       EXP110999</t>
  </si>
  <si>
    <t>YTRVL/HOU-EASTORGINA</t>
  </si>
  <si>
    <t xml:space="preserve">       EXP110899</t>
  </si>
  <si>
    <t>Environmental Con</t>
  </si>
  <si>
    <t>Power Systems SPC</t>
  </si>
  <si>
    <t>Move LEC Burners' extra parts to Power Spares Inventory</t>
  </si>
  <si>
    <t>John L. Wortham &amp; Son</t>
  </si>
  <si>
    <t>Insurance for IUKA Turbine Transport</t>
  </si>
  <si>
    <t>Doyle Refurbishment - Pass Through Payment to Tampa Armature Work Scope -2</t>
  </si>
  <si>
    <t xml:space="preserve">Doyle Refurbishment- PSSPC Parts- Remanufacture 2 sets of Buss Duct </t>
  </si>
  <si>
    <t>Doyle Permitting Fee</t>
  </si>
  <si>
    <t>Project Management Time and Expenses- November 1999</t>
  </si>
  <si>
    <t>Reimbursement of additional Pensacola facility charges</t>
  </si>
  <si>
    <t>Pass-through payment to H&amp;M- Milestone Payment #1</t>
  </si>
  <si>
    <t>Project Management fee- November 1999</t>
  </si>
  <si>
    <t>Pass-through payment to H&amp;M- For total Intel work without installation</t>
  </si>
  <si>
    <t>Power Spares, Inc</t>
  </si>
  <si>
    <t>Monthly Consignment Fee Pursuant to consignment agreement dated Feb 17, 1999</t>
  </si>
  <si>
    <t xml:space="preserve">Expense Reimbrusement billing for October 1999 </t>
  </si>
  <si>
    <t>H &amp; M Industrial Services, Inc</t>
  </si>
  <si>
    <t>Install metal siding on turbine building</t>
  </si>
  <si>
    <t>Clean-up &amp; Electrical of turbine building IUKA facility</t>
  </si>
  <si>
    <t>National Energy Production Corp (NEPCO)</t>
  </si>
  <si>
    <t>Reimbursable portion of the work completed for August</t>
  </si>
  <si>
    <t>Reimbursable portion of the work completed for September</t>
  </si>
  <si>
    <t>Fixed Lump sum portion of the work completed for August</t>
  </si>
  <si>
    <t>Fixed Lump sum portion of the work completed for September</t>
  </si>
  <si>
    <t>November,1999</t>
  </si>
  <si>
    <t>Journal Entry</t>
  </si>
  <si>
    <t>IDC to ENA for November</t>
  </si>
  <si>
    <t>Reclass Benchmark Invoice from Project 2000 to Doyle</t>
  </si>
  <si>
    <t>Transfer Power Spares Inventory to Doyle</t>
  </si>
  <si>
    <t>est.</t>
  </si>
  <si>
    <t>2000 +</t>
  </si>
  <si>
    <t>July</t>
  </si>
  <si>
    <t>Sept</t>
  </si>
  <si>
    <t>12/31/99</t>
  </si>
  <si>
    <t>Dow unit Refurbishment</t>
  </si>
  <si>
    <t>VW turbine Refurbishment</t>
  </si>
  <si>
    <t>Inlets &amp; Exhausts</t>
  </si>
  <si>
    <t>Turbine-TAW Generator Refurbishment</t>
  </si>
  <si>
    <t>Byran Garrett</t>
  </si>
  <si>
    <t xml:space="preserve">GLC Consulting </t>
  </si>
  <si>
    <t>GLC consulting</t>
  </si>
  <si>
    <t>Enron Engineering &amp; Construction</t>
  </si>
  <si>
    <t>Support to develop engineering in June, 1998</t>
  </si>
  <si>
    <t>Support to develop engineering in July and August, 1998</t>
  </si>
  <si>
    <t>Support to develop engineering in February, 1999</t>
  </si>
  <si>
    <t>Support to develop engineering in Sep through November, 1998</t>
  </si>
  <si>
    <t>Support to develop engineering in December, 1998</t>
  </si>
  <si>
    <t>Duplicate Payments not reversed</t>
  </si>
  <si>
    <t>C.008015</t>
  </si>
  <si>
    <t>Support to develop engineering in March, 1999</t>
  </si>
  <si>
    <t>Support to develop engineering in April, 1999</t>
  </si>
  <si>
    <t>Support to develop engineering in May, 1999</t>
  </si>
  <si>
    <t>Support to develop engineering in June and July, 1999</t>
  </si>
  <si>
    <t>Support to develop engineering in August, 1999</t>
  </si>
  <si>
    <t>Lease Payment</t>
  </si>
  <si>
    <t>Change Orders</t>
  </si>
  <si>
    <t>Productivity Savings</t>
  </si>
  <si>
    <t>REIMBURSEMENT OF MOBILIZATION OF O&amp;M</t>
  </si>
  <si>
    <t>REIMBURSEMENT FROM OPC/GTC</t>
  </si>
  <si>
    <t>TRANSFORMER / SWITCHYARD</t>
  </si>
  <si>
    <t>PURCHASE OF NEIGHBOR LAND</t>
  </si>
  <si>
    <t>Coffer Walter</t>
  </si>
  <si>
    <t>Sewell Robert D</t>
  </si>
  <si>
    <t xml:space="preserve">       AWU29934A</t>
  </si>
  <si>
    <t xml:space="preserve">       I-1023-99</t>
  </si>
  <si>
    <t xml:space="preserve">       EXP120699</t>
  </si>
  <si>
    <t>MEALS-TIPS-TRVL-GA</t>
  </si>
  <si>
    <t xml:space="preserve">       EXP112399</t>
  </si>
  <si>
    <t>TRVL-HOU-GA</t>
  </si>
  <si>
    <t>GLC CONSULTING</t>
  </si>
  <si>
    <t>ENRON ENGINEERING &amp;</t>
  </si>
  <si>
    <t xml:space="preserve">        WT120899</t>
  </si>
  <si>
    <t>J8T651-0299-04/01/99</t>
  </si>
  <si>
    <t>J8T651-0399-05/07/99</t>
  </si>
  <si>
    <t>J8T651-1298-01/25/99</t>
  </si>
  <si>
    <t>8JT651-698-8/3/98</t>
  </si>
  <si>
    <t>J87651-1198-12/10/98</t>
  </si>
  <si>
    <t>J8T651-0599-06/15/99</t>
  </si>
  <si>
    <t>J8T651-0699-06/15/99</t>
  </si>
  <si>
    <t>J8T651-0899-09/21/99</t>
  </si>
  <si>
    <t>J8T651-898A-11/16/98</t>
  </si>
  <si>
    <t>J8T651-0499-06/02/99</t>
  </si>
  <si>
    <t xml:space="preserve">          MILLER</t>
  </si>
  <si>
    <t>LEASE PYMT</t>
  </si>
  <si>
    <t>SEWELL,ROBERT D</t>
  </si>
  <si>
    <t xml:space="preserve">       EXP112499</t>
  </si>
  <si>
    <t>TRVL/TN-GLEASONGROUN</t>
  </si>
  <si>
    <t xml:space="preserve">       EXP120199</t>
  </si>
  <si>
    <t>Mississippi Major Impact Authority</t>
  </si>
  <si>
    <t>Equipment &amp; Small Tools</t>
  </si>
  <si>
    <t>Field Staff</t>
  </si>
  <si>
    <t>Temp Facilities &amp; Indirect Support</t>
  </si>
  <si>
    <t>Indirect Supplies</t>
  </si>
  <si>
    <t>Payroll Burdens</t>
  </si>
  <si>
    <t>HO Project Management Support</t>
  </si>
  <si>
    <t>Business Expenses</t>
  </si>
  <si>
    <t>Field Non-Productive Labor</t>
  </si>
  <si>
    <t>Indirect Engineering Labor</t>
  </si>
  <si>
    <t>Direct Project Engineering</t>
  </si>
  <si>
    <t>Freight &amp; Taxes</t>
  </si>
  <si>
    <t>Vendor Reps</t>
  </si>
  <si>
    <t>Contingency</t>
  </si>
  <si>
    <t>Pipe, Valves, Specialties &amp; Hangers</t>
  </si>
  <si>
    <t>Conduit, Tray &amp; Wire **</t>
  </si>
  <si>
    <t>Bus Duct</t>
  </si>
  <si>
    <t>Dry Transformers &amp; Panels (net 30)</t>
  </si>
  <si>
    <t>Oil Filled Transformers (10%-90%)</t>
  </si>
  <si>
    <t>Motor Control Center</t>
  </si>
  <si>
    <t>Switchgear 5KV,480V</t>
  </si>
  <si>
    <t>Control Panels &amp; Termination Box</t>
  </si>
  <si>
    <t>Electrical Devices</t>
  </si>
  <si>
    <t>Light Pole &amp; Light Fixtures</t>
  </si>
  <si>
    <t>Electric Heat Trace &amp; Test</t>
  </si>
  <si>
    <t>Special Systems</t>
  </si>
  <si>
    <t>Field Mounted Instruments</t>
  </si>
  <si>
    <t>Stack Monitoring (10% RD, 80% RE, 10%)</t>
  </si>
  <si>
    <t>Control Valves &amp; Miscellaneous Equipment</t>
  </si>
  <si>
    <t>Tubing, Tray &amp; Mounts</t>
  </si>
  <si>
    <t xml:space="preserve">Pumps </t>
  </si>
  <si>
    <t>Aux. Equipment (90% 10%) 940120</t>
  </si>
  <si>
    <t>Fuel Gas Filter NET 30</t>
  </si>
  <si>
    <t>Pressure Reduce Station(AD10%, HT40%,S 40%, 10%)</t>
  </si>
  <si>
    <t>Minor Skid Mounted Systems</t>
  </si>
  <si>
    <t>Tanks-Non Pressurized</t>
  </si>
  <si>
    <t>Site Preparation/Improvement</t>
  </si>
  <si>
    <t>Labor</t>
  </si>
  <si>
    <t>Material</t>
  </si>
  <si>
    <t>Subcontract</t>
  </si>
  <si>
    <t>Underground Piping</t>
  </si>
  <si>
    <t>Concrete</t>
  </si>
  <si>
    <t>Special Concrete</t>
  </si>
  <si>
    <t>Structural Steel</t>
  </si>
  <si>
    <t>Architectural</t>
  </si>
  <si>
    <t>Buildings</t>
  </si>
  <si>
    <t>Aboveground Piping</t>
  </si>
  <si>
    <t>Aboveground Electrical</t>
  </si>
  <si>
    <t>Instrumentation</t>
  </si>
  <si>
    <t>Insulation &amp; Paint</t>
  </si>
  <si>
    <t>Subcomtract</t>
  </si>
  <si>
    <t>Mechanical Equipment</t>
  </si>
  <si>
    <t>Substation/Switchyard</t>
  </si>
  <si>
    <t>Plant Startup</t>
  </si>
  <si>
    <t xml:space="preserve">    Transformers / Switchyard Expenses</t>
  </si>
  <si>
    <t xml:space="preserve">  Engineering / General Provisions / Start-Up</t>
  </si>
  <si>
    <t xml:space="preserve">   Procurement</t>
  </si>
  <si>
    <t xml:space="preserve">  Site Preparation/Improvement</t>
  </si>
  <si>
    <t xml:space="preserve">   Underground Electrical</t>
  </si>
  <si>
    <t>Subtotal Engineering / General Provisions/ Start -up</t>
  </si>
  <si>
    <t>Subtotal Procurement</t>
  </si>
  <si>
    <t>Subtotal Site Preparation/Improvement</t>
  </si>
  <si>
    <t>Subtotal Underground Electrical</t>
  </si>
  <si>
    <t>Subtotal Underground Piping</t>
  </si>
  <si>
    <t>Subtotal Concrete</t>
  </si>
  <si>
    <t>Subtotal Structure Steel</t>
  </si>
  <si>
    <t>Subtotal Aboveground Piping</t>
  </si>
  <si>
    <t>Subtotal Aboveground Electrical</t>
  </si>
  <si>
    <t>Subtotal Insulation &amp; Paint</t>
  </si>
  <si>
    <t>Subtotal Mechanical Equipment</t>
  </si>
  <si>
    <t>Subtotal Plant Startup</t>
  </si>
  <si>
    <t>Overhead Lump Sum</t>
  </si>
  <si>
    <t>Fee</t>
  </si>
  <si>
    <t>Doyle Refurbish- LEC Installation - Doyle Project (75% of $600,000)</t>
  </si>
  <si>
    <t>Doyle Refurbish- 10% of second LEC order as quoted on February 8th, 1999</t>
  </si>
  <si>
    <t>Doyle Refurbish- Repair Bearing s on YW 90 and YW 91</t>
  </si>
  <si>
    <t>Doyle Refurbish- Evap coolers- Pass through payment to Caldwell Energy Milestone1</t>
  </si>
  <si>
    <t>Turbine Technology Service</t>
  </si>
  <si>
    <t>Doyle Refurbish- TTS Contract November payment</t>
  </si>
  <si>
    <t>Doyle Refurbish- TTS Contract December Payment</t>
  </si>
  <si>
    <t>Cumpton &amp; Associates, LLP</t>
  </si>
  <si>
    <t>Walton Tribune</t>
  </si>
  <si>
    <t>EECC Refurbish Oversight</t>
  </si>
  <si>
    <t>OPC Switchyard Engineering</t>
  </si>
  <si>
    <t>Doyle - Development Expenses</t>
  </si>
  <si>
    <t xml:space="preserve">       I-1068-00</t>
  </si>
  <si>
    <t>INV 41</t>
  </si>
  <si>
    <t>DOYLE TTS</t>
  </si>
  <si>
    <t xml:space="preserve">      I-1052-00A</t>
  </si>
  <si>
    <t>BAL DUE FROM PREVBAL</t>
  </si>
  <si>
    <t xml:space="preserve">       I-1070-00</t>
  </si>
  <si>
    <t>DOYLE PSSPC</t>
  </si>
  <si>
    <t xml:space="preserve">       I-1064-00</t>
  </si>
  <si>
    <t xml:space="preserve">       I-1066-00</t>
  </si>
  <si>
    <t xml:space="preserve">       I-1067-00</t>
  </si>
  <si>
    <t>OPER</t>
  </si>
  <si>
    <t xml:space="preserve">        N01G5668</t>
  </si>
  <si>
    <t>DOYLE PERMITTING FEE</t>
  </si>
  <si>
    <t>ENVR</t>
  </si>
  <si>
    <t>COMPTON &amp; ASSOCIATES,LLP</t>
  </si>
  <si>
    <t>DOYLE DEVELOPMENT EX</t>
  </si>
  <si>
    <t>0000JR150-10009A</t>
  </si>
  <si>
    <t xml:space="preserve">       EXP031000</t>
  </si>
  <si>
    <t>CHANGE FEE</t>
  </si>
  <si>
    <t>CAB FARE</t>
  </si>
  <si>
    <t>National Energy Production Corp</t>
  </si>
  <si>
    <t>Doyle Construction - Cost Reimbursement for November</t>
  </si>
  <si>
    <t>Doyle Construction - October and November fixed overhead charges</t>
  </si>
  <si>
    <t>EECC Construction Overhead</t>
  </si>
  <si>
    <t>EECC Development Cost</t>
  </si>
  <si>
    <t>EECC Doyle Substation Cost-- Engineering support in August through October</t>
  </si>
  <si>
    <t>Enron International Asset Management</t>
  </si>
  <si>
    <t>Doyle Development Expense</t>
  </si>
  <si>
    <t>Doyle - OPC substation</t>
  </si>
  <si>
    <t>Doyle- Legal</t>
  </si>
  <si>
    <t>Benchmark Transportion Services</t>
  </si>
  <si>
    <t>Transport turbine from IUKA to Sanford</t>
  </si>
  <si>
    <t>Transport parts to Tampa Armature</t>
  </si>
  <si>
    <t>Tarped Flated load from Power Systems to Tampa Armature</t>
  </si>
  <si>
    <t xml:space="preserve">2 Trucks EX Turbine Technology to Nepco Carrying 1 exciter Cabinet and 1 control module </t>
  </si>
  <si>
    <t xml:space="preserve">3 Trucks EX Turbine Technology to Nepco Carrying 1 exciter Cabinet and 1 control module </t>
  </si>
  <si>
    <t>Kilpatrick Stockton</t>
  </si>
  <si>
    <t>Doyle - Legal</t>
  </si>
  <si>
    <t>EECC Fixed Overhead for Turbine Refurbishment</t>
  </si>
  <si>
    <t>Difference between NEPCO Billing and Actual Cost</t>
  </si>
  <si>
    <t>December, 1999</t>
  </si>
  <si>
    <t xml:space="preserve">OPC Substation Cost in Doyle Budget </t>
  </si>
  <si>
    <t xml:space="preserve">        WT121499</t>
  </si>
  <si>
    <t>DOYLE PROJECT</t>
  </si>
  <si>
    <t xml:space="preserve">         1024-99</t>
  </si>
  <si>
    <t xml:space="preserve">          99003L</t>
  </si>
  <si>
    <t xml:space="preserve">        S9P732-1</t>
  </si>
  <si>
    <t>ENGR</t>
  </si>
  <si>
    <t xml:space="preserve">   PRJ99-0004-MS</t>
  </si>
  <si>
    <t>LEGAL</t>
  </si>
  <si>
    <t>LEGAL DOYLE</t>
  </si>
  <si>
    <t xml:space="preserve">         MP99278</t>
  </si>
  <si>
    <t>OPC SUBSTATION</t>
  </si>
  <si>
    <t xml:space="preserve">      K051771099</t>
  </si>
  <si>
    <t>DOYLE PRE MOBILIZATI</t>
  </si>
  <si>
    <t>DOYLE REFURB</t>
  </si>
  <si>
    <t>WATR</t>
  </si>
  <si>
    <t xml:space="preserve">       EXP121699</t>
  </si>
  <si>
    <t>GA-PROJECT DOYLE</t>
  </si>
  <si>
    <t>ABB Power T&amp;D Company INC</t>
  </si>
  <si>
    <t>115KV Step-up Transformer</t>
  </si>
  <si>
    <t xml:space="preserve">Power System SPC </t>
  </si>
  <si>
    <t>Refurbishment Transportion</t>
  </si>
  <si>
    <t>Benchmark</t>
  </si>
  <si>
    <t>Project Management Fee - December 1999</t>
  </si>
  <si>
    <t>Project Management Time and Expense - November 1999</t>
  </si>
  <si>
    <t>Pass Through to H&amp;M Milestone Payment #4</t>
  </si>
  <si>
    <t>Pass Through Payment to Tampa Armature Works- Scope 1, Milestone Payment #2 &amp; #3.</t>
  </si>
  <si>
    <t>Riviera Finance</t>
  </si>
  <si>
    <t xml:space="preserve">Payment for December 1, 1999 under Agreement for Two Electirc 7EA Model Turb. </t>
  </si>
  <si>
    <t xml:space="preserve">Enron Engineering </t>
  </si>
  <si>
    <t>Refurbishment Engineering- EECC Refurbishment Oversight</t>
  </si>
  <si>
    <t>Environmental Consulting &amp; Technology</t>
  </si>
  <si>
    <t>Clay Spears</t>
  </si>
  <si>
    <t>Trvl/Houston-Doyle Project</t>
  </si>
  <si>
    <t>9/30/1998</t>
  </si>
  <si>
    <t>11/30/1998</t>
  </si>
  <si>
    <t>12/30/1998</t>
  </si>
  <si>
    <t>12/31/1998</t>
  </si>
  <si>
    <t>1/31/1999</t>
  </si>
  <si>
    <t>2/28/1999</t>
  </si>
  <si>
    <t>3/31/1999</t>
  </si>
  <si>
    <t>4/30/1999</t>
  </si>
  <si>
    <t>5/30/1999</t>
  </si>
  <si>
    <t>5/31/1999</t>
  </si>
  <si>
    <t>6/30/1999</t>
  </si>
  <si>
    <t>7/30/1999</t>
  </si>
  <si>
    <t>7/31/1999</t>
  </si>
  <si>
    <t>8/31/1999</t>
  </si>
  <si>
    <t>9/30/1999</t>
  </si>
  <si>
    <t>10/31/1999</t>
  </si>
  <si>
    <t>11/1/1999</t>
  </si>
  <si>
    <t>11/30/1999</t>
  </si>
  <si>
    <t>12/1/1999</t>
  </si>
  <si>
    <t xml:space="preserve">       S9P733-01</t>
  </si>
  <si>
    <t>RIVIERA FINANCE</t>
  </si>
  <si>
    <t xml:space="preserve">             ENA</t>
  </si>
  <si>
    <t>12/30/1999</t>
  </si>
  <si>
    <t>12/31/1999</t>
  </si>
  <si>
    <t xml:space="preserve">     GARCIA 1299</t>
  </si>
  <si>
    <t>1-1026-99  12/09/99</t>
  </si>
  <si>
    <t>PMF-907 12/10/99</t>
  </si>
  <si>
    <t>1-1031-99  12/10/99</t>
  </si>
  <si>
    <t xml:space="preserve">   GARCIA 122399</t>
  </si>
  <si>
    <t>INV#PRJ-99-0004-MS</t>
  </si>
  <si>
    <t>REFURBISHMENT TRANSP</t>
  </si>
  <si>
    <t xml:space="preserve">     PRJ-99-0015</t>
  </si>
  <si>
    <t>INV#965282-10/14/99</t>
  </si>
  <si>
    <t>INV#965301-10/21/99</t>
  </si>
  <si>
    <t>INV#965334-10/27/99</t>
  </si>
  <si>
    <t>INV#965341-10/28/99</t>
  </si>
  <si>
    <t>EPPERSON TRUCKING INC</t>
  </si>
  <si>
    <t>REFURBISHM'T/TRANSP</t>
  </si>
  <si>
    <t>PMF-906 12/15/99</t>
  </si>
  <si>
    <t xml:space="preserve">         MP99298</t>
  </si>
  <si>
    <t>ABB TRANSFORMER SETU</t>
  </si>
  <si>
    <t xml:space="preserve">       EXP121099</t>
  </si>
  <si>
    <t>TRVL/HOU-DOYLEPROJ</t>
  </si>
  <si>
    <t>ENA  PDA --  Contract Amount</t>
  </si>
  <si>
    <t>EI  Hourly Billing</t>
  </si>
  <si>
    <t>TOTAL MOBILIZATION OF O&amp;M</t>
  </si>
  <si>
    <t>INTEREST DURING CONSTRUCTION TO WALTON</t>
  </si>
  <si>
    <t>OPC - SUBSTATION REIMBURSEMENT</t>
  </si>
  <si>
    <t xml:space="preserve">TOTAL DOYLE -- ENA </t>
  </si>
  <si>
    <t xml:space="preserve">ENA </t>
  </si>
  <si>
    <t>ENA</t>
  </si>
  <si>
    <t>TOTAL DOYLE -- ENA ( Net of Payment Received )</t>
  </si>
  <si>
    <t>CONSTRUCITON PROJECT MANAGEMENT</t>
  </si>
  <si>
    <t>REFURB PROJECT MANAGEMENT</t>
  </si>
  <si>
    <t>PRE NTP ENGINEERING</t>
  </si>
  <si>
    <t>FEES</t>
  </si>
  <si>
    <t>POWER TRANSFORMERS / OPC</t>
  </si>
  <si>
    <t>OPC REIMBURSEMENT FOR TRANSFORMERS</t>
  </si>
  <si>
    <t>Legal Expenses</t>
  </si>
  <si>
    <t>December Interest during Construcion</t>
  </si>
  <si>
    <t>Kilpatrick Stockton LLP</t>
  </si>
  <si>
    <t>Zisman Stuwart &amp; Tweed Sheila</t>
  </si>
  <si>
    <t>01/31/00</t>
  </si>
  <si>
    <t>H&amp;M Industrial Services, Inc</t>
  </si>
  <si>
    <t>Facility Work</t>
  </si>
  <si>
    <t>Inventory Control Personnel Total Cost of Work to Date</t>
  </si>
  <si>
    <t>Power System MFG</t>
  </si>
  <si>
    <t>Accrued Inventory Transfer</t>
  </si>
  <si>
    <t>March, 2000</t>
  </si>
  <si>
    <t>Doyle Refurbishment - HGP Parts Refurbish</t>
  </si>
  <si>
    <t>Power System SPC</t>
  </si>
  <si>
    <t>IUKA Facility</t>
  </si>
  <si>
    <t>TTS Technical Direction</t>
  </si>
  <si>
    <t>Equipment Inventory</t>
  </si>
  <si>
    <t>IUKA Inventory Labor</t>
  </si>
  <si>
    <t>Boyle Generator Rewind</t>
  </si>
  <si>
    <t>Doyle Refurbishment - Transportaion</t>
  </si>
  <si>
    <t>Two 7 EA Gas Turbine Generators Process Payment #9 of 10</t>
  </si>
  <si>
    <t>Benchmark Transportation Service</t>
  </si>
  <si>
    <t>as of 12/08/00</t>
  </si>
  <si>
    <t>b</t>
  </si>
  <si>
    <t>CONSTRUCTION PROJECT MANAGEMENT</t>
  </si>
  <si>
    <t>H&amp;M Turbine Refurbishment</t>
  </si>
  <si>
    <t>Turbine Refurbishment</t>
  </si>
  <si>
    <t>Doyle Refurbishment- TAW Accessory Refurbishment</t>
  </si>
  <si>
    <t>Doyle Refurbishment - Bleed Value Engineering</t>
  </si>
  <si>
    <t>Refurbishment--TTS Contract</t>
  </si>
  <si>
    <t>IUKA Equipment Inventory--Consignment Fee</t>
  </si>
  <si>
    <t>Brimhall Delivery Service</t>
  </si>
  <si>
    <t>Refurbishment--Transportation</t>
  </si>
  <si>
    <t>Land Purchase</t>
  </si>
  <si>
    <t>Construction Management Fee</t>
  </si>
  <si>
    <t>Refurb &amp; 7 EA Contract Management</t>
  </si>
  <si>
    <t>as of 12/31/99</t>
  </si>
  <si>
    <t xml:space="preserve">      TAB070000F</t>
  </si>
  <si>
    <t>ACCRUE 12/99 NEPCO</t>
  </si>
  <si>
    <t xml:space="preserve">       AWU10000H</t>
  </si>
  <si>
    <t xml:space="preserve">       KA020000F</t>
  </si>
  <si>
    <t>Reclass OPC Deposit to Doyle LLC's book (39W)</t>
  </si>
  <si>
    <t>3/31/2000</t>
  </si>
  <si>
    <t>Doyle Development Cost</t>
  </si>
  <si>
    <t>G.L.C. Consulting SE</t>
  </si>
  <si>
    <t>Benchmarks Transportation</t>
  </si>
  <si>
    <t>Pickup at Power Systems. IUKA, and deliver to Nepco- Tunnel Exhaust, Dampers, Vent Stacks</t>
  </si>
  <si>
    <t>Pickup at turbine tech and and deliver to Nepco Monroe- 2 control Cabinets and oversized freight</t>
  </si>
  <si>
    <t>Pickup at IUKA of 27 pieces and deliver to Nepco</t>
  </si>
  <si>
    <t>Doyle Refurbishment - PSSPC</t>
  </si>
  <si>
    <t>Power System SPC. INC</t>
  </si>
  <si>
    <t>Doyle Line #7 Expenses and Power Support</t>
  </si>
  <si>
    <t>Power System Mfg. LLC</t>
  </si>
  <si>
    <t>Doyle Refurbishment - Flow through purchase orders to Enron from Monrose Site</t>
  </si>
  <si>
    <t xml:space="preserve">  - PSSPC turbine Refurbishment</t>
  </si>
  <si>
    <t>Doyle Start - up  expenses</t>
  </si>
  <si>
    <t>Doyle Refurbishment - Pass through Payment to Caldwell Energy Milestone Payment 2</t>
  </si>
  <si>
    <t>Doyle Refurbishment -PSSPC Parts</t>
  </si>
  <si>
    <t>Doyle Refurbishment - PSSPC Management Expenses - Final Bill</t>
  </si>
  <si>
    <t xml:space="preserve">Doyle Refurbishment - PSSPC Management Expenses -December </t>
  </si>
  <si>
    <t>Iuka Freight - Kreider Transport</t>
  </si>
  <si>
    <t>H &amp; M Industrial Services, INC</t>
  </si>
  <si>
    <t>Doyle Refurbishment - H&amp;M Inlets-Transporting Rain Hoods for YW-90 and YW-91 from Jackson</t>
  </si>
  <si>
    <t>LEGAL EXPS/DOYLE</t>
  </si>
  <si>
    <t>TRAVEL EXPS/DOYLE</t>
  </si>
  <si>
    <t>1/1/2000</t>
  </si>
  <si>
    <t xml:space="preserve">         1029-99</t>
  </si>
  <si>
    <t>1032-99</t>
  </si>
  <si>
    <t>1030-99</t>
  </si>
  <si>
    <t xml:space="preserve">        WT011200</t>
  </si>
  <si>
    <t>1034-99</t>
  </si>
  <si>
    <t>REFURBISHMENT</t>
  </si>
  <si>
    <t>1-1041-00</t>
  </si>
  <si>
    <t>1029-99</t>
  </si>
  <si>
    <t>1033-99</t>
  </si>
  <si>
    <t>1-1040-99</t>
  </si>
  <si>
    <t>1-1028-99</t>
  </si>
  <si>
    <t>1-1038-99</t>
  </si>
  <si>
    <t xml:space="preserve">  PRJ-00-0037-MS</t>
  </si>
  <si>
    <t>PRJ-00-41-MS</t>
  </si>
  <si>
    <t xml:space="preserve">        WT010500</t>
  </si>
  <si>
    <t>PRJ-00-0043-MS</t>
  </si>
  <si>
    <t>Air Lique America</t>
  </si>
  <si>
    <t>Air Liquide Equity Purchase Payment</t>
  </si>
  <si>
    <t>PRJ-00-40-MS</t>
  </si>
  <si>
    <t>PRJ-00-0047</t>
  </si>
  <si>
    <t>PRJ-00-045-MS</t>
  </si>
  <si>
    <t>PRJ-00-0048-MS</t>
  </si>
  <si>
    <t>PRJ-00-0044-MS</t>
  </si>
  <si>
    <t>1-1042-00</t>
  </si>
  <si>
    <t>PRJ-00-0042-MS</t>
  </si>
  <si>
    <t>PRJ-00-0038-MS</t>
  </si>
  <si>
    <t>PRJ-00-0037-MS</t>
  </si>
  <si>
    <t xml:space="preserve">     PRJ-0027-MS</t>
  </si>
  <si>
    <t>PRJ-0026-MS</t>
  </si>
  <si>
    <t>PRJ-0027-MS</t>
  </si>
  <si>
    <t>PRJ-00-0045-MS</t>
  </si>
  <si>
    <t xml:space="preserve">        N01G5325</t>
  </si>
  <si>
    <t xml:space="preserve">       I-1034-99</t>
  </si>
  <si>
    <t>I-1035-99</t>
  </si>
  <si>
    <t>1-1039-99</t>
  </si>
  <si>
    <t>I-1034-99</t>
  </si>
  <si>
    <t>1/31/2000</t>
  </si>
  <si>
    <t>Doyle Refurbish- Refund for Overpaid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</si>
</sst>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3" formatCode="#,##0.0_);\(#,##0.0\)"/>
    <numFmt numFmtId="174" formatCode="m/d/yy\ h:mm\ AM/PM"/>
    <numFmt numFmtId="175" formatCode="&quot;$&quot;#,##0.00;\(&quot;$&quot;#,##0.00\)"/>
    <numFmt numFmtId="178" formatCode="_(* #,##0.00_);_(* \(#,##0.00\);_(* &quot;-&quot;_);_(@_)"/>
    <numFmt numFmtId="179" formatCode="m/d"/>
    <numFmt numFmtId="217" formatCode="dd\-mmm\-yy"/>
  </numFmts>
  <fonts count="56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b/>
      <sz val="10"/>
      <name val="Arial"/>
    </font>
    <font>
      <b/>
      <u/>
      <sz val="10"/>
      <name val="Arial"/>
    </font>
    <font>
      <sz val="10"/>
      <color indexed="12"/>
      <name val="Arial"/>
    </font>
    <font>
      <u/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  <family val="2"/>
    </font>
    <font>
      <b/>
      <sz val="10"/>
      <name val="Tahoma"/>
      <family val="2"/>
    </font>
    <font>
      <b/>
      <u/>
      <sz val="10"/>
      <name val="Tahoma"/>
      <family val="2"/>
    </font>
    <font>
      <sz val="10"/>
      <color indexed="12"/>
      <name val="Tahoma"/>
      <family val="2"/>
    </font>
    <font>
      <b/>
      <sz val="10"/>
      <color indexed="12"/>
      <name val="Tahoma"/>
      <family val="2"/>
    </font>
    <font>
      <sz val="10"/>
      <color indexed="10"/>
      <name val="Arial"/>
    </font>
    <font>
      <sz val="8"/>
      <name val="Tahoma"/>
      <family val="2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indexed="8"/>
      <name val="Times New Roman"/>
      <family val="1"/>
    </font>
    <font>
      <sz val="8"/>
      <color indexed="8"/>
      <name val="MS Sans Serif"/>
      <family val="2"/>
    </font>
    <font>
      <b/>
      <sz val="8"/>
      <color indexed="8"/>
      <name val="MS Sans Serif"/>
      <family val="2"/>
    </font>
    <font>
      <b/>
      <sz val="8"/>
      <color indexed="8"/>
      <name val="Times New Roman"/>
      <family val="1"/>
    </font>
    <font>
      <sz val="12"/>
      <name val="Helv"/>
    </font>
    <font>
      <sz val="12"/>
      <name val="SWISS"/>
    </font>
    <font>
      <b/>
      <sz val="11"/>
      <color indexed="12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color indexed="8"/>
      <name val="Arial"/>
      <family val="2"/>
    </font>
    <font>
      <b/>
      <sz val="11"/>
      <color indexed="56"/>
      <name val="Arial"/>
      <family val="2"/>
    </font>
    <font>
      <b/>
      <u/>
      <sz val="11"/>
      <color indexed="8"/>
      <name val="Arial"/>
      <family val="2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sz val="11"/>
      <color indexed="12"/>
      <name val="Arial"/>
      <family val="2"/>
    </font>
    <font>
      <b/>
      <sz val="9"/>
      <name val="Arial"/>
      <family val="2"/>
    </font>
    <font>
      <sz val="8"/>
      <color indexed="8"/>
      <name val="Times New Roman"/>
    </font>
    <font>
      <sz val="8"/>
      <name val="Arial"/>
    </font>
    <font>
      <sz val="8"/>
      <color indexed="8"/>
      <name val="MS Sans Serif"/>
    </font>
    <font>
      <sz val="8"/>
      <color indexed="81"/>
      <name val="Tahoma"/>
      <family val="2"/>
    </font>
    <font>
      <b/>
      <sz val="8"/>
      <name val="Arial"/>
      <family val="2"/>
    </font>
    <font>
      <sz val="9"/>
      <name val="Arial"/>
      <family val="2"/>
    </font>
    <font>
      <sz val="6"/>
      <color indexed="8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non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3" fontId="35" fillId="0" borderId="0"/>
    <xf numFmtId="0" fontId="28" fillId="0" borderId="0"/>
    <xf numFmtId="0" fontId="36" fillId="0" borderId="0"/>
    <xf numFmtId="173" fontId="35" fillId="0" borderId="0"/>
    <xf numFmtId="0" fontId="28" fillId="0" borderId="0"/>
    <xf numFmtId="9" fontId="1" fillId="0" borderId="0" applyFont="0" applyFill="0" applyBorder="0" applyAlignment="0" applyProtection="0"/>
  </cellStyleXfs>
  <cellXfs count="523">
    <xf numFmtId="0" fontId="0" fillId="0" borderId="0" xfId="0"/>
    <xf numFmtId="164" fontId="6" fillId="0" borderId="0" xfId="1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1" applyNumberFormat="1" applyFont="1"/>
    <xf numFmtId="0" fontId="5" fillId="0" borderId="0" xfId="0" applyFont="1" applyFill="1" applyBorder="1" applyAlignment="1">
      <alignment vertical="center"/>
    </xf>
    <xf numFmtId="164" fontId="5" fillId="0" borderId="0" xfId="0" applyNumberFormat="1" applyFont="1"/>
    <xf numFmtId="0" fontId="6" fillId="0" borderId="0" xfId="0" applyFont="1"/>
    <xf numFmtId="0" fontId="2" fillId="0" borderId="0" xfId="0" applyFont="1"/>
    <xf numFmtId="168" fontId="0" fillId="0" borderId="0" xfId="2" applyNumberFormat="1" applyFont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Fill="1"/>
    <xf numFmtId="164" fontId="4" fillId="0" borderId="0" xfId="1" applyNumberFormat="1" applyFont="1"/>
    <xf numFmtId="164" fontId="0" fillId="0" borderId="0" xfId="1" applyNumberFormat="1" applyFont="1"/>
    <xf numFmtId="164" fontId="0" fillId="0" borderId="3" xfId="1" applyNumberFormat="1" applyFont="1" applyBorder="1"/>
    <xf numFmtId="0" fontId="0" fillId="0" borderId="0" xfId="0" quotePrefix="1"/>
    <xf numFmtId="164" fontId="0" fillId="0" borderId="0" xfId="0" applyNumberFormat="1"/>
    <xf numFmtId="164" fontId="6" fillId="0" borderId="0" xfId="0" applyNumberFormat="1" applyFont="1"/>
    <xf numFmtId="164" fontId="0" fillId="0" borderId="0" xfId="1" applyNumberFormat="1" applyFont="1" applyFill="1"/>
    <xf numFmtId="164" fontId="0" fillId="0" borderId="3" xfId="1" applyNumberFormat="1" applyFont="1" applyFill="1" applyBorder="1"/>
    <xf numFmtId="164" fontId="0" fillId="0" borderId="0" xfId="0" applyNumberFormat="1" applyFill="1"/>
    <xf numFmtId="0" fontId="8" fillId="0" borderId="0" xfId="0" applyFont="1"/>
    <xf numFmtId="164" fontId="0" fillId="0" borderId="0" xfId="1" quotePrefix="1" applyNumberFormat="1" applyFont="1" applyFill="1" applyAlignment="1">
      <alignment horizontal="right"/>
    </xf>
    <xf numFmtId="164" fontId="6" fillId="0" borderId="4" xfId="0" applyNumberFormat="1" applyFont="1" applyBorder="1"/>
    <xf numFmtId="164" fontId="5" fillId="0" borderId="0" xfId="0" applyNumberFormat="1" applyFont="1" applyBorder="1"/>
    <xf numFmtId="164" fontId="6" fillId="0" borderId="5" xfId="0" applyNumberFormat="1" applyFont="1" applyBorder="1"/>
    <xf numFmtId="164" fontId="6" fillId="0" borderId="3" xfId="0" applyNumberFormat="1" applyFont="1" applyBorder="1"/>
    <xf numFmtId="0" fontId="0" fillId="0" borderId="0" xfId="0" applyAlignment="1">
      <alignment horizontal="center"/>
    </xf>
    <xf numFmtId="164" fontId="0" fillId="0" borderId="3" xfId="0" applyNumberFormat="1" applyBorder="1"/>
    <xf numFmtId="164" fontId="0" fillId="0" borderId="0" xfId="1" applyNumberFormat="1" applyFont="1" applyBorder="1"/>
    <xf numFmtId="164" fontId="0" fillId="0" borderId="0" xfId="0" applyNumberFormat="1" applyBorder="1"/>
    <xf numFmtId="14" fontId="6" fillId="0" borderId="2" xfId="0" quotePrefix="1" applyNumberFormat="1" applyFont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14" fillId="0" borderId="0" xfId="0" applyFont="1"/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6" fillId="0" borderId="9" xfId="0" quotePrefix="1" applyNumberFormat="1" applyFont="1" applyBorder="1" applyAlignment="1">
      <alignment horizontal="center"/>
    </xf>
    <xf numFmtId="14" fontId="6" fillId="0" borderId="10" xfId="0" quotePrefix="1" applyNumberFormat="1" applyFont="1" applyBorder="1" applyAlignment="1">
      <alignment horizontal="center"/>
    </xf>
    <xf numFmtId="16" fontId="0" fillId="0" borderId="0" xfId="0" quotePrefix="1" applyNumberFormat="1" applyAlignment="1">
      <alignment horizontal="right"/>
    </xf>
    <xf numFmtId="166" fontId="10" fillId="0" borderId="0" xfId="0" applyNumberFormat="1" applyFont="1" applyAlignment="1">
      <alignment horizontal="right"/>
    </xf>
    <xf numFmtId="37" fontId="0" fillId="0" borderId="0" xfId="0" applyNumberFormat="1"/>
    <xf numFmtId="37" fontId="16" fillId="0" borderId="0" xfId="0" applyNumberFormat="1" applyFont="1" applyAlignment="1">
      <alignment horizontal="center"/>
    </xf>
    <xf numFmtId="37" fontId="0" fillId="0" borderId="11" xfId="0" applyNumberFormat="1" applyBorder="1"/>
    <xf numFmtId="37" fontId="0" fillId="0" borderId="4" xfId="0" applyNumberFormat="1" applyBorder="1"/>
    <xf numFmtId="37" fontId="0" fillId="0" borderId="0" xfId="0" applyNumberFormat="1" applyBorder="1"/>
    <xf numFmtId="0" fontId="15" fillId="0" borderId="0" xfId="0" applyFont="1"/>
    <xf numFmtId="0" fontId="18" fillId="0" borderId="0" xfId="0" applyFont="1"/>
    <xf numFmtId="7" fontId="0" fillId="0" borderId="0" xfId="0" applyNumberForma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7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7" fontId="0" fillId="0" borderId="11" xfId="0" applyNumberFormat="1" applyBorder="1"/>
    <xf numFmtId="7" fontId="0" fillId="0" borderId="0" xfId="0" applyNumberFormat="1" applyBorder="1"/>
    <xf numFmtId="7" fontId="0" fillId="0" borderId="4" xfId="0" applyNumberFormat="1" applyBorder="1"/>
    <xf numFmtId="37" fontId="15" fillId="0" borderId="0" xfId="0" applyNumberFormat="1" applyFont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left" indent="2"/>
    </xf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4" fontId="0" fillId="0" borderId="0" xfId="0" applyNumberFormat="1" applyFill="1" applyAlignment="1">
      <alignment horizontal="left" indent="2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15" fillId="0" borderId="0" xfId="0" applyFont="1" applyFill="1" applyBorder="1" applyAlignment="1">
      <alignment horizontal="left" vertical="center" indent="2"/>
    </xf>
    <xf numFmtId="164" fontId="16" fillId="0" borderId="0" xfId="1" applyNumberFormat="1" applyFont="1" applyFill="1" applyAlignment="1">
      <alignment horizontal="center"/>
    </xf>
    <xf numFmtId="164" fontId="5" fillId="0" borderId="0" xfId="1" applyNumberFormat="1" applyFont="1" applyFill="1" applyBorder="1" applyAlignment="1">
      <alignment vertical="center"/>
    </xf>
    <xf numFmtId="164" fontId="0" fillId="0" borderId="0" xfId="1" applyNumberFormat="1" applyFont="1" applyFill="1" applyAlignment="1">
      <alignment horizontal="left" indent="2"/>
    </xf>
    <xf numFmtId="164" fontId="0" fillId="0" borderId="0" xfId="1" applyNumberFormat="1" applyFont="1" applyFill="1" applyBorder="1" applyAlignment="1">
      <alignment horizontal="center"/>
    </xf>
    <xf numFmtId="168" fontId="0" fillId="0" borderId="4" xfId="2" applyNumberFormat="1" applyFont="1" applyFill="1" applyBorder="1" applyAlignment="1">
      <alignment horizontal="center"/>
    </xf>
    <xf numFmtId="168" fontId="0" fillId="0" borderId="0" xfId="2" applyNumberFormat="1" applyFont="1" applyFill="1" applyAlignment="1">
      <alignment horizontal="left" indent="2"/>
    </xf>
    <xf numFmtId="168" fontId="0" fillId="0" borderId="0" xfId="0" applyNumberFormat="1"/>
    <xf numFmtId="168" fontId="0" fillId="0" borderId="0" xfId="2" applyNumberFormat="1" applyFont="1" applyFill="1" applyBorder="1" applyAlignment="1">
      <alignment horizontal="center"/>
    </xf>
    <xf numFmtId="164" fontId="6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1" fillId="0" borderId="0" xfId="0" applyFont="1" applyFill="1"/>
    <xf numFmtId="0" fontId="22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3" fillId="0" borderId="0" xfId="0" applyFont="1" applyFill="1"/>
    <xf numFmtId="0" fontId="21" fillId="0" borderId="0" xfId="0" applyFont="1" applyFill="1" applyBorder="1" applyAlignment="1">
      <alignment horizontal="left" vertical="center" indent="2"/>
    </xf>
    <xf numFmtId="17" fontId="21" fillId="0" borderId="0" xfId="0" applyNumberFormat="1" applyFont="1" applyFill="1" applyBorder="1" applyAlignment="1">
      <alignment horizontal="left" vertical="center" indent="2"/>
    </xf>
    <xf numFmtId="37" fontId="21" fillId="0" borderId="0" xfId="0" applyNumberFormat="1" applyFont="1" applyFill="1" applyBorder="1" applyAlignment="1">
      <alignment vertical="center"/>
    </xf>
    <xf numFmtId="164" fontId="21" fillId="0" borderId="0" xfId="1" applyNumberFormat="1" applyFont="1" applyFill="1"/>
    <xf numFmtId="0" fontId="21" fillId="0" borderId="0" xfId="0" applyFont="1" applyFill="1" applyBorder="1" applyAlignment="1">
      <alignment horizontal="left" vertical="center" indent="4"/>
    </xf>
    <xf numFmtId="37" fontId="21" fillId="0" borderId="0" xfId="0" applyNumberFormat="1" applyFont="1" applyFill="1" applyBorder="1" applyAlignment="1">
      <alignment horizontal="left" vertical="center" indent="2"/>
    </xf>
    <xf numFmtId="0" fontId="21" fillId="0" borderId="0" xfId="0" applyFont="1" applyFill="1" applyBorder="1" applyAlignment="1">
      <alignment vertical="center"/>
    </xf>
    <xf numFmtId="164" fontId="21" fillId="0" borderId="0" xfId="1" applyNumberFormat="1" applyFont="1" applyFill="1" applyBorder="1"/>
    <xf numFmtId="0" fontId="21" fillId="0" borderId="0" xfId="0" applyFont="1" applyFill="1" applyBorder="1"/>
    <xf numFmtId="0" fontId="22" fillId="0" borderId="0" xfId="0" applyFont="1" applyFill="1" applyBorder="1" applyAlignment="1">
      <alignment vertical="center"/>
    </xf>
    <xf numFmtId="37" fontId="21" fillId="0" borderId="11" xfId="0" applyNumberFormat="1" applyFont="1" applyFill="1" applyBorder="1" applyAlignment="1">
      <alignment vertical="center"/>
    </xf>
    <xf numFmtId="164" fontId="21" fillId="0" borderId="11" xfId="1" applyNumberFormat="1" applyFont="1" applyFill="1" applyBorder="1"/>
    <xf numFmtId="14" fontId="21" fillId="0" borderId="0" xfId="0" applyNumberFormat="1" applyFont="1" applyFill="1" applyBorder="1" applyAlignment="1">
      <alignment horizontal="center" vertical="center"/>
    </xf>
    <xf numFmtId="164" fontId="21" fillId="0" borderId="3" xfId="1" applyNumberFormat="1" applyFont="1" applyFill="1" applyBorder="1"/>
    <xf numFmtId="41" fontId="21" fillId="0" borderId="0" xfId="1" applyNumberFormat="1" applyFont="1" applyFill="1"/>
    <xf numFmtId="0" fontId="23" fillId="0" borderId="0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left" vertical="center" indent="2"/>
    </xf>
    <xf numFmtId="0" fontId="21" fillId="0" borderId="0" xfId="0" applyFont="1" applyFill="1" applyAlignment="1">
      <alignment horizontal="left" indent="2"/>
    </xf>
    <xf numFmtId="14" fontId="21" fillId="0" borderId="0" xfId="0" applyNumberFormat="1" applyFont="1" applyFill="1" applyAlignment="1">
      <alignment horizontal="left" indent="2"/>
    </xf>
    <xf numFmtId="37" fontId="21" fillId="0" borderId="0" xfId="0" applyNumberFormat="1" applyFont="1" applyFill="1" applyAlignment="1"/>
    <xf numFmtId="0" fontId="21" fillId="0" borderId="0" xfId="0" applyFont="1" applyFill="1" applyAlignment="1">
      <alignment horizontal="left"/>
    </xf>
    <xf numFmtId="0" fontId="21" fillId="0" borderId="0" xfId="0" applyFont="1" applyFill="1" applyAlignment="1">
      <alignment horizontal="center"/>
    </xf>
    <xf numFmtId="41" fontId="21" fillId="0" borderId="3" xfId="1" applyNumberFormat="1" applyFont="1" applyFill="1" applyBorder="1"/>
    <xf numFmtId="41" fontId="21" fillId="0" borderId="0" xfId="1" applyNumberFormat="1" applyFont="1" applyFill="1" applyBorder="1"/>
    <xf numFmtId="37" fontId="21" fillId="0" borderId="11" xfId="0" applyNumberFormat="1" applyFont="1" applyFill="1" applyBorder="1" applyAlignment="1"/>
    <xf numFmtId="41" fontId="21" fillId="0" borderId="11" xfId="0" applyNumberFormat="1" applyFont="1" applyFill="1" applyBorder="1"/>
    <xf numFmtId="37" fontId="21" fillId="0" borderId="4" xfId="0" applyNumberFormat="1" applyFont="1" applyFill="1" applyBorder="1" applyAlignment="1"/>
    <xf numFmtId="0" fontId="21" fillId="0" borderId="0" xfId="0" applyFont="1" applyFill="1" applyAlignment="1"/>
    <xf numFmtId="0" fontId="22" fillId="0" borderId="0" xfId="0" applyFont="1" applyFill="1"/>
    <xf numFmtId="164" fontId="24" fillId="0" borderId="0" xfId="1" applyNumberFormat="1" applyFont="1" applyFill="1"/>
    <xf numFmtId="49" fontId="24" fillId="0" borderId="0" xfId="1" applyNumberFormat="1" applyFont="1" applyFill="1"/>
    <xf numFmtId="164" fontId="25" fillId="0" borderId="0" xfId="1" applyNumberFormat="1" applyFont="1" applyFill="1" applyAlignment="1">
      <alignment horizontal="center"/>
    </xf>
    <xf numFmtId="14" fontId="25" fillId="0" borderId="3" xfId="1" applyNumberFormat="1" applyFont="1" applyFill="1" applyBorder="1" applyAlignment="1">
      <alignment horizontal="center"/>
    </xf>
    <xf numFmtId="14" fontId="24" fillId="0" borderId="0" xfId="1" applyNumberFormat="1" applyFont="1" applyFill="1"/>
    <xf numFmtId="14" fontId="25" fillId="0" borderId="0" xfId="1" applyNumberFormat="1" applyFont="1" applyFill="1" applyBorder="1" applyAlignment="1">
      <alignment horizontal="center"/>
    </xf>
    <xf numFmtId="164" fontId="0" fillId="0" borderId="11" xfId="0" applyNumberFormat="1" applyBorder="1"/>
    <xf numFmtId="37" fontId="21" fillId="0" borderId="0" xfId="0" applyNumberFormat="1" applyFont="1" applyFill="1" applyBorder="1" applyAlignment="1"/>
    <xf numFmtId="0" fontId="27" fillId="0" borderId="0" xfId="0" applyFont="1" applyFill="1" applyAlignment="1">
      <alignment horizontal="right"/>
    </xf>
    <xf numFmtId="174" fontId="21" fillId="0" borderId="0" xfId="0" applyNumberFormat="1" applyFont="1" applyFill="1"/>
    <xf numFmtId="14" fontId="21" fillId="0" borderId="0" xfId="0" applyNumberFormat="1" applyFont="1" applyFill="1" applyBorder="1" applyAlignment="1">
      <alignment horizontal="left" vertical="center" indent="2"/>
    </xf>
    <xf numFmtId="0" fontId="22" fillId="0" borderId="0" xfId="0" applyFont="1" applyFill="1" applyBorder="1" applyAlignment="1">
      <alignment horizontal="center"/>
    </xf>
    <xf numFmtId="37" fontId="21" fillId="0" borderId="3" xfId="0" applyNumberFormat="1" applyFont="1" applyFill="1" applyBorder="1" applyAlignment="1"/>
    <xf numFmtId="0" fontId="23" fillId="0" borderId="11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8" fillId="0" borderId="0" xfId="7"/>
    <xf numFmtId="0" fontId="29" fillId="0" borderId="0" xfId="7" applyFont="1" applyFill="1" applyAlignment="1">
      <alignment horizontal="center"/>
    </xf>
    <xf numFmtId="0" fontId="28" fillId="0" borderId="0" xfId="7" applyFill="1" applyAlignment="1">
      <alignment horizontal="center"/>
    </xf>
    <xf numFmtId="0" fontId="30" fillId="0" borderId="0" xfId="7" applyFont="1"/>
    <xf numFmtId="175" fontId="31" fillId="0" borderId="0" xfId="7" applyNumberFormat="1" applyFont="1" applyFill="1" applyAlignment="1">
      <alignment horizontal="right"/>
    </xf>
    <xf numFmtId="0" fontId="32" fillId="0" borderId="0" xfId="7" applyFont="1"/>
    <xf numFmtId="0" fontId="33" fillId="0" borderId="0" xfId="7" applyFont="1" applyAlignment="1">
      <alignment horizontal="center"/>
    </xf>
    <xf numFmtId="0" fontId="34" fillId="0" borderId="0" xfId="7" applyFont="1" applyAlignment="1">
      <alignment horizontal="center"/>
    </xf>
    <xf numFmtId="0" fontId="32" fillId="0" borderId="0" xfId="7" applyFont="1" applyFill="1" applyAlignment="1">
      <alignment horizontal="left"/>
    </xf>
    <xf numFmtId="0" fontId="33" fillId="0" borderId="0" xfId="7" applyFont="1" applyFill="1" applyAlignment="1">
      <alignment horizontal="center"/>
    </xf>
    <xf numFmtId="0" fontId="28" fillId="0" borderId="0" xfId="7" applyFill="1" applyAlignment="1">
      <alignment horizontal="left"/>
    </xf>
    <xf numFmtId="37" fontId="37" fillId="0" borderId="0" xfId="6" applyNumberFormat="1" applyFont="1" applyAlignment="1" applyProtection="1">
      <alignment horizontal="centerContinuous"/>
    </xf>
    <xf numFmtId="37" fontId="38" fillId="0" borderId="0" xfId="6" applyNumberFormat="1" applyFont="1" applyAlignment="1" applyProtection="1">
      <alignment horizontal="centerContinuous"/>
    </xf>
    <xf numFmtId="37" fontId="39" fillId="0" borderId="0" xfId="6" applyNumberFormat="1" applyFont="1" applyAlignment="1" applyProtection="1">
      <alignment horizontal="centerContinuous"/>
    </xf>
    <xf numFmtId="37" fontId="40" fillId="0" borderId="0" xfId="6" applyNumberFormat="1" applyFont="1" applyProtection="1"/>
    <xf numFmtId="37" fontId="38" fillId="0" borderId="0" xfId="6" quotePrefix="1" applyNumberFormat="1" applyFont="1" applyAlignment="1" applyProtection="1">
      <alignment horizontal="centerContinuous"/>
    </xf>
    <xf numFmtId="37" fontId="41" fillId="0" borderId="0" xfId="3" applyNumberFormat="1" applyFont="1" applyAlignment="1" applyProtection="1">
      <alignment horizontal="centerContinuous"/>
    </xf>
    <xf numFmtId="37" fontId="38" fillId="0" borderId="3" xfId="6" applyNumberFormat="1" applyFont="1" applyBorder="1" applyAlignment="1" applyProtection="1">
      <alignment horizontal="left"/>
    </xf>
    <xf numFmtId="37" fontId="39" fillId="0" borderId="0" xfId="6" applyNumberFormat="1" applyFont="1" applyProtection="1"/>
    <xf numFmtId="174" fontId="42" fillId="0" borderId="0" xfId="6" applyNumberFormat="1" applyFont="1" applyProtection="1"/>
    <xf numFmtId="37" fontId="42" fillId="0" borderId="0" xfId="6" applyNumberFormat="1" applyFont="1" applyAlignment="1" applyProtection="1">
      <alignment horizontal="right"/>
    </xf>
    <xf numFmtId="37" fontId="38" fillId="0" borderId="0" xfId="6" applyNumberFormat="1" applyFont="1" applyBorder="1" applyAlignment="1" applyProtection="1">
      <alignment horizontal="center"/>
    </xf>
    <xf numFmtId="37" fontId="38" fillId="0" borderId="0" xfId="6" applyNumberFormat="1" applyFont="1" applyProtection="1"/>
    <xf numFmtId="0" fontId="40" fillId="0" borderId="0" xfId="0" applyFont="1"/>
    <xf numFmtId="37" fontId="38" fillId="0" borderId="0" xfId="6" applyNumberFormat="1" applyFont="1" applyBorder="1" applyProtection="1"/>
    <xf numFmtId="37" fontId="38" fillId="0" borderId="3" xfId="6" applyNumberFormat="1" applyFont="1" applyBorder="1" applyProtection="1"/>
    <xf numFmtId="37" fontId="38" fillId="0" borderId="0" xfId="6" applyNumberFormat="1" applyFont="1" applyAlignment="1" applyProtection="1">
      <alignment horizontal="center"/>
    </xf>
    <xf numFmtId="37" fontId="38" fillId="0" borderId="3" xfId="6" applyNumberFormat="1" applyFont="1" applyBorder="1" applyAlignment="1" applyProtection="1">
      <alignment horizontal="center"/>
    </xf>
    <xf numFmtId="37" fontId="38" fillId="0" borderId="3" xfId="6" applyNumberFormat="1" applyFont="1" applyBorder="1" applyAlignment="1" applyProtection="1">
      <alignment horizontal="centerContinuous"/>
    </xf>
    <xf numFmtId="37" fontId="43" fillId="0" borderId="0" xfId="3" applyNumberFormat="1" applyFont="1" applyBorder="1" applyProtection="1">
      <protection locked="0"/>
    </xf>
    <xf numFmtId="37" fontId="38" fillId="0" borderId="3" xfId="6" quotePrefix="1" applyNumberFormat="1" applyFont="1" applyBorder="1" applyAlignment="1" applyProtection="1">
      <alignment horizontal="center"/>
    </xf>
    <xf numFmtId="37" fontId="44" fillId="0" borderId="0" xfId="6" applyNumberFormat="1" applyFont="1" applyBorder="1" applyProtection="1"/>
    <xf numFmtId="37" fontId="38" fillId="2" borderId="3" xfId="6" applyNumberFormat="1" applyFont="1" applyFill="1" applyBorder="1" applyAlignment="1" applyProtection="1">
      <alignment horizontal="center"/>
    </xf>
    <xf numFmtId="37" fontId="38" fillId="3" borderId="3" xfId="6" applyNumberFormat="1" applyFont="1" applyFill="1" applyBorder="1" applyAlignment="1" applyProtection="1">
      <alignment horizontal="center"/>
    </xf>
    <xf numFmtId="37" fontId="39" fillId="0" borderId="0" xfId="6" applyNumberFormat="1" applyFont="1" applyBorder="1" applyProtection="1"/>
    <xf numFmtId="37" fontId="45" fillId="0" borderId="0" xfId="3" applyNumberFormat="1" applyFont="1" applyBorder="1" applyProtection="1">
      <protection locked="0"/>
    </xf>
    <xf numFmtId="37" fontId="39" fillId="0" borderId="0" xfId="6" applyNumberFormat="1" applyFont="1" applyBorder="1" applyProtection="1">
      <protection locked="0"/>
    </xf>
    <xf numFmtId="164" fontId="39" fillId="0" borderId="0" xfId="1" applyNumberFormat="1" applyFont="1" applyBorder="1" applyProtection="1">
      <protection locked="0"/>
    </xf>
    <xf numFmtId="37" fontId="46" fillId="0" borderId="0" xfId="3" applyNumberFormat="1" applyFont="1" applyBorder="1" applyProtection="1">
      <protection locked="0"/>
    </xf>
    <xf numFmtId="37" fontId="38" fillId="0" borderId="0" xfId="6" applyNumberFormat="1" applyFont="1" applyBorder="1" applyProtection="1">
      <protection locked="0"/>
    </xf>
    <xf numFmtId="164" fontId="38" fillId="0" borderId="0" xfId="1" applyNumberFormat="1" applyFont="1" applyBorder="1" applyProtection="1">
      <protection locked="0"/>
    </xf>
    <xf numFmtId="15" fontId="40" fillId="0" borderId="0" xfId="5" applyNumberFormat="1" applyFont="1" applyAlignment="1" applyProtection="1">
      <alignment horizontal="left"/>
    </xf>
    <xf numFmtId="164" fontId="40" fillId="0" borderId="0" xfId="1" applyNumberFormat="1" applyFont="1" applyProtection="1"/>
    <xf numFmtId="164" fontId="40" fillId="0" borderId="0" xfId="1" applyNumberFormat="1" applyFont="1" applyBorder="1" applyProtection="1"/>
    <xf numFmtId="37" fontId="45" fillId="0" borderId="0" xfId="6" applyNumberFormat="1" applyFont="1" applyBorder="1" applyProtection="1"/>
    <xf numFmtId="41" fontId="2" fillId="4" borderId="0" xfId="2" applyNumberFormat="1" applyFont="1" applyFill="1" applyBorder="1"/>
    <xf numFmtId="41" fontId="0" fillId="4" borderId="0" xfId="2" applyNumberFormat="1" applyFont="1" applyFill="1"/>
    <xf numFmtId="41" fontId="3" fillId="4" borderId="0" xfId="2" applyNumberFormat="1" applyFont="1" applyFill="1"/>
    <xf numFmtId="41" fontId="3" fillId="0" borderId="0" xfId="2" applyNumberFormat="1" applyFont="1"/>
    <xf numFmtId="41" fontId="11" fillId="0" borderId="0" xfId="2" applyNumberFormat="1" applyFont="1" applyFill="1"/>
    <xf numFmtId="41" fontId="11" fillId="0" borderId="0" xfId="2" applyNumberFormat="1" applyFont="1"/>
    <xf numFmtId="41" fontId="2" fillId="0" borderId="0" xfId="2" applyNumberFormat="1" applyFont="1" applyAlignment="1">
      <alignment horizontal="right"/>
    </xf>
    <xf numFmtId="41" fontId="12" fillId="4" borderId="0" xfId="2" applyNumberFormat="1" applyFont="1" applyFill="1"/>
    <xf numFmtId="41" fontId="2" fillId="4" borderId="0" xfId="2" applyNumberFormat="1" applyFont="1" applyFill="1"/>
    <xf numFmtId="41" fontId="2" fillId="0" borderId="0" xfId="2" applyNumberFormat="1" applyFont="1"/>
    <xf numFmtId="41" fontId="2" fillId="0" borderId="12" xfId="2" quotePrefix="1" applyNumberFormat="1" applyFont="1" applyFill="1" applyBorder="1" applyAlignment="1">
      <alignment horizontal="left" vertical="center"/>
    </xf>
    <xf numFmtId="41" fontId="2" fillId="0" borderId="0" xfId="2" applyNumberFormat="1" applyFont="1" applyFill="1" applyBorder="1"/>
    <xf numFmtId="41" fontId="0" fillId="0" borderId="0" xfId="2" applyNumberFormat="1" applyFont="1"/>
    <xf numFmtId="41" fontId="12" fillId="0" borderId="0" xfId="2" applyNumberFormat="1" applyFont="1" applyFill="1" applyAlignment="1">
      <alignment horizontal="center"/>
    </xf>
    <xf numFmtId="41" fontId="2" fillId="0" borderId="0" xfId="2" applyNumberFormat="1" applyFont="1" applyAlignment="1">
      <alignment horizontal="center"/>
    </xf>
    <xf numFmtId="41" fontId="12" fillId="0" borderId="0" xfId="2" applyNumberFormat="1" applyFont="1" applyAlignment="1">
      <alignment horizontal="center"/>
    </xf>
    <xf numFmtId="41" fontId="3" fillId="0" borderId="12" xfId="2" applyNumberFormat="1" applyFont="1" applyBorder="1"/>
    <xf numFmtId="41" fontId="2" fillId="0" borderId="3" xfId="2" applyNumberFormat="1" applyFont="1" applyBorder="1" applyAlignment="1">
      <alignment horizontal="center"/>
    </xf>
    <xf numFmtId="41" fontId="12" fillId="0" borderId="3" xfId="2" applyNumberFormat="1" applyFont="1" applyBorder="1" applyAlignment="1">
      <alignment horizontal="center"/>
    </xf>
    <xf numFmtId="41" fontId="3" fillId="0" borderId="0" xfId="2" applyNumberFormat="1" applyFont="1" applyFill="1" applyBorder="1"/>
    <xf numFmtId="41" fontId="2" fillId="0" borderId="0" xfId="2" applyNumberFormat="1" applyFont="1" applyFill="1" applyBorder="1" applyAlignment="1">
      <alignment horizontal="right" vertical="center"/>
    </xf>
    <xf numFmtId="41" fontId="6" fillId="0" borderId="12" xfId="2" applyNumberFormat="1" applyFont="1" applyFill="1" applyBorder="1" applyAlignment="1">
      <alignment vertical="center"/>
    </xf>
    <xf numFmtId="41" fontId="5" fillId="0" borderId="0" xfId="2" applyNumberFormat="1" applyFont="1" applyFill="1" applyBorder="1" applyAlignment="1">
      <alignment vertical="center"/>
    </xf>
    <xf numFmtId="41" fontId="6" fillId="0" borderId="0" xfId="2" applyNumberFormat="1" applyFont="1" applyFill="1" applyBorder="1" applyAlignment="1">
      <alignment horizontal="right" vertical="center"/>
    </xf>
    <xf numFmtId="41" fontId="5" fillId="0" borderId="0" xfId="2" applyNumberFormat="1" applyFont="1"/>
    <xf numFmtId="41" fontId="5" fillId="0" borderId="0" xfId="2" applyNumberFormat="1" applyFont="1" applyFill="1"/>
    <xf numFmtId="41" fontId="5" fillId="0" borderId="12" xfId="2" quotePrefix="1" applyNumberFormat="1" applyFont="1" applyFill="1" applyBorder="1" applyAlignment="1">
      <alignment horizontal="left" vertical="center"/>
    </xf>
    <xf numFmtId="41" fontId="0" fillId="0" borderId="0" xfId="2" applyNumberFormat="1" applyFont="1" applyAlignment="1">
      <alignment horizontal="right"/>
    </xf>
    <xf numFmtId="41" fontId="9" fillId="0" borderId="0" xfId="2" applyNumberFormat="1" applyFont="1" applyFill="1" applyAlignment="1">
      <alignment horizontal="center"/>
    </xf>
    <xf numFmtId="41" fontId="17" fillId="0" borderId="0" xfId="2" applyNumberFormat="1" applyFont="1"/>
    <xf numFmtId="41" fontId="1" fillId="0" borderId="0" xfId="2" applyNumberFormat="1" applyFont="1" applyFill="1"/>
    <xf numFmtId="41" fontId="5" fillId="0" borderId="0" xfId="2" applyNumberFormat="1" applyFont="1" applyBorder="1"/>
    <xf numFmtId="41" fontId="1" fillId="0" borderId="0" xfId="2" applyNumberFormat="1" applyFont="1" applyFill="1" applyAlignment="1">
      <alignment horizontal="center"/>
    </xf>
    <xf numFmtId="41" fontId="1" fillId="0" borderId="0" xfId="2" applyNumberFormat="1" applyFont="1"/>
    <xf numFmtId="41" fontId="5" fillId="0" borderId="5" xfId="2" applyNumberFormat="1" applyFont="1" applyBorder="1"/>
    <xf numFmtId="41" fontId="5" fillId="0" borderId="13" xfId="2" quotePrefix="1" applyNumberFormat="1" applyFont="1" applyFill="1" applyBorder="1" applyAlignment="1">
      <alignment horizontal="left" vertical="center"/>
    </xf>
    <xf numFmtId="41" fontId="0" fillId="0" borderId="0" xfId="2" applyNumberFormat="1" applyFont="1" applyBorder="1"/>
    <xf numFmtId="41" fontId="6" fillId="0" borderId="0" xfId="2" applyNumberFormat="1" applyFont="1" applyFill="1" applyBorder="1" applyAlignment="1">
      <alignment vertical="center"/>
    </xf>
    <xf numFmtId="41" fontId="6" fillId="5" borderId="0" xfId="2" applyNumberFormat="1" applyFont="1" applyFill="1" applyBorder="1" applyAlignment="1">
      <alignment vertical="center"/>
    </xf>
    <xf numFmtId="41" fontId="6" fillId="5" borderId="0" xfId="2" applyNumberFormat="1" applyFont="1" applyFill="1"/>
    <xf numFmtId="41" fontId="6" fillId="0" borderId="13" xfId="2" applyNumberFormat="1" applyFont="1" applyFill="1" applyBorder="1" applyAlignment="1">
      <alignment vertical="center"/>
    </xf>
    <xf numFmtId="41" fontId="5" fillId="0" borderId="13" xfId="2" applyNumberFormat="1" applyFont="1" applyFill="1" applyBorder="1" applyAlignment="1">
      <alignment vertical="center"/>
    </xf>
    <xf numFmtId="41" fontId="5" fillId="0" borderId="0" xfId="2" applyNumberFormat="1" applyFont="1" applyFill="1" applyBorder="1"/>
    <xf numFmtId="41" fontId="1" fillId="0" borderId="0" xfId="2" applyNumberFormat="1" applyFont="1" applyBorder="1"/>
    <xf numFmtId="41" fontId="6" fillId="5" borderId="0" xfId="2" applyNumberFormat="1" applyFont="1" applyFill="1" applyBorder="1"/>
    <xf numFmtId="41" fontId="6" fillId="0" borderId="0" xfId="2" applyNumberFormat="1" applyFont="1" applyFill="1" applyBorder="1" applyAlignment="1">
      <alignment horizontal="left" vertical="center"/>
    </xf>
    <xf numFmtId="41" fontId="6" fillId="0" borderId="0" xfId="2" applyNumberFormat="1" applyFont="1"/>
    <xf numFmtId="41" fontId="6" fillId="0" borderId="0" xfId="2" applyNumberFormat="1" applyFont="1" applyFill="1"/>
    <xf numFmtId="41" fontId="6" fillId="0" borderId="0" xfId="2" applyNumberFormat="1" applyFont="1" applyFill="1" applyBorder="1"/>
    <xf numFmtId="41" fontId="6" fillId="0" borderId="5" xfId="2" applyNumberFormat="1" applyFont="1" applyBorder="1"/>
    <xf numFmtId="41" fontId="6" fillId="0" borderId="0" xfId="2" applyNumberFormat="1" applyFont="1" applyBorder="1"/>
    <xf numFmtId="41" fontId="5" fillId="0" borderId="13" xfId="2" applyNumberFormat="1" applyFont="1" applyFill="1" applyBorder="1"/>
    <xf numFmtId="41" fontId="5" fillId="0" borderId="0" xfId="2" applyNumberFormat="1" applyFont="1" applyFill="1" applyBorder="1" applyAlignment="1">
      <alignment horizontal="left" vertical="center"/>
    </xf>
    <xf numFmtId="41" fontId="6" fillId="4" borderId="0" xfId="2" applyNumberFormat="1" applyFont="1" applyFill="1" applyBorder="1" applyAlignment="1">
      <alignment vertical="center"/>
    </xf>
    <xf numFmtId="41" fontId="6" fillId="4" borderId="0" xfId="2" applyNumberFormat="1" applyFont="1" applyFill="1"/>
    <xf numFmtId="41" fontId="15" fillId="0" borderId="0" xfId="2" applyNumberFormat="1" applyFont="1"/>
    <xf numFmtId="41" fontId="26" fillId="0" borderId="0" xfId="2" applyNumberFormat="1" applyFont="1" applyBorder="1"/>
    <xf numFmtId="41" fontId="5" fillId="0" borderId="5" xfId="2" applyNumberFormat="1" applyFont="1" applyFill="1" applyBorder="1"/>
    <xf numFmtId="41" fontId="17" fillId="0" borderId="0" xfId="2" applyNumberFormat="1" applyFont="1" applyBorder="1"/>
    <xf numFmtId="41" fontId="6" fillId="4" borderId="0" xfId="2" quotePrefix="1" applyNumberFormat="1" applyFont="1" applyFill="1" applyBorder="1" applyAlignment="1">
      <alignment horizontal="left" vertical="center"/>
    </xf>
    <xf numFmtId="41" fontId="6" fillId="4" borderId="0" xfId="2" applyNumberFormat="1" applyFont="1" applyFill="1" applyBorder="1" applyAlignment="1">
      <alignment horizontal="left" vertical="center"/>
    </xf>
    <xf numFmtId="41" fontId="6" fillId="4" borderId="0" xfId="2" applyNumberFormat="1" applyFont="1" applyFill="1" applyBorder="1"/>
    <xf numFmtId="41" fontId="10" fillId="4" borderId="13" xfId="2" applyNumberFormat="1" applyFont="1" applyFill="1" applyBorder="1" applyAlignment="1">
      <alignment horizontal="left" vertical="center"/>
    </xf>
    <xf numFmtId="41" fontId="6" fillId="4" borderId="4" xfId="2" applyNumberFormat="1" applyFont="1" applyFill="1" applyBorder="1"/>
    <xf numFmtId="41" fontId="0" fillId="0" borderId="0" xfId="2" applyNumberFormat="1" applyFont="1" applyFill="1"/>
    <xf numFmtId="41" fontId="6" fillId="6" borderId="13" xfId="2" applyNumberFormat="1" applyFont="1" applyFill="1" applyBorder="1" applyAlignment="1">
      <alignment horizontal="left" vertical="center"/>
    </xf>
    <xf numFmtId="41" fontId="5" fillId="6" borderId="0" xfId="2" applyNumberFormat="1" applyFont="1" applyFill="1"/>
    <xf numFmtId="41" fontId="0" fillId="6" borderId="0" xfId="2" applyNumberFormat="1" applyFont="1" applyFill="1"/>
    <xf numFmtId="41" fontId="5" fillId="6" borderId="14" xfId="2" applyNumberFormat="1" applyFont="1" applyFill="1" applyBorder="1"/>
    <xf numFmtId="41" fontId="9" fillId="0" borderId="0" xfId="2" applyNumberFormat="1" applyFont="1" applyFill="1"/>
    <xf numFmtId="41" fontId="12" fillId="0" borderId="3" xfId="2" quotePrefix="1" applyNumberFormat="1" applyFont="1" applyFill="1" applyBorder="1" applyAlignment="1">
      <alignment horizontal="center"/>
    </xf>
    <xf numFmtId="164" fontId="21" fillId="0" borderId="0" xfId="0" applyNumberFormat="1" applyFont="1" applyFill="1"/>
    <xf numFmtId="43" fontId="21" fillId="0" borderId="0" xfId="0" applyNumberFormat="1" applyFont="1" applyFill="1"/>
    <xf numFmtId="178" fontId="5" fillId="0" borderId="0" xfId="2" applyNumberFormat="1" applyFont="1" applyFill="1" applyBorder="1" applyAlignment="1">
      <alignment horizontal="left" vertical="center"/>
    </xf>
    <xf numFmtId="22" fontId="2" fillId="0" borderId="0" xfId="2" applyNumberFormat="1" applyFont="1"/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79" fontId="12" fillId="0" borderId="0" xfId="2" applyNumberFormat="1" applyFont="1" applyFill="1" applyAlignment="1">
      <alignment horizontal="center"/>
    </xf>
    <xf numFmtId="0" fontId="2" fillId="0" borderId="0" xfId="0" applyFont="1" applyAlignment="1"/>
    <xf numFmtId="0" fontId="0" fillId="0" borderId="0" xfId="0" applyAlignment="1"/>
    <xf numFmtId="166" fontId="6" fillId="0" borderId="0" xfId="1" applyNumberFormat="1" applyFont="1" applyAlignment="1"/>
    <xf numFmtId="0" fontId="6" fillId="0" borderId="0" xfId="0" applyFont="1" applyAlignment="1"/>
    <xf numFmtId="0" fontId="12" fillId="0" borderId="0" xfId="0" applyFont="1" applyAlignment="1"/>
    <xf numFmtId="166" fontId="6" fillId="0" borderId="0" xfId="0" applyNumberFormat="1" applyFont="1" applyAlignment="1"/>
    <xf numFmtId="0" fontId="0" fillId="0" borderId="1" xfId="0" applyBorder="1" applyAlignment="1"/>
    <xf numFmtId="0" fontId="0" fillId="0" borderId="18" xfId="0" applyBorder="1" applyAlignment="1"/>
    <xf numFmtId="0" fontId="9" fillId="0" borderId="0" xfId="0" applyFont="1" applyAlignment="1"/>
    <xf numFmtId="0" fontId="0" fillId="0" borderId="0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10" fillId="0" borderId="21" xfId="0" applyFont="1" applyBorder="1" applyAlignment="1"/>
    <xf numFmtId="0" fontId="6" fillId="0" borderId="21" xfId="0" applyFont="1" applyBorder="1" applyAlignment="1"/>
    <xf numFmtId="168" fontId="6" fillId="0" borderId="21" xfId="2" applyNumberFormat="1" applyFont="1" applyFill="1" applyBorder="1" applyAlignment="1"/>
    <xf numFmtId="168" fontId="0" fillId="0" borderId="0" xfId="2" applyNumberFormat="1" applyFont="1" applyAlignment="1"/>
    <xf numFmtId="168" fontId="6" fillId="0" borderId="21" xfId="2" applyNumberFormat="1" applyFont="1" applyBorder="1" applyAlignment="1"/>
    <xf numFmtId="168" fontId="6" fillId="0" borderId="22" xfId="2" applyNumberFormat="1" applyFont="1" applyBorder="1" applyAlignment="1"/>
    <xf numFmtId="168" fontId="6" fillId="0" borderId="23" xfId="2" applyNumberFormat="1" applyFont="1" applyBorder="1" applyAlignment="1"/>
    <xf numFmtId="169" fontId="6" fillId="0" borderId="21" xfId="8" applyNumberFormat="1" applyFont="1" applyBorder="1" applyAlignment="1"/>
    <xf numFmtId="0" fontId="0" fillId="0" borderId="21" xfId="0" applyBorder="1" applyAlignment="1"/>
    <xf numFmtId="168" fontId="0" fillId="0" borderId="21" xfId="2" applyNumberFormat="1" applyFont="1" applyFill="1" applyBorder="1" applyAlignment="1"/>
    <xf numFmtId="168" fontId="0" fillId="0" borderId="21" xfId="2" applyNumberFormat="1" applyFont="1" applyBorder="1" applyAlignment="1"/>
    <xf numFmtId="168" fontId="0" fillId="0" borderId="22" xfId="2" applyNumberFormat="1" applyFont="1" applyBorder="1" applyAlignment="1"/>
    <xf numFmtId="168" fontId="0" fillId="0" borderId="23" xfId="2" applyNumberFormat="1" applyFont="1" applyBorder="1" applyAlignment="1"/>
    <xf numFmtId="169" fontId="0" fillId="0" borderId="21" xfId="8" applyNumberFormat="1" applyFont="1" applyBorder="1" applyAlignment="1"/>
    <xf numFmtId="0" fontId="0" fillId="0" borderId="2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6" fillId="4" borderId="1" xfId="0" applyFont="1" applyFill="1" applyBorder="1" applyAlignment="1"/>
    <xf numFmtId="0" fontId="6" fillId="0" borderId="0" xfId="0" applyFont="1" applyBorder="1" applyAlignment="1"/>
    <xf numFmtId="0" fontId="6" fillId="4" borderId="21" xfId="0" applyFont="1" applyFill="1" applyBorder="1" applyAlignment="1"/>
    <xf numFmtId="168" fontId="6" fillId="4" borderId="21" xfId="2" applyNumberFormat="1" applyFont="1" applyFill="1" applyBorder="1" applyAlignment="1"/>
    <xf numFmtId="168" fontId="6" fillId="0" borderId="0" xfId="2" applyNumberFormat="1" applyFont="1" applyFill="1" applyBorder="1" applyAlignment="1"/>
    <xf numFmtId="168" fontId="6" fillId="4" borderId="22" xfId="2" applyNumberFormat="1" applyFont="1" applyFill="1" applyBorder="1" applyAlignment="1"/>
    <xf numFmtId="168" fontId="6" fillId="4" borderId="23" xfId="2" applyNumberFormat="1" applyFont="1" applyFill="1" applyBorder="1" applyAlignment="1"/>
    <xf numFmtId="169" fontId="6" fillId="4" borderId="1" xfId="8" applyNumberFormat="1" applyFont="1" applyFill="1" applyBorder="1" applyAlignment="1"/>
    <xf numFmtId="0" fontId="6" fillId="4" borderId="2" xfId="0" applyFont="1" applyFill="1" applyBorder="1" applyAlignment="1"/>
    <xf numFmtId="168" fontId="6" fillId="4" borderId="2" xfId="2" applyNumberFormat="1" applyFont="1" applyFill="1" applyBorder="1" applyAlignment="1"/>
    <xf numFmtId="168" fontId="6" fillId="4" borderId="24" xfId="2" applyNumberFormat="1" applyFont="1" applyFill="1" applyBorder="1" applyAlignment="1"/>
    <xf numFmtId="168" fontId="6" fillId="0" borderId="25" xfId="2" applyNumberFormat="1" applyFont="1" applyFill="1" applyBorder="1" applyAlignment="1"/>
    <xf numFmtId="168" fontId="6" fillId="4" borderId="26" xfId="2" applyNumberFormat="1" applyFont="1" applyFill="1" applyBorder="1" applyAlignment="1"/>
    <xf numFmtId="0" fontId="0" fillId="0" borderId="27" xfId="0" applyBorder="1" applyAlignment="1"/>
    <xf numFmtId="168" fontId="6" fillId="4" borderId="28" xfId="2" applyNumberFormat="1" applyFont="1" applyFill="1" applyBorder="1" applyAlignment="1"/>
    <xf numFmtId="169" fontId="6" fillId="4" borderId="2" xfId="8" applyNumberFormat="1" applyFont="1" applyFill="1" applyBorder="1" applyAlignment="1"/>
    <xf numFmtId="0" fontId="6" fillId="0" borderId="0" xfId="0" applyFont="1" applyFill="1" applyBorder="1" applyAlignment="1"/>
    <xf numFmtId="0" fontId="0" fillId="0" borderId="0" xfId="0" applyFill="1" applyBorder="1" applyAlignment="1"/>
    <xf numFmtId="169" fontId="6" fillId="0" borderId="0" xfId="8" applyNumberFormat="1" applyFont="1" applyFill="1" applyBorder="1" applyAlignment="1"/>
    <xf numFmtId="0" fontId="0" fillId="0" borderId="0" xfId="0" applyFill="1" applyAlignment="1"/>
    <xf numFmtId="168" fontId="0" fillId="0" borderId="0" xfId="2" applyNumberFormat="1" applyFont="1" applyFill="1" applyAlignment="1"/>
    <xf numFmtId="14" fontId="10" fillId="0" borderId="2" xfId="0" applyNumberFormat="1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37" fontId="38" fillId="6" borderId="1" xfId="6" applyNumberFormat="1" applyFont="1" applyFill="1" applyBorder="1" applyAlignment="1" applyProtection="1">
      <alignment horizontal="center"/>
    </xf>
    <xf numFmtId="37" fontId="38" fillId="5" borderId="3" xfId="6" applyNumberFormat="1" applyFont="1" applyFill="1" applyBorder="1" applyAlignment="1" applyProtection="1">
      <alignment horizontal="center"/>
    </xf>
    <xf numFmtId="37" fontId="41" fillId="5" borderId="29" xfId="6" applyNumberFormat="1" applyFont="1" applyFill="1" applyBorder="1" applyAlignment="1" applyProtection="1">
      <alignment horizontal="center"/>
    </xf>
    <xf numFmtId="37" fontId="38" fillId="2" borderId="29" xfId="6" applyNumberFormat="1" applyFont="1" applyFill="1" applyBorder="1" applyAlignment="1" applyProtection="1">
      <alignment horizontal="center"/>
    </xf>
    <xf numFmtId="37" fontId="38" fillId="6" borderId="2" xfId="6" applyNumberFormat="1" applyFont="1" applyFill="1" applyBorder="1" applyAlignment="1" applyProtection="1">
      <alignment horizontal="center"/>
    </xf>
    <xf numFmtId="37" fontId="39" fillId="0" borderId="0" xfId="6" quotePrefix="1" applyNumberFormat="1" applyFont="1" applyBorder="1" applyProtection="1"/>
    <xf numFmtId="37" fontId="47" fillId="0" borderId="0" xfId="6" applyNumberFormat="1" applyFont="1" applyBorder="1" applyProtection="1"/>
    <xf numFmtId="43" fontId="38" fillId="0" borderId="0" xfId="1" applyFont="1" applyBorder="1" applyProtection="1">
      <protection locked="0"/>
    </xf>
    <xf numFmtId="37" fontId="45" fillId="0" borderId="3" xfId="3" applyNumberFormat="1" applyFont="1" applyBorder="1" applyProtection="1">
      <protection locked="0"/>
    </xf>
    <xf numFmtId="37" fontId="47" fillId="0" borderId="3" xfId="6" applyNumberFormat="1" applyFont="1" applyBorder="1" applyProtection="1"/>
    <xf numFmtId="37" fontId="39" fillId="0" borderId="3" xfId="6" applyNumberFormat="1" applyFont="1" applyBorder="1" applyProtection="1"/>
    <xf numFmtId="37" fontId="39" fillId="0" borderId="3" xfId="6" applyNumberFormat="1" applyFont="1" applyBorder="1" applyProtection="1">
      <protection locked="0"/>
    </xf>
    <xf numFmtId="37" fontId="39" fillId="0" borderId="11" xfId="6" applyNumberFormat="1" applyFont="1" applyBorder="1" applyProtection="1">
      <protection locked="0"/>
    </xf>
    <xf numFmtId="37" fontId="41" fillId="0" borderId="0" xfId="6" quotePrefix="1" applyNumberFormat="1" applyFont="1" applyProtection="1"/>
    <xf numFmtId="165" fontId="38" fillId="0" borderId="0" xfId="0" applyNumberFormat="1" applyFont="1" applyFill="1" applyBorder="1" applyAlignment="1">
      <alignment vertical="center"/>
    </xf>
    <xf numFmtId="37" fontId="45" fillId="0" borderId="14" xfId="3" applyNumberFormat="1" applyFont="1" applyBorder="1" applyProtection="1">
      <protection locked="0"/>
    </xf>
    <xf numFmtId="37" fontId="40" fillId="0" borderId="14" xfId="6" applyNumberFormat="1" applyFont="1" applyBorder="1" applyProtection="1"/>
    <xf numFmtId="164" fontId="40" fillId="0" borderId="14" xfId="1" applyNumberFormat="1" applyFont="1" applyBorder="1" applyProtection="1"/>
    <xf numFmtId="164" fontId="40" fillId="0" borderId="0" xfId="1" applyNumberFormat="1" applyFont="1" applyFill="1" applyBorder="1" applyProtection="1"/>
    <xf numFmtId="164" fontId="41" fillId="0" borderId="0" xfId="1" applyNumberFormat="1" applyFont="1" applyProtection="1"/>
    <xf numFmtId="37" fontId="40" fillId="0" borderId="3" xfId="6" applyNumberFormat="1" applyFont="1" applyBorder="1" applyProtection="1"/>
    <xf numFmtId="164" fontId="40" fillId="0" borderId="3" xfId="1" applyNumberFormat="1" applyFont="1" applyBorder="1" applyProtection="1"/>
    <xf numFmtId="164" fontId="40" fillId="0" borderId="11" xfId="1" applyNumberFormat="1" applyFont="1" applyBorder="1" applyProtection="1"/>
    <xf numFmtId="41" fontId="12" fillId="0" borderId="0" xfId="2" quotePrefix="1" applyNumberFormat="1" applyFont="1" applyFill="1" applyBorder="1" applyAlignment="1">
      <alignment horizontal="center"/>
    </xf>
    <xf numFmtId="39" fontId="21" fillId="0" borderId="0" xfId="0" applyNumberFormat="1" applyFont="1"/>
    <xf numFmtId="39" fontId="23" fillId="0" borderId="0" xfId="0" quotePrefix="1" applyNumberFormat="1" applyFont="1" applyAlignment="1">
      <alignment horizontal="center"/>
    </xf>
    <xf numFmtId="39" fontId="21" fillId="0" borderId="11" xfId="0" applyNumberFormat="1" applyFont="1" applyBorder="1"/>
    <xf numFmtId="39" fontId="22" fillId="0" borderId="0" xfId="0" quotePrefix="1" applyNumberFormat="1" applyFont="1" applyAlignment="1">
      <alignment horizontal="right"/>
    </xf>
    <xf numFmtId="39" fontId="21" fillId="0" borderId="0" xfId="0" applyNumberFormat="1" applyFont="1" applyFill="1"/>
    <xf numFmtId="39" fontId="21" fillId="0" borderId="0" xfId="0" applyNumberFormat="1" applyFont="1" applyBorder="1"/>
    <xf numFmtId="39" fontId="21" fillId="0" borderId="3" xfId="0" applyNumberFormat="1" applyFont="1" applyBorder="1"/>
    <xf numFmtId="39" fontId="21" fillId="0" borderId="0" xfId="0" applyNumberFormat="1" applyFont="1" applyFill="1" applyBorder="1"/>
    <xf numFmtId="41" fontId="6" fillId="0" borderId="0" xfId="2" applyNumberFormat="1" applyFont="1" applyFill="1" applyBorder="1" applyAlignment="1">
      <alignment horizontal="left" vertical="center" indent="1"/>
    </xf>
    <xf numFmtId="0" fontId="6" fillId="0" borderId="0" xfId="0" applyFont="1" applyBorder="1" applyAlignment="1">
      <alignment vertical="center"/>
    </xf>
    <xf numFmtId="42" fontId="6" fillId="0" borderId="0" xfId="0" applyNumberFormat="1" applyFont="1" applyBorder="1" applyAlignment="1">
      <alignment horizontal="right" vertical="center"/>
    </xf>
    <xf numFmtId="42" fontId="6" fillId="0" borderId="0" xfId="0" applyNumberFormat="1" applyFont="1" applyBorder="1" applyAlignment="1">
      <alignment horizontal="left" vertical="center"/>
    </xf>
    <xf numFmtId="41" fontId="0" fillId="0" borderId="0" xfId="2" applyNumberFormat="1" applyFont="1" applyBorder="1" applyAlignment="1">
      <alignment vertical="center"/>
    </xf>
    <xf numFmtId="41" fontId="6" fillId="0" borderId="0" xfId="2" applyNumberFormat="1" applyFont="1" applyBorder="1" applyAlignment="1">
      <alignment horizontal="right" vertical="center"/>
    </xf>
    <xf numFmtId="41" fontId="6" fillId="0" borderId="5" xfId="2" applyNumberFormat="1" applyFont="1" applyBorder="1" applyAlignment="1">
      <alignment horizontal="right" vertical="center"/>
    </xf>
    <xf numFmtId="41" fontId="0" fillId="0" borderId="0" xfId="0" applyNumberFormat="1" applyBorder="1" applyAlignment="1">
      <alignment vertical="center"/>
    </xf>
    <xf numFmtId="41" fontId="6" fillId="0" borderId="0" xfId="0" applyNumberFormat="1" applyFont="1" applyBorder="1" applyAlignment="1">
      <alignment horizontal="right" vertical="center"/>
    </xf>
    <xf numFmtId="41" fontId="6" fillId="0" borderId="5" xfId="0" applyNumberFormat="1" applyFont="1" applyBorder="1" applyAlignment="1">
      <alignment horizontal="right" vertical="center"/>
    </xf>
    <xf numFmtId="41" fontId="6" fillId="0" borderId="0" xfId="0" applyNumberFormat="1" applyFont="1" applyBorder="1" applyAlignment="1">
      <alignment vertical="center"/>
    </xf>
    <xf numFmtId="41" fontId="5" fillId="0" borderId="0" xfId="0" applyNumberFormat="1" applyFont="1" applyBorder="1" applyAlignment="1">
      <alignment vertical="center"/>
    </xf>
    <xf numFmtId="41" fontId="6" fillId="0" borderId="0" xfId="0" applyNumberFormat="1" applyFont="1" applyBorder="1" applyAlignment="1">
      <alignment horizontal="left" vertical="center"/>
    </xf>
    <xf numFmtId="41" fontId="11" fillId="0" borderId="0" xfId="2" applyNumberFormat="1" applyFont="1" applyBorder="1"/>
    <xf numFmtId="41" fontId="5" fillId="6" borderId="0" xfId="2" applyNumberFormat="1" applyFont="1" applyFill="1" applyBorder="1"/>
    <xf numFmtId="41" fontId="9" fillId="0" borderId="0" xfId="2" applyNumberFormat="1" applyFont="1" applyBorder="1"/>
    <xf numFmtId="41" fontId="3" fillId="0" borderId="0" xfId="2" applyNumberFormat="1" applyFont="1" applyBorder="1"/>
    <xf numFmtId="42" fontId="6" fillId="0" borderId="0" xfId="0" applyNumberFormat="1" applyFont="1" applyFill="1" applyBorder="1" applyAlignment="1">
      <alignment horizontal="right" vertical="center"/>
    </xf>
    <xf numFmtId="42" fontId="6" fillId="0" borderId="0" xfId="0" applyNumberFormat="1" applyFont="1" applyFill="1" applyBorder="1" applyAlignment="1">
      <alignment horizontal="left" vertical="center"/>
    </xf>
    <xf numFmtId="41" fontId="0" fillId="0" borderId="0" xfId="0" applyNumberFormat="1" applyFill="1" applyBorder="1" applyAlignment="1">
      <alignment vertical="center"/>
    </xf>
    <xf numFmtId="41" fontId="6" fillId="0" borderId="0" xfId="0" applyNumberFormat="1" applyFont="1" applyFill="1" applyBorder="1" applyAlignment="1">
      <alignment horizontal="right" vertical="center"/>
    </xf>
    <xf numFmtId="41" fontId="6" fillId="0" borderId="0" xfId="0" applyNumberFormat="1" applyFont="1" applyFill="1" applyBorder="1" applyAlignment="1">
      <alignment vertical="center"/>
    </xf>
    <xf numFmtId="41" fontId="6" fillId="0" borderId="0" xfId="0" applyNumberFormat="1" applyFont="1" applyFill="1" applyBorder="1" applyAlignment="1">
      <alignment horizontal="left" vertical="center"/>
    </xf>
    <xf numFmtId="41" fontId="11" fillId="0" borderId="0" xfId="2" applyNumberFormat="1" applyFont="1" applyFill="1" applyBorder="1"/>
    <xf numFmtId="41" fontId="12" fillId="0" borderId="0" xfId="2" applyNumberFormat="1" applyFont="1" applyFill="1" applyBorder="1" applyAlignment="1">
      <alignment horizontal="center"/>
    </xf>
    <xf numFmtId="41" fontId="2" fillId="0" borderId="0" xfId="2" applyNumberFormat="1" applyFont="1" applyBorder="1" applyAlignment="1">
      <alignment horizontal="right"/>
    </xf>
    <xf numFmtId="41" fontId="6" fillId="0" borderId="13" xfId="2" applyNumberFormat="1" applyFont="1" applyFill="1" applyBorder="1" applyAlignment="1">
      <alignment horizontal="left" vertical="center" indent="1"/>
    </xf>
    <xf numFmtId="41" fontId="5" fillId="0" borderId="12" xfId="2" applyNumberFormat="1" applyFont="1" applyFill="1" applyBorder="1" applyAlignment="1">
      <alignment vertical="center"/>
    </xf>
    <xf numFmtId="3" fontId="0" fillId="0" borderId="0" xfId="0" applyNumberFormat="1"/>
    <xf numFmtId="0" fontId="14" fillId="0" borderId="0" xfId="0" applyFont="1" applyAlignment="1">
      <alignment horizontal="center"/>
    </xf>
    <xf numFmtId="37" fontId="40" fillId="0" borderId="11" xfId="6" applyNumberFormat="1" applyFont="1" applyBorder="1" applyProtection="1"/>
    <xf numFmtId="164" fontId="41" fillId="0" borderId="0" xfId="1" applyNumberFormat="1" applyFont="1" applyBorder="1" applyProtection="1"/>
    <xf numFmtId="41" fontId="1" fillId="0" borderId="0" xfId="2" applyNumberFormat="1"/>
    <xf numFmtId="41" fontId="10" fillId="5" borderId="0" xfId="2" applyNumberFormat="1" applyFont="1" applyFill="1" applyBorder="1" applyAlignment="1">
      <alignment horizontal="left" vertical="center"/>
    </xf>
    <xf numFmtId="41" fontId="5" fillId="0" borderId="13" xfId="2" applyNumberFormat="1" applyFont="1" applyFill="1" applyBorder="1" applyAlignment="1">
      <alignment horizontal="left" vertical="center" indent="1"/>
    </xf>
    <xf numFmtId="41" fontId="48" fillId="0" borderId="0" xfId="2" applyNumberFormat="1" applyFont="1" applyFill="1" applyBorder="1" applyAlignment="1">
      <alignment horizontal="left" vertical="center" indent="1"/>
    </xf>
    <xf numFmtId="41" fontId="13" fillId="0" borderId="0" xfId="2" applyNumberFormat="1" applyFont="1" applyAlignment="1">
      <alignment horizontal="right"/>
    </xf>
    <xf numFmtId="39" fontId="22" fillId="0" borderId="0" xfId="0" quotePrefix="1" applyNumberFormat="1" applyFont="1" applyAlignment="1">
      <alignment horizontal="center"/>
    </xf>
    <xf numFmtId="39" fontId="21" fillId="0" borderId="3" xfId="0" applyNumberFormat="1" applyFont="1" applyFill="1" applyBorder="1"/>
    <xf numFmtId="14" fontId="12" fillId="0" borderId="3" xfId="2" quotePrefix="1" applyNumberFormat="1" applyFont="1" applyFill="1" applyBorder="1" applyAlignment="1">
      <alignment horizontal="center"/>
    </xf>
    <xf numFmtId="14" fontId="12" fillId="0" borderId="0" xfId="2" quotePrefix="1" applyNumberFormat="1" applyFont="1" applyFill="1" applyBorder="1" applyAlignment="1">
      <alignment horizontal="center"/>
    </xf>
    <xf numFmtId="41" fontId="1" fillId="0" borderId="0" xfId="2" applyNumberFormat="1" applyFont="1" applyFill="1" applyBorder="1"/>
    <xf numFmtId="41" fontId="9" fillId="0" borderId="0" xfId="2" applyNumberFormat="1" applyFont="1" applyFill="1" applyBorder="1"/>
    <xf numFmtId="41" fontId="5" fillId="0" borderId="0" xfId="2" quotePrefix="1" applyNumberFormat="1" applyFont="1" applyFill="1" applyBorder="1" applyAlignment="1">
      <alignment horizontal="left" vertical="center"/>
    </xf>
    <xf numFmtId="41" fontId="3" fillId="4" borderId="0" xfId="2" applyNumberFormat="1" applyFont="1" applyFill="1" applyBorder="1"/>
    <xf numFmtId="41" fontId="12" fillId="0" borderId="0" xfId="2" applyNumberFormat="1" applyFont="1" applyBorder="1" applyAlignment="1">
      <alignment horizontal="center"/>
    </xf>
    <xf numFmtId="41" fontId="10" fillId="0" borderId="0" xfId="2" applyNumberFormat="1" applyFont="1" applyBorder="1" applyAlignment="1">
      <alignment horizontal="center"/>
    </xf>
    <xf numFmtId="41" fontId="6" fillId="0" borderId="0" xfId="2" applyNumberFormat="1" applyFont="1" applyFill="1" applyAlignment="1">
      <alignment horizontal="center"/>
    </xf>
    <xf numFmtId="41" fontId="10" fillId="0" borderId="0" xfId="2" applyNumberFormat="1" applyFont="1" applyFill="1" applyAlignment="1">
      <alignment horizontal="center"/>
    </xf>
    <xf numFmtId="41" fontId="6" fillId="0" borderId="5" xfId="2" applyNumberFormat="1" applyFont="1" applyFill="1" applyBorder="1"/>
    <xf numFmtId="0" fontId="49" fillId="0" borderId="0" xfId="0" applyFont="1" applyFill="1" applyAlignment="1">
      <alignment horizontal="left"/>
    </xf>
    <xf numFmtId="0" fontId="49" fillId="0" borderId="0" xfId="0" applyFont="1" applyFill="1" applyAlignment="1">
      <alignment horizontal="center"/>
    </xf>
    <xf numFmtId="175" fontId="49" fillId="0" borderId="0" xfId="0" applyNumberFormat="1" applyFont="1" applyFill="1" applyAlignment="1">
      <alignment horizontal="right"/>
    </xf>
    <xf numFmtId="0" fontId="50" fillId="0" borderId="0" xfId="0" applyFont="1"/>
    <xf numFmtId="37" fontId="0" fillId="0" borderId="3" xfId="0" applyNumberFormat="1" applyBorder="1"/>
    <xf numFmtId="37" fontId="0" fillId="0" borderId="0" xfId="1" applyNumberFormat="1" applyFont="1"/>
    <xf numFmtId="14" fontId="12" fillId="0" borderId="3" xfId="2" applyNumberFormat="1" applyFont="1" applyFill="1" applyBorder="1" applyAlignment="1">
      <alignment horizontal="center"/>
    </xf>
    <xf numFmtId="164" fontId="2" fillId="4" borderId="0" xfId="1" applyNumberFormat="1" applyFont="1" applyFill="1"/>
    <xf numFmtId="41" fontId="1" fillId="4" borderId="0" xfId="2" applyNumberFormat="1" applyFill="1"/>
    <xf numFmtId="164" fontId="2" fillId="7" borderId="0" xfId="1" applyNumberFormat="1" applyFont="1" applyFill="1"/>
    <xf numFmtId="41" fontId="1" fillId="0" borderId="0" xfId="2" applyNumberFormat="1" applyAlignment="1">
      <alignment horizontal="right"/>
    </xf>
    <xf numFmtId="41" fontId="1" fillId="0" borderId="0" xfId="2" applyNumberFormat="1" applyFont="1" applyAlignment="1">
      <alignment horizontal="right"/>
    </xf>
    <xf numFmtId="41" fontId="1" fillId="0" borderId="0" xfId="2" applyNumberFormat="1" applyBorder="1"/>
    <xf numFmtId="41" fontId="1" fillId="0" borderId="0" xfId="2" applyNumberFormat="1" applyFill="1"/>
    <xf numFmtId="41" fontId="6" fillId="0" borderId="12" xfId="2" applyNumberFormat="1" applyFont="1" applyFill="1" applyBorder="1"/>
    <xf numFmtId="41" fontId="5" fillId="0" borderId="0" xfId="0" applyNumberFormat="1" applyFont="1" applyFill="1" applyBorder="1" applyAlignment="1">
      <alignment vertical="center"/>
    </xf>
    <xf numFmtId="41" fontId="1" fillId="0" borderId="0" xfId="2" applyNumberFormat="1" applyFill="1" applyBorder="1"/>
    <xf numFmtId="41" fontId="1" fillId="0" borderId="0" xfId="2" applyNumberFormat="1" applyFill="1" applyBorder="1" applyAlignment="1">
      <alignment vertical="center"/>
    </xf>
    <xf numFmtId="41" fontId="6" fillId="0" borderId="5" xfId="2" applyNumberFormat="1" applyFont="1" applyFill="1" applyBorder="1" applyAlignment="1">
      <alignment horizontal="right" vertical="center"/>
    </xf>
    <xf numFmtId="41" fontId="6" fillId="0" borderId="5" xfId="0" applyNumberFormat="1" applyFont="1" applyFill="1" applyBorder="1" applyAlignment="1">
      <alignment horizontal="right" vertical="center"/>
    </xf>
    <xf numFmtId="41" fontId="6" fillId="0" borderId="13" xfId="2" applyNumberFormat="1" applyFont="1" applyFill="1" applyBorder="1" applyAlignment="1">
      <alignment horizontal="left" indent="3"/>
    </xf>
    <xf numFmtId="178" fontId="6" fillId="0" borderId="0" xfId="2" applyNumberFormat="1" applyFont="1" applyFill="1" applyBorder="1" applyAlignment="1">
      <alignment vertical="center"/>
    </xf>
    <xf numFmtId="41" fontId="6" fillId="0" borderId="0" xfId="2" applyNumberFormat="1" applyFont="1" applyFill="1" applyBorder="1" applyAlignment="1">
      <alignment horizontal="left" vertical="center" indent="3"/>
    </xf>
    <xf numFmtId="41" fontId="6" fillId="0" borderId="0" xfId="2" applyNumberFormat="1" applyFont="1" applyFill="1" applyBorder="1" applyAlignment="1">
      <alignment horizontal="center"/>
    </xf>
    <xf numFmtId="41" fontId="9" fillId="0" borderId="0" xfId="2" applyNumberFormat="1" applyFont="1" applyFill="1" applyBorder="1" applyAlignment="1">
      <alignment horizontal="center"/>
    </xf>
    <xf numFmtId="41" fontId="1" fillId="0" borderId="0" xfId="2" applyNumberFormat="1" applyFont="1" applyFill="1" applyBorder="1" applyAlignment="1">
      <alignment horizontal="center"/>
    </xf>
    <xf numFmtId="41" fontId="6" fillId="0" borderId="0" xfId="2" quotePrefix="1" applyNumberFormat="1" applyFont="1" applyFill="1" applyBorder="1" applyAlignment="1">
      <alignment horizontal="left" vertical="center"/>
    </xf>
    <xf numFmtId="41" fontId="6" fillId="0" borderId="0" xfId="2" applyNumberFormat="1" applyFont="1" applyFill="1" applyBorder="1" applyAlignment="1">
      <alignment horizontal="left" indent="3"/>
    </xf>
    <xf numFmtId="41" fontId="5" fillId="0" borderId="13" xfId="2" applyNumberFormat="1" applyFont="1" applyFill="1" applyBorder="1" applyAlignment="1">
      <alignment horizontal="left" vertical="center" indent="3"/>
    </xf>
    <xf numFmtId="41" fontId="6" fillId="0" borderId="13" xfId="2" applyNumberFormat="1" applyFont="1" applyFill="1" applyBorder="1" applyAlignment="1">
      <alignment horizontal="left" vertical="center" indent="3"/>
    </xf>
    <xf numFmtId="41" fontId="6" fillId="4" borderId="13" xfId="2" quotePrefix="1" applyNumberFormat="1" applyFont="1" applyFill="1" applyBorder="1" applyAlignment="1">
      <alignment horizontal="left" vertical="center" indent="3"/>
    </xf>
    <xf numFmtId="41" fontId="5" fillId="0" borderId="13" xfId="2" quotePrefix="1" applyNumberFormat="1" applyFont="1" applyFill="1" applyBorder="1" applyAlignment="1">
      <alignment horizontal="left" vertical="center" indent="3"/>
    </xf>
    <xf numFmtId="41" fontId="5" fillId="0" borderId="0" xfId="2" applyNumberFormat="1" applyFont="1" applyFill="1" applyBorder="1" applyAlignment="1">
      <alignment horizontal="left" vertical="center" indent="3"/>
    </xf>
    <xf numFmtId="41" fontId="6" fillId="0" borderId="0" xfId="2" applyNumberFormat="1" applyFont="1" applyBorder="1" applyAlignment="1">
      <alignment horizontal="left" indent="3"/>
    </xf>
    <xf numFmtId="41" fontId="1" fillId="6" borderId="0" xfId="2" applyNumberFormat="1" applyFill="1"/>
    <xf numFmtId="0" fontId="27" fillId="0" borderId="0" xfId="0" applyFont="1"/>
    <xf numFmtId="41" fontId="21" fillId="0" borderId="0" xfId="0" applyNumberFormat="1" applyFont="1" applyFill="1" applyBorder="1"/>
    <xf numFmtId="39" fontId="22" fillId="0" borderId="0" xfId="0" quotePrefix="1" applyNumberFormat="1" applyFont="1" applyBorder="1" applyAlignment="1">
      <alignment horizontal="right"/>
    </xf>
    <xf numFmtId="0" fontId="51" fillId="0" borderId="0" xfId="7" applyFont="1"/>
    <xf numFmtId="0" fontId="31" fillId="0" borderId="0" xfId="7" applyFont="1"/>
    <xf numFmtId="0" fontId="21" fillId="0" borderId="0" xfId="0" applyFont="1" applyAlignment="1">
      <alignment horizontal="left" indent="2"/>
    </xf>
    <xf numFmtId="41" fontId="12" fillId="0" borderId="5" xfId="2" applyNumberFormat="1" applyFont="1" applyFill="1" applyBorder="1" applyAlignment="1">
      <alignment horizontal="center"/>
    </xf>
    <xf numFmtId="39" fontId="22" fillId="0" borderId="0" xfId="0" applyNumberFormat="1" applyFont="1" applyAlignment="1">
      <alignment horizontal="right"/>
    </xf>
    <xf numFmtId="39" fontId="22" fillId="0" borderId="0" xfId="0" applyNumberFormat="1" applyFont="1"/>
    <xf numFmtId="164" fontId="21" fillId="0" borderId="0" xfId="1" applyNumberFormat="1" applyFont="1" applyFill="1" applyAlignment="1">
      <alignment horizontal="right"/>
    </xf>
    <xf numFmtId="217" fontId="49" fillId="0" borderId="0" xfId="0" applyNumberFormat="1" applyFont="1" applyFill="1" applyAlignment="1">
      <alignment horizontal="right"/>
    </xf>
    <xf numFmtId="41" fontId="5" fillId="0" borderId="0" xfId="0" applyNumberFormat="1" applyFont="1" applyBorder="1" applyAlignment="1">
      <alignment horizontal="right" vertical="center"/>
    </xf>
    <xf numFmtId="41" fontId="5" fillId="0" borderId="0" xfId="0" applyNumberFormat="1" applyFont="1" applyFill="1" applyBorder="1" applyAlignment="1">
      <alignment horizontal="right" vertical="center"/>
    </xf>
    <xf numFmtId="41" fontId="5" fillId="0" borderId="3" xfId="0" applyNumberFormat="1" applyFont="1" applyFill="1" applyBorder="1" applyAlignment="1">
      <alignment horizontal="right" vertical="center"/>
    </xf>
    <xf numFmtId="14" fontId="12" fillId="0" borderId="0" xfId="2" applyNumberFormat="1" applyFont="1" applyFill="1" applyBorder="1" applyAlignment="1">
      <alignment horizontal="center"/>
    </xf>
    <xf numFmtId="41" fontId="6" fillId="0" borderId="0" xfId="2" applyNumberFormat="1" applyFont="1" applyAlignment="1">
      <alignment horizontal="left" indent="1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left" indent="4"/>
    </xf>
    <xf numFmtId="168" fontId="54" fillId="0" borderId="0" xfId="2" applyNumberFormat="1" applyFont="1" applyAlignment="1">
      <alignment horizontal="center"/>
    </xf>
    <xf numFmtId="168" fontId="48" fillId="0" borderId="4" xfId="2" applyNumberFormat="1" applyFont="1" applyBorder="1" applyAlignment="1"/>
    <xf numFmtId="0" fontId="55" fillId="0" borderId="0" xfId="4" applyFont="1" applyFill="1" applyAlignment="1">
      <alignment horizontal="left"/>
    </xf>
    <xf numFmtId="0" fontId="55" fillId="0" borderId="0" xfId="4" applyFont="1" applyFill="1" applyAlignment="1">
      <alignment horizontal="center"/>
    </xf>
    <xf numFmtId="217" fontId="55" fillId="0" borderId="0" xfId="4" applyNumberFormat="1" applyFont="1" applyFill="1" applyAlignment="1">
      <alignment horizontal="right"/>
    </xf>
    <xf numFmtId="175" fontId="55" fillId="0" borderId="0" xfId="4" applyNumberFormat="1" applyFont="1" applyFill="1" applyAlignment="1">
      <alignment horizontal="right"/>
    </xf>
    <xf numFmtId="0" fontId="28" fillId="0" borderId="0" xfId="4"/>
    <xf numFmtId="10" fontId="28" fillId="0" borderId="30" xfId="0" applyNumberFormat="1" applyFont="1" applyBorder="1" applyAlignment="1" applyProtection="1">
      <alignment vertical="justify" textRotation="64"/>
      <protection locked="0"/>
    </xf>
    <xf numFmtId="0" fontId="49" fillId="0" borderId="0" xfId="4" applyFont="1" applyFill="1" applyAlignment="1">
      <alignment horizontal="left"/>
    </xf>
    <xf numFmtId="0" fontId="49" fillId="0" borderId="0" xfId="4" applyFont="1" applyFill="1" applyAlignment="1">
      <alignment horizontal="center"/>
    </xf>
    <xf numFmtId="217" fontId="49" fillId="0" borderId="0" xfId="4" applyNumberFormat="1" applyFont="1" applyFill="1" applyAlignment="1">
      <alignment horizontal="right"/>
    </xf>
    <xf numFmtId="175" fontId="49" fillId="0" borderId="0" xfId="4" applyNumberFormat="1" applyFont="1" applyFill="1" applyAlignment="1">
      <alignment horizontal="right"/>
    </xf>
    <xf numFmtId="0" fontId="51" fillId="0" borderId="0" xfId="4" applyFont="1"/>
    <xf numFmtId="0" fontId="51" fillId="0" borderId="0" xfId="4" applyFont="1" applyAlignment="1" applyProtection="1">
      <alignment vertical="top"/>
      <protection locked="0"/>
    </xf>
    <xf numFmtId="39" fontId="21" fillId="0" borderId="4" xfId="0" applyNumberFormat="1" applyFont="1" applyBorder="1"/>
    <xf numFmtId="41" fontId="5" fillId="0" borderId="0" xfId="2" applyNumberFormat="1" applyFont="1" applyBorder="1" applyAlignment="1">
      <alignment horizontal="left" indent="3"/>
    </xf>
    <xf numFmtId="168" fontId="54" fillId="0" borderId="0" xfId="2" applyNumberFormat="1" applyFont="1" applyAlignment="1">
      <alignment horizontal="left"/>
    </xf>
    <xf numFmtId="0" fontId="48" fillId="0" borderId="0" xfId="0" applyFont="1" applyAlignment="1">
      <alignment horizontal="center"/>
    </xf>
    <xf numFmtId="39" fontId="21" fillId="7" borderId="0" xfId="0" applyNumberFormat="1" applyFont="1" applyFill="1"/>
    <xf numFmtId="178" fontId="6" fillId="5" borderId="0" xfId="2" applyNumberFormat="1" applyFont="1" applyFill="1"/>
    <xf numFmtId="39" fontId="21" fillId="7" borderId="3" xfId="0" applyNumberFormat="1" applyFont="1" applyFill="1" applyBorder="1"/>
    <xf numFmtId="0" fontId="22" fillId="0" borderId="0" xfId="0" applyFont="1"/>
    <xf numFmtId="39" fontId="22" fillId="0" borderId="4" xfId="0" applyNumberFormat="1" applyFont="1" applyBorder="1"/>
    <xf numFmtId="39" fontId="22" fillId="0" borderId="4" xfId="0" applyNumberFormat="1" applyFont="1" applyFill="1" applyBorder="1"/>
    <xf numFmtId="0" fontId="22" fillId="0" borderId="0" xfId="0" applyNumberFormat="1" applyFont="1" applyFill="1" applyBorder="1"/>
    <xf numFmtId="0" fontId="22" fillId="0" borderId="0" xfId="0" applyFont="1" applyFill="1" applyBorder="1"/>
    <xf numFmtId="0" fontId="27" fillId="0" borderId="0" xfId="0" applyFont="1" applyFill="1" applyBorder="1"/>
    <xf numFmtId="39" fontId="22" fillId="0" borderId="0" xfId="0" applyNumberFormat="1" applyFont="1" applyFill="1" applyBorder="1"/>
    <xf numFmtId="41" fontId="6" fillId="4" borderId="4" xfId="2" applyNumberFormat="1" applyFont="1" applyFill="1" applyBorder="1" applyAlignment="1">
      <alignment horizontal="left" indent="1"/>
    </xf>
    <xf numFmtId="41" fontId="6" fillId="0" borderId="0" xfId="2" applyNumberFormat="1" applyFont="1" applyAlignment="1">
      <alignment horizontal="left"/>
    </xf>
    <xf numFmtId="41" fontId="6" fillId="4" borderId="4" xfId="2" applyNumberFormat="1" applyFont="1" applyFill="1" applyBorder="1" applyAlignment="1">
      <alignment horizontal="left"/>
    </xf>
    <xf numFmtId="41" fontId="2" fillId="0" borderId="0" xfId="2" applyNumberFormat="1" applyFont="1" applyAlignment="1">
      <alignment horizontal="left" indent="1"/>
    </xf>
    <xf numFmtId="41" fontId="3" fillId="0" borderId="0" xfId="2" applyNumberFormat="1" applyFont="1" applyAlignment="1">
      <alignment horizontal="left" indent="1"/>
    </xf>
    <xf numFmtId="41" fontId="2" fillId="0" borderId="3" xfId="2" applyNumberFormat="1" applyFont="1" applyBorder="1" applyAlignment="1">
      <alignment horizontal="left" indent="1"/>
    </xf>
    <xf numFmtId="41" fontId="5" fillId="0" borderId="0" xfId="2" applyNumberFormat="1" applyFont="1" applyAlignment="1">
      <alignment horizontal="left" indent="1"/>
    </xf>
    <xf numFmtId="41" fontId="5" fillId="0" borderId="5" xfId="2" applyNumberFormat="1" applyFont="1" applyBorder="1" applyAlignment="1">
      <alignment horizontal="left" indent="1"/>
    </xf>
    <xf numFmtId="41" fontId="5" fillId="0" borderId="0" xfId="2" applyNumberFormat="1" applyFont="1" applyBorder="1" applyAlignment="1">
      <alignment horizontal="left" indent="1"/>
    </xf>
    <xf numFmtId="41" fontId="6" fillId="5" borderId="0" xfId="2" applyNumberFormat="1" applyFont="1" applyFill="1" applyAlignment="1">
      <alignment horizontal="left" indent="1"/>
    </xf>
    <xf numFmtId="41" fontId="6" fillId="0" borderId="0" xfId="0" applyNumberFormat="1" applyFont="1" applyBorder="1" applyAlignment="1">
      <alignment horizontal="left" vertical="center" indent="1"/>
    </xf>
    <xf numFmtId="41" fontId="6" fillId="0" borderId="5" xfId="0" applyNumberFormat="1" applyFont="1" applyBorder="1" applyAlignment="1">
      <alignment horizontal="left" vertical="center" indent="1"/>
    </xf>
    <xf numFmtId="41" fontId="0" fillId="0" borderId="0" xfId="0" applyNumberFormat="1" applyBorder="1" applyAlignment="1">
      <alignment horizontal="left" vertical="center" indent="1"/>
    </xf>
    <xf numFmtId="41" fontId="6" fillId="4" borderId="0" xfId="2" applyNumberFormat="1" applyFont="1" applyFill="1" applyAlignment="1">
      <alignment horizontal="left" indent="1"/>
    </xf>
    <xf numFmtId="41" fontId="6" fillId="0" borderId="0" xfId="2" applyNumberFormat="1" applyFont="1" applyFill="1" applyAlignment="1">
      <alignment horizontal="left" indent="1"/>
    </xf>
    <xf numFmtId="41" fontId="5" fillId="0" borderId="0" xfId="0" applyNumberFormat="1" applyFont="1" applyBorder="1" applyAlignment="1">
      <alignment horizontal="left" vertical="center" indent="1"/>
    </xf>
    <xf numFmtId="41" fontId="5" fillId="0" borderId="0" xfId="2" applyNumberFormat="1" applyFont="1" applyFill="1" applyAlignment="1">
      <alignment horizontal="left" indent="1"/>
    </xf>
    <xf numFmtId="41" fontId="6" fillId="0" borderId="5" xfId="2" applyNumberFormat="1" applyFont="1" applyBorder="1" applyAlignment="1">
      <alignment horizontal="left" indent="1"/>
    </xf>
    <xf numFmtId="41" fontId="6" fillId="0" borderId="0" xfId="2" applyNumberFormat="1" applyFont="1" applyBorder="1" applyAlignment="1">
      <alignment horizontal="left" indent="1"/>
    </xf>
    <xf numFmtId="41" fontId="5" fillId="0" borderId="0" xfId="2" applyNumberFormat="1" applyFont="1" applyFill="1" applyBorder="1" applyAlignment="1">
      <alignment horizontal="left" indent="1"/>
    </xf>
    <xf numFmtId="41" fontId="6" fillId="0" borderId="5" xfId="2" applyNumberFormat="1" applyFont="1" applyFill="1" applyBorder="1" applyAlignment="1">
      <alignment horizontal="left" indent="1"/>
    </xf>
    <xf numFmtId="41" fontId="6" fillId="4" borderId="0" xfId="2" applyNumberFormat="1" applyFont="1" applyFill="1" applyAlignment="1">
      <alignment horizontal="left"/>
    </xf>
    <xf numFmtId="41" fontId="5" fillId="0" borderId="5" xfId="2" applyNumberFormat="1" applyFont="1" applyFill="1" applyBorder="1" applyAlignment="1">
      <alignment horizontal="left" indent="1"/>
    </xf>
    <xf numFmtId="41" fontId="6" fillId="4" borderId="0" xfId="2" applyNumberFormat="1" applyFont="1" applyFill="1" applyBorder="1" applyAlignment="1">
      <alignment horizontal="left" indent="1"/>
    </xf>
    <xf numFmtId="41" fontId="5" fillId="6" borderId="0" xfId="2" applyNumberFormat="1" applyFont="1" applyFill="1" applyAlignment="1">
      <alignment horizontal="left" indent="1"/>
    </xf>
    <xf numFmtId="41" fontId="6" fillId="5" borderId="0" xfId="2" applyNumberFormat="1" applyFont="1" applyFill="1" applyBorder="1" applyAlignment="1">
      <alignment horizontal="left" indent="1"/>
    </xf>
    <xf numFmtId="41" fontId="5" fillId="0" borderId="0" xfId="2" applyNumberFormat="1" applyFont="1" applyFill="1" applyBorder="1" applyAlignment="1">
      <alignment horizontal="left" vertical="center" indent="1"/>
    </xf>
    <xf numFmtId="41" fontId="10" fillId="4" borderId="0" xfId="2" applyNumberFormat="1" applyFont="1" applyFill="1" applyBorder="1" applyAlignment="1">
      <alignment horizontal="left" vertical="center"/>
    </xf>
    <xf numFmtId="41" fontId="2" fillId="4" borderId="0" xfId="2" applyNumberFormat="1" applyFont="1" applyFill="1" applyBorder="1" applyAlignment="1">
      <alignment horizontal="left" vertical="center"/>
    </xf>
    <xf numFmtId="41" fontId="12" fillId="4" borderId="0" xfId="2" applyNumberFormat="1" applyFont="1" applyFill="1" applyBorder="1" applyAlignment="1">
      <alignment horizontal="left" vertical="center"/>
    </xf>
    <xf numFmtId="41" fontId="2" fillId="0" borderId="0" xfId="2" quotePrefix="1" applyNumberFormat="1" applyFont="1" applyFill="1" applyBorder="1" applyAlignment="1">
      <alignment horizontal="left" vertical="center"/>
    </xf>
    <xf numFmtId="41" fontId="6" fillId="6" borderId="0" xfId="2" applyNumberFormat="1" applyFont="1" applyFill="1" applyBorder="1" applyAlignment="1">
      <alignment horizontal="left" vertical="center"/>
    </xf>
    <xf numFmtId="41" fontId="6" fillId="5" borderId="0" xfId="0" applyNumberFormat="1" applyFont="1" applyFill="1" applyBorder="1" applyAlignment="1">
      <alignment vertical="center"/>
    </xf>
    <xf numFmtId="17" fontId="6" fillId="0" borderId="0" xfId="0" applyNumberFormat="1" applyFont="1" applyAlignment="1">
      <alignment horizontal="center"/>
    </xf>
    <xf numFmtId="37" fontId="15" fillId="0" borderId="0" xfId="0" quotePrefix="1" applyNumberFormat="1" applyFont="1" applyAlignment="1">
      <alignment horizontal="center"/>
    </xf>
    <xf numFmtId="168" fontId="48" fillId="0" borderId="0" xfId="2" applyNumberFormat="1" applyFont="1" applyAlignment="1">
      <alignment horizontal="center"/>
    </xf>
    <xf numFmtId="0" fontId="6" fillId="0" borderId="0" xfId="0" applyFont="1" applyAlignment="1">
      <alignment horizontal="left"/>
    </xf>
    <xf numFmtId="14" fontId="0" fillId="0" borderId="0" xfId="0" applyNumberFormat="1" applyAlignment="1"/>
    <xf numFmtId="41" fontId="15" fillId="0" borderId="0" xfId="2" applyNumberFormat="1" applyFont="1" applyBorder="1"/>
    <xf numFmtId="41" fontId="5" fillId="8" borderId="0" xfId="2" applyNumberFormat="1" applyFont="1" applyFill="1" applyBorder="1"/>
    <xf numFmtId="41" fontId="5" fillId="8" borderId="0" xfId="2" applyNumberFormat="1" applyFont="1" applyFill="1"/>
    <xf numFmtId="41" fontId="9" fillId="8" borderId="0" xfId="2" applyNumberFormat="1" applyFont="1" applyFill="1"/>
    <xf numFmtId="41" fontId="9" fillId="8" borderId="0" xfId="2" applyNumberFormat="1" applyFont="1" applyFill="1" applyBorder="1"/>
    <xf numFmtId="164" fontId="15" fillId="0" borderId="0" xfId="1" applyNumberFormat="1" applyFont="1"/>
    <xf numFmtId="41" fontId="15" fillId="8" borderId="0" xfId="2" applyNumberFormat="1" applyFont="1" applyFill="1" applyBorder="1"/>
    <xf numFmtId="41" fontId="15" fillId="8" borderId="31" xfId="2" applyNumberFormat="1" applyFont="1" applyFill="1" applyBorder="1"/>
    <xf numFmtId="41" fontId="10" fillId="4" borderId="0" xfId="2" applyNumberFormat="1" applyFont="1" applyFill="1" applyBorder="1" applyAlignment="1">
      <alignment horizontal="left" vertical="center"/>
    </xf>
    <xf numFmtId="164" fontId="15" fillId="0" borderId="3" xfId="1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41" fontId="10" fillId="4" borderId="13" xfId="2" applyNumberFormat="1" applyFont="1" applyFill="1" applyBorder="1" applyAlignment="1">
      <alignment horizontal="left" vertical="center"/>
    </xf>
  </cellXfs>
  <cellStyles count="9">
    <cellStyle name="Comma" xfId="1" builtinId="3"/>
    <cellStyle name="Currency" xfId="2" builtinId="4"/>
    <cellStyle name="Normal" xfId="0" builtinId="0"/>
    <cellStyle name="Normal_CAPEX_AN" xfId="3"/>
    <cellStyle name="Normal_InvDetail_InceptiontoDate" xfId="4"/>
    <cellStyle name="Normal_MAJASSUM" xfId="5"/>
    <cellStyle name="Normal_OBLIGDET" xfId="6"/>
    <cellStyle name="Normal_rptInvoiceActivity_ByWorkOrder" xfId="7"/>
    <cellStyle name="Percent" xfId="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Elvis/Combined%20Budget%2020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GenSvcs/Doyle/Current%20Models/BH.IDC%20Fi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Doyle%20Wkly%201124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9/Plan/CashFlow/SUP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ECC%20Payment%20Detail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Doyle%20Wkly%200211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Doyle%20Wkly%2002180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Walton%20EMC/99%20Weekly%20Reports/Doyle%20Wkly%20121799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&amp;M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Assumptions"/>
      <sheetName val="Current Budget"/>
      <sheetName val="Refurb Budget"/>
      <sheetName val="IDC Calc"/>
      <sheetName val="PDA Pmt Sched"/>
      <sheetName val="Debt Amortization"/>
      <sheetName val="Book Income Statement"/>
      <sheetName val="Cash Flow Statement"/>
      <sheetName val="Tax Calculations"/>
      <sheetName val="Depreciation"/>
      <sheetName val="Enron Pre-Tax Returns"/>
      <sheetName val="Balance_Sht"/>
      <sheetName val="Operations"/>
      <sheetName val="PPA Assumptions"/>
      <sheetName val="Maintenance Reserves"/>
      <sheetName val="Capacity Adj Table"/>
      <sheetName val="NEPCO Cost Schedule"/>
    </sheetNames>
    <sheetDataSet>
      <sheetData sheetId="0" refreshError="1"/>
      <sheetData sheetId="1" refreshError="1"/>
      <sheetData sheetId="2" refreshError="1">
        <row r="62">
          <cell r="C62">
            <v>19264210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A Mquip"/>
      <sheetName val="EECC"/>
      <sheetName val="Summary"/>
      <sheetName val="IDC"/>
      <sheetName val="Doyle"/>
      <sheetName val="Invoice Detail"/>
      <sheetName val="Turbine Transportation"/>
      <sheetName val="InvDetail_InceptiontoDate"/>
      <sheetName val="Turbine Detail"/>
      <sheetName val="LEC Burners"/>
      <sheetName val="WO_Recon"/>
      <sheetName val="Non_WO_costs"/>
      <sheetName val="To Update"/>
    </sheetNames>
    <sheetDataSet>
      <sheetData sheetId="0"/>
      <sheetData sheetId="1"/>
      <sheetData sheetId="2"/>
      <sheetData sheetId="3"/>
      <sheetData sheetId="4"/>
      <sheetData sheetId="5">
        <row r="4">
          <cell r="S4" t="str">
            <v>Actuals</v>
          </cell>
          <cell r="U4" t="str">
            <v>Actuals</v>
          </cell>
          <cell r="W4" t="str">
            <v>Actuals</v>
          </cell>
          <cell r="Y4" t="str">
            <v>Actuals</v>
          </cell>
          <cell r="AA4" t="str">
            <v>Actuals</v>
          </cell>
          <cell r="AC4" t="str">
            <v>Actuals</v>
          </cell>
          <cell r="AE4" t="str">
            <v>Actuals</v>
          </cell>
          <cell r="AG4" t="str">
            <v>Actuals</v>
          </cell>
          <cell r="AI4" t="str">
            <v>Actuals</v>
          </cell>
          <cell r="AK4" t="str">
            <v>Actuals</v>
          </cell>
          <cell r="AM4" t="str">
            <v>Actuals</v>
          </cell>
          <cell r="AO4" t="str">
            <v>Actuals</v>
          </cell>
          <cell r="AQ4" t="str">
            <v>Actuals</v>
          </cell>
          <cell r="AS4" t="str">
            <v>Actuals</v>
          </cell>
          <cell r="AU4" t="str">
            <v>Actuals</v>
          </cell>
          <cell r="AW4" t="str">
            <v>Actuals</v>
          </cell>
          <cell r="AY4" t="str">
            <v>Actuals</v>
          </cell>
          <cell r="BA4" t="str">
            <v>Actuals</v>
          </cell>
          <cell r="BC4" t="str">
            <v>Actuals</v>
          </cell>
          <cell r="BE4" t="str">
            <v>Actuals</v>
          </cell>
          <cell r="BG4" t="str">
            <v>Actuals</v>
          </cell>
          <cell r="BM4" t="str">
            <v>Anticipated</v>
          </cell>
        </row>
        <row r="5">
          <cell r="Q5" t="str">
            <v>Actuals to Date</v>
          </cell>
          <cell r="S5" t="str">
            <v>(Mo-to-date)</v>
          </cell>
          <cell r="U5" t="str">
            <v>(Mo-to-date)</v>
          </cell>
          <cell r="W5" t="str">
            <v>(Mo-to-date)</v>
          </cell>
          <cell r="Y5" t="str">
            <v>(Mo-to-date)</v>
          </cell>
          <cell r="AA5" t="str">
            <v>(Mo-to-date)</v>
          </cell>
          <cell r="AC5" t="str">
            <v>(Mo-to-date)</v>
          </cell>
          <cell r="AE5" t="str">
            <v>(Mo-to-date)</v>
          </cell>
          <cell r="AG5" t="str">
            <v>(Mo-to-date)</v>
          </cell>
          <cell r="AI5" t="str">
            <v>(Mo-to-date)</v>
          </cell>
          <cell r="AK5" t="str">
            <v>(Mo-to-date)</v>
          </cell>
          <cell r="AM5" t="str">
            <v>(Mo-to-date)</v>
          </cell>
          <cell r="AO5" t="str">
            <v>(Mo-to-date)</v>
          </cell>
          <cell r="AQ5" t="str">
            <v>(Mo-to-date)</v>
          </cell>
          <cell r="AS5" t="str">
            <v>(Mo-to-date)</v>
          </cell>
          <cell r="AU5" t="str">
            <v>(Mo-to-date)</v>
          </cell>
          <cell r="AW5" t="str">
            <v>(Mo-to-date)</v>
          </cell>
          <cell r="AY5" t="str">
            <v>(Mo-to-date)</v>
          </cell>
          <cell r="BA5" t="str">
            <v>(Mo-to-date)</v>
          </cell>
          <cell r="BC5" t="str">
            <v>(Mo-to-date)</v>
          </cell>
          <cell r="BE5" t="str">
            <v>(Mo-to-date)</v>
          </cell>
          <cell r="BG5" t="str">
            <v>(Mo-to-date)</v>
          </cell>
          <cell r="BM5" t="str">
            <v>Increase /</v>
          </cell>
        </row>
        <row r="6">
          <cell r="C6" t="str">
            <v>Vendor</v>
          </cell>
          <cell r="E6" t="str">
            <v>Responsibility</v>
          </cell>
          <cell r="G6" t="str">
            <v>Enron Contact</v>
          </cell>
          <cell r="I6" t="str">
            <v>Certainty</v>
          </cell>
          <cell r="Q6" t="str">
            <v>12/31/98</v>
          </cell>
          <cell r="S6" t="str">
            <v>01/31/99</v>
          </cell>
          <cell r="U6" t="str">
            <v>02/28/99</v>
          </cell>
          <cell r="W6" t="str">
            <v>03/31/99</v>
          </cell>
          <cell r="Y6" t="str">
            <v>04/30/99</v>
          </cell>
          <cell r="AA6" t="str">
            <v>05/31/99</v>
          </cell>
          <cell r="AC6" t="str">
            <v>06/30/99</v>
          </cell>
          <cell r="AE6" t="str">
            <v>07/31/99</v>
          </cell>
          <cell r="AG6" t="str">
            <v>08/31/99</v>
          </cell>
          <cell r="AI6" t="str">
            <v>09/30/99</v>
          </cell>
          <cell r="AK6" t="str">
            <v>10/31/99</v>
          </cell>
          <cell r="AL6" t="str">
            <v>10/31/100</v>
          </cell>
          <cell r="AM6" t="str">
            <v>10/31/101</v>
          </cell>
          <cell r="AN6" t="str">
            <v>10/31/102</v>
          </cell>
          <cell r="AO6" t="str">
            <v>10/31/103</v>
          </cell>
          <cell r="AP6" t="str">
            <v>10/31/104</v>
          </cell>
          <cell r="AQ6" t="str">
            <v>10/31/105</v>
          </cell>
          <cell r="AR6" t="str">
            <v>10/31/106</v>
          </cell>
          <cell r="AS6" t="str">
            <v>10/31/107</v>
          </cell>
          <cell r="AT6" t="str">
            <v>10/31/108</v>
          </cell>
          <cell r="AU6" t="str">
            <v>10/31/109</v>
          </cell>
          <cell r="AV6" t="str">
            <v>10/31/110</v>
          </cell>
          <cell r="AW6" t="str">
            <v>10/31/111</v>
          </cell>
          <cell r="AX6" t="str">
            <v>10/31/112</v>
          </cell>
          <cell r="AY6" t="str">
            <v>10/31/113</v>
          </cell>
          <cell r="AZ6" t="str">
            <v>10/31/114</v>
          </cell>
          <cell r="BA6" t="str">
            <v>10/31/115</v>
          </cell>
          <cell r="BB6" t="str">
            <v>10/31/116</v>
          </cell>
          <cell r="BC6" t="str">
            <v>10/31/117</v>
          </cell>
          <cell r="BD6" t="str">
            <v>10/31/118</v>
          </cell>
          <cell r="BE6" t="str">
            <v>10/31/119</v>
          </cell>
          <cell r="BF6" t="str">
            <v>10/31/120</v>
          </cell>
          <cell r="BG6" t="str">
            <v>10/31/121</v>
          </cell>
          <cell r="BM6" t="str">
            <v>(Savings)</v>
          </cell>
        </row>
        <row r="7">
          <cell r="Q7" t="str">
            <v>as of 11/19/99</v>
          </cell>
          <cell r="S7" t="str">
            <v>as of 11/19/99</v>
          </cell>
          <cell r="U7" t="str">
            <v>as of 11/19/99</v>
          </cell>
          <cell r="W7" t="str">
            <v>as of 11/19/99</v>
          </cell>
          <cell r="Y7" t="str">
            <v>as of 11/19/99</v>
          </cell>
          <cell r="AA7" t="str">
            <v>as of 11/19/99</v>
          </cell>
          <cell r="AC7" t="str">
            <v>as of 11/19/99</v>
          </cell>
          <cell r="AE7" t="str">
            <v>as of 11/19/99</v>
          </cell>
          <cell r="AG7" t="str">
            <v>as of 11/19/99</v>
          </cell>
          <cell r="AI7" t="str">
            <v>as of 11/19/99</v>
          </cell>
          <cell r="AK7" t="str">
            <v>as of 11/19/99</v>
          </cell>
          <cell r="AL7" t="str">
            <v>as of 11/19/99</v>
          </cell>
          <cell r="AM7" t="str">
            <v>as of 11/19/99</v>
          </cell>
          <cell r="AN7" t="str">
            <v>as of 11/19/99</v>
          </cell>
          <cell r="AO7" t="str">
            <v>as of 11/19/99</v>
          </cell>
          <cell r="AP7" t="str">
            <v>as of 11/19/99</v>
          </cell>
          <cell r="AQ7" t="str">
            <v>as of 11/19/99</v>
          </cell>
          <cell r="AR7" t="str">
            <v>as of 11/19/99</v>
          </cell>
          <cell r="AS7" t="str">
            <v>as of 11/19/99</v>
          </cell>
          <cell r="AT7" t="str">
            <v>as of 11/19/99</v>
          </cell>
          <cell r="AU7" t="str">
            <v>as of 11/19/99</v>
          </cell>
          <cell r="AV7" t="str">
            <v>as of 11/19/99</v>
          </cell>
          <cell r="AW7" t="str">
            <v>as of 11/19/99</v>
          </cell>
          <cell r="AX7" t="str">
            <v>as of 11/19/99</v>
          </cell>
          <cell r="AY7" t="str">
            <v>as of 11/19/99</v>
          </cell>
          <cell r="AZ7" t="str">
            <v>as of 11/19/99</v>
          </cell>
          <cell r="BA7" t="str">
            <v>as of 11/19/99</v>
          </cell>
          <cell r="BB7" t="str">
            <v>as of 11/19/99</v>
          </cell>
          <cell r="BC7" t="str">
            <v>as of 11/19/99</v>
          </cell>
          <cell r="BD7" t="str">
            <v>as of 11/19/99</v>
          </cell>
          <cell r="BE7" t="str">
            <v>as of 11/19/99</v>
          </cell>
          <cell r="BF7" t="str">
            <v>as of 11/19/99</v>
          </cell>
          <cell r="BG7" t="str">
            <v>as of 11/19/99</v>
          </cell>
          <cell r="BM7" t="str">
            <v>as of 11/19/99</v>
          </cell>
        </row>
        <row r="9">
          <cell r="C9" t="str">
            <v>Kepco</v>
          </cell>
          <cell r="Q9">
            <v>21150000</v>
          </cell>
          <cell r="S9">
            <v>2196801.2999999998</v>
          </cell>
          <cell r="U9">
            <v>0</v>
          </cell>
          <cell r="AC9">
            <v>0</v>
          </cell>
          <cell r="AE9">
            <v>0</v>
          </cell>
          <cell r="AG9">
            <v>0</v>
          </cell>
          <cell r="AI9">
            <v>0</v>
          </cell>
          <cell r="AK9">
            <v>0</v>
          </cell>
          <cell r="AM9">
            <v>0</v>
          </cell>
          <cell r="AO9">
            <v>0</v>
          </cell>
          <cell r="AQ9">
            <v>0</v>
          </cell>
          <cell r="AS9">
            <v>0</v>
          </cell>
          <cell r="AU9">
            <v>0</v>
          </cell>
          <cell r="AW9">
            <v>0</v>
          </cell>
          <cell r="AY9">
            <v>0</v>
          </cell>
          <cell r="BA9">
            <v>0</v>
          </cell>
          <cell r="BC9">
            <v>0</v>
          </cell>
          <cell r="BE9">
            <v>0</v>
          </cell>
          <cell r="BG9">
            <v>0</v>
          </cell>
          <cell r="BM9">
            <v>-2850000</v>
          </cell>
        </row>
        <row r="10">
          <cell r="C10" t="str">
            <v>IBC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  <cell r="AA10">
            <v>0</v>
          </cell>
          <cell r="AC10">
            <v>0</v>
          </cell>
          <cell r="AE10">
            <v>0</v>
          </cell>
          <cell r="AG10">
            <v>0</v>
          </cell>
          <cell r="AI10">
            <v>0</v>
          </cell>
          <cell r="AK10">
            <v>0</v>
          </cell>
          <cell r="AM10">
            <v>0</v>
          </cell>
          <cell r="AO10">
            <v>0</v>
          </cell>
          <cell r="AQ10">
            <v>0</v>
          </cell>
          <cell r="AS10">
            <v>0</v>
          </cell>
          <cell r="AU10">
            <v>0</v>
          </cell>
          <cell r="AW10">
            <v>0</v>
          </cell>
          <cell r="AY10">
            <v>0</v>
          </cell>
          <cell r="BA10">
            <v>0</v>
          </cell>
          <cell r="BC10">
            <v>0</v>
          </cell>
          <cell r="BE10">
            <v>0</v>
          </cell>
          <cell r="BG10">
            <v>0</v>
          </cell>
          <cell r="BM10">
            <v>0</v>
          </cell>
        </row>
        <row r="11">
          <cell r="C11" t="str">
            <v>IBC</v>
          </cell>
          <cell r="Q11">
            <v>0</v>
          </cell>
          <cell r="S11">
            <v>2067105.1800000002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273433.65000000002</v>
          </cell>
          <cell r="AE11">
            <v>0</v>
          </cell>
          <cell r="AG11">
            <v>0</v>
          </cell>
          <cell r="AI11">
            <v>0</v>
          </cell>
          <cell r="AK11">
            <v>0</v>
          </cell>
          <cell r="AM11">
            <v>0</v>
          </cell>
          <cell r="AO11">
            <v>0</v>
          </cell>
          <cell r="AQ11">
            <v>0</v>
          </cell>
          <cell r="AS11">
            <v>0</v>
          </cell>
          <cell r="AU11">
            <v>0</v>
          </cell>
          <cell r="AW11">
            <v>0</v>
          </cell>
          <cell r="AY11">
            <v>0</v>
          </cell>
          <cell r="BA11">
            <v>0</v>
          </cell>
          <cell r="BC11">
            <v>0</v>
          </cell>
          <cell r="BE11">
            <v>0</v>
          </cell>
          <cell r="BG11">
            <v>0</v>
          </cell>
          <cell r="BM11">
            <v>0</v>
          </cell>
        </row>
        <row r="12">
          <cell r="C12" t="str">
            <v>IBC</v>
          </cell>
          <cell r="AA12">
            <v>2257866.41</v>
          </cell>
          <cell r="AC12">
            <v>256779.48999999993</v>
          </cell>
          <cell r="AE12">
            <v>-432926.73</v>
          </cell>
          <cell r="AG12">
            <v>609216.99</v>
          </cell>
          <cell r="AI12">
            <v>1824870.1600000001</v>
          </cell>
          <cell r="AK12">
            <v>3795496.9899999998</v>
          </cell>
        </row>
        <row r="13">
          <cell r="Q13">
            <v>0</v>
          </cell>
          <cell r="S13">
            <v>0</v>
          </cell>
          <cell r="U13">
            <v>3055146.4</v>
          </cell>
          <cell r="W13">
            <v>0</v>
          </cell>
          <cell r="Y13">
            <v>2444117</v>
          </cell>
          <cell r="AA13">
            <v>0</v>
          </cell>
          <cell r="AC13">
            <v>0</v>
          </cell>
          <cell r="AE13">
            <v>-1531631.9</v>
          </cell>
          <cell r="AG13">
            <v>510000</v>
          </cell>
          <cell r="AK13">
            <v>0</v>
          </cell>
          <cell r="AM13">
            <v>0</v>
          </cell>
          <cell r="AO13">
            <v>0</v>
          </cell>
          <cell r="AQ13">
            <v>0</v>
          </cell>
          <cell r="AS13">
            <v>0</v>
          </cell>
          <cell r="AU13">
            <v>0</v>
          </cell>
          <cell r="AW13">
            <v>0</v>
          </cell>
          <cell r="AY13">
            <v>0</v>
          </cell>
          <cell r="BA13">
            <v>0</v>
          </cell>
          <cell r="BC13">
            <v>0</v>
          </cell>
          <cell r="BE13">
            <v>0</v>
          </cell>
          <cell r="BG13">
            <v>0</v>
          </cell>
          <cell r="BM13">
            <v>0</v>
          </cell>
        </row>
        <row r="14">
          <cell r="C14" t="str">
            <v>IBC</v>
          </cell>
        </row>
        <row r="15">
          <cell r="C15" t="str">
            <v>IBC</v>
          </cell>
          <cell r="Q15">
            <v>0</v>
          </cell>
          <cell r="S15">
            <v>0</v>
          </cell>
          <cell r="U15">
            <v>0</v>
          </cell>
          <cell r="W15">
            <v>0</v>
          </cell>
          <cell r="Y15">
            <v>0</v>
          </cell>
          <cell r="AA15">
            <v>0</v>
          </cell>
          <cell r="AC15">
            <v>0</v>
          </cell>
          <cell r="AE15">
            <v>0</v>
          </cell>
          <cell r="AG15">
            <v>0</v>
          </cell>
          <cell r="AI15">
            <v>0</v>
          </cell>
          <cell r="AK15">
            <v>0</v>
          </cell>
          <cell r="AM15">
            <v>0</v>
          </cell>
          <cell r="AO15">
            <v>0</v>
          </cell>
          <cell r="AQ15">
            <v>0</v>
          </cell>
          <cell r="AS15">
            <v>0</v>
          </cell>
          <cell r="AU15">
            <v>0</v>
          </cell>
          <cell r="AW15">
            <v>0</v>
          </cell>
          <cell r="AY15">
            <v>0</v>
          </cell>
          <cell r="BA15">
            <v>0</v>
          </cell>
          <cell r="BC15">
            <v>0</v>
          </cell>
          <cell r="BE15">
            <v>0</v>
          </cell>
          <cell r="BG15">
            <v>0</v>
          </cell>
          <cell r="BM15">
            <v>0</v>
          </cell>
        </row>
        <row r="16">
          <cell r="C16" t="str">
            <v>GE</v>
          </cell>
          <cell r="Q16">
            <v>0</v>
          </cell>
          <cell r="S16">
            <v>0</v>
          </cell>
          <cell r="U16">
            <v>0</v>
          </cell>
          <cell r="W16">
            <v>1650000</v>
          </cell>
          <cell r="Y16">
            <v>370000</v>
          </cell>
          <cell r="AA16">
            <v>2132000</v>
          </cell>
          <cell r="AC16">
            <v>2132000</v>
          </cell>
          <cell r="AE16">
            <v>2132000</v>
          </cell>
          <cell r="AG16">
            <v>2132000</v>
          </cell>
          <cell r="AI16">
            <v>2132000</v>
          </cell>
          <cell r="AK16">
            <v>2132000</v>
          </cell>
          <cell r="AM16">
            <v>0</v>
          </cell>
          <cell r="AO16">
            <v>0</v>
          </cell>
          <cell r="AQ16">
            <v>0</v>
          </cell>
          <cell r="AS16">
            <v>0</v>
          </cell>
          <cell r="AU16">
            <v>0</v>
          </cell>
          <cell r="AW16">
            <v>0</v>
          </cell>
          <cell r="AY16">
            <v>0</v>
          </cell>
          <cell r="BA16">
            <v>0</v>
          </cell>
          <cell r="BC16">
            <v>0</v>
          </cell>
          <cell r="BE16">
            <v>0</v>
          </cell>
          <cell r="BG16">
            <v>0</v>
          </cell>
          <cell r="BM16">
            <v>0</v>
          </cell>
        </row>
        <row r="17">
          <cell r="C17" t="str">
            <v>GE</v>
          </cell>
          <cell r="Y17">
            <v>0</v>
          </cell>
        </row>
        <row r="18">
          <cell r="C18" t="str">
            <v>GE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  <cell r="AE18">
            <v>0</v>
          </cell>
          <cell r="AG18">
            <v>0</v>
          </cell>
          <cell r="AI18">
            <v>0</v>
          </cell>
          <cell r="AK18">
            <v>0</v>
          </cell>
          <cell r="AM18">
            <v>0</v>
          </cell>
          <cell r="AO18">
            <v>0</v>
          </cell>
          <cell r="AQ18">
            <v>0</v>
          </cell>
          <cell r="AS18">
            <v>0</v>
          </cell>
          <cell r="AU18">
            <v>0</v>
          </cell>
          <cell r="AW18">
            <v>0</v>
          </cell>
          <cell r="AY18">
            <v>0</v>
          </cell>
          <cell r="BA18">
            <v>0</v>
          </cell>
          <cell r="BC18">
            <v>0</v>
          </cell>
          <cell r="BE18">
            <v>0</v>
          </cell>
          <cell r="BG18">
            <v>0</v>
          </cell>
          <cell r="BM18">
            <v>0</v>
          </cell>
        </row>
        <row r="19">
          <cell r="Q19">
            <v>0</v>
          </cell>
          <cell r="S19">
            <v>0</v>
          </cell>
          <cell r="W19">
            <v>0</v>
          </cell>
          <cell r="AA19">
            <v>0</v>
          </cell>
          <cell r="AC19">
            <v>0</v>
          </cell>
          <cell r="AE19">
            <v>0</v>
          </cell>
          <cell r="AI19">
            <v>0</v>
          </cell>
          <cell r="AK19">
            <v>0</v>
          </cell>
          <cell r="AM19">
            <v>0</v>
          </cell>
          <cell r="AO19">
            <v>0</v>
          </cell>
          <cell r="AQ19">
            <v>0</v>
          </cell>
          <cell r="AS19">
            <v>0</v>
          </cell>
          <cell r="AU19">
            <v>0</v>
          </cell>
          <cell r="AW19">
            <v>0</v>
          </cell>
          <cell r="AY19">
            <v>0</v>
          </cell>
          <cell r="BA19">
            <v>0</v>
          </cell>
          <cell r="BC19">
            <v>0</v>
          </cell>
          <cell r="BE19">
            <v>0</v>
          </cell>
          <cell r="BG19">
            <v>0</v>
          </cell>
          <cell r="BM19">
            <v>0</v>
          </cell>
        </row>
        <row r="21">
          <cell r="Q21">
            <v>21150000</v>
          </cell>
          <cell r="S21">
            <v>4263906.4800000004</v>
          </cell>
          <cell r="U21">
            <v>3055146.4</v>
          </cell>
          <cell r="W21">
            <v>1650000</v>
          </cell>
          <cell r="Y21">
            <v>2814117</v>
          </cell>
          <cell r="AA21">
            <v>4389866.41</v>
          </cell>
          <cell r="AC21">
            <v>2662213.1399999997</v>
          </cell>
          <cell r="AE21">
            <v>167441.37000000011</v>
          </cell>
          <cell r="AG21">
            <v>3251216.99</v>
          </cell>
          <cell r="AI21">
            <v>3956870.16</v>
          </cell>
          <cell r="AK21">
            <v>5927496.9900000002</v>
          </cell>
          <cell r="AM21">
            <v>0</v>
          </cell>
          <cell r="AO21">
            <v>0</v>
          </cell>
          <cell r="AQ21">
            <v>0</v>
          </cell>
          <cell r="AS21">
            <v>0</v>
          </cell>
          <cell r="AU21">
            <v>0</v>
          </cell>
          <cell r="AW21">
            <v>0</v>
          </cell>
          <cell r="AY21">
            <v>0</v>
          </cell>
          <cell r="BA21">
            <v>0</v>
          </cell>
          <cell r="BC21">
            <v>0</v>
          </cell>
          <cell r="BE21">
            <v>0</v>
          </cell>
          <cell r="BG21">
            <v>0</v>
          </cell>
          <cell r="BM21">
            <v>-2850000</v>
          </cell>
        </row>
        <row r="23"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  <cell r="AG23">
            <v>0</v>
          </cell>
          <cell r="AI23">
            <v>0</v>
          </cell>
          <cell r="AK23">
            <v>0</v>
          </cell>
          <cell r="AM23">
            <v>0</v>
          </cell>
          <cell r="AO23">
            <v>0</v>
          </cell>
          <cell r="AQ23">
            <v>0</v>
          </cell>
          <cell r="AS23">
            <v>0</v>
          </cell>
          <cell r="AU23">
            <v>0</v>
          </cell>
          <cell r="AW23">
            <v>0</v>
          </cell>
          <cell r="AY23">
            <v>0</v>
          </cell>
          <cell r="BA23">
            <v>0</v>
          </cell>
          <cell r="BC23">
            <v>0</v>
          </cell>
          <cell r="BE23">
            <v>0</v>
          </cell>
          <cell r="BG23">
            <v>0</v>
          </cell>
          <cell r="BM23">
            <v>0</v>
          </cell>
        </row>
        <row r="24"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  <cell r="AI24">
            <v>0</v>
          </cell>
          <cell r="AK24">
            <v>0</v>
          </cell>
          <cell r="AM24">
            <v>0</v>
          </cell>
          <cell r="AO24">
            <v>0</v>
          </cell>
          <cell r="AQ24">
            <v>0</v>
          </cell>
          <cell r="AS24">
            <v>0</v>
          </cell>
          <cell r="AU24">
            <v>0</v>
          </cell>
          <cell r="AW24">
            <v>0</v>
          </cell>
          <cell r="AY24">
            <v>0</v>
          </cell>
          <cell r="BA24">
            <v>0</v>
          </cell>
          <cell r="BC24">
            <v>0</v>
          </cell>
          <cell r="BE24">
            <v>0</v>
          </cell>
          <cell r="BG24">
            <v>0</v>
          </cell>
          <cell r="BM24">
            <v>0</v>
          </cell>
        </row>
        <row r="25">
          <cell r="Q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0</v>
          </cell>
          <cell r="AG25">
            <v>0</v>
          </cell>
          <cell r="AI25">
            <v>0</v>
          </cell>
          <cell r="AK25">
            <v>0</v>
          </cell>
          <cell r="AM25">
            <v>0</v>
          </cell>
          <cell r="AO25">
            <v>0</v>
          </cell>
          <cell r="AQ25">
            <v>0</v>
          </cell>
          <cell r="AS25">
            <v>0</v>
          </cell>
          <cell r="AU25">
            <v>0</v>
          </cell>
          <cell r="AW25">
            <v>0</v>
          </cell>
          <cell r="AY25">
            <v>0</v>
          </cell>
          <cell r="BA25">
            <v>0</v>
          </cell>
          <cell r="BC25">
            <v>0</v>
          </cell>
          <cell r="BE25">
            <v>0</v>
          </cell>
          <cell r="BG25">
            <v>0</v>
          </cell>
          <cell r="BM25">
            <v>0</v>
          </cell>
        </row>
        <row r="26"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  <cell r="AG26">
            <v>0</v>
          </cell>
          <cell r="AI26">
            <v>0</v>
          </cell>
          <cell r="AK26">
            <v>0</v>
          </cell>
          <cell r="AM26">
            <v>0</v>
          </cell>
          <cell r="AO26">
            <v>0</v>
          </cell>
          <cell r="AQ26">
            <v>0</v>
          </cell>
          <cell r="AS26">
            <v>0</v>
          </cell>
          <cell r="AU26">
            <v>0</v>
          </cell>
          <cell r="AW26">
            <v>0</v>
          </cell>
          <cell r="AY26">
            <v>0</v>
          </cell>
          <cell r="BA26">
            <v>0</v>
          </cell>
          <cell r="BC26">
            <v>0</v>
          </cell>
          <cell r="BE26">
            <v>0</v>
          </cell>
          <cell r="BG26">
            <v>0</v>
          </cell>
          <cell r="BM26">
            <v>0</v>
          </cell>
        </row>
        <row r="27"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  <cell r="AG27">
            <v>0</v>
          </cell>
          <cell r="AI27">
            <v>0</v>
          </cell>
          <cell r="AK27">
            <v>57410.7</v>
          </cell>
          <cell r="AM27">
            <v>0</v>
          </cell>
          <cell r="AO27">
            <v>0</v>
          </cell>
          <cell r="AQ27">
            <v>0</v>
          </cell>
          <cell r="AS27">
            <v>0</v>
          </cell>
          <cell r="AU27">
            <v>0</v>
          </cell>
          <cell r="AW27">
            <v>0</v>
          </cell>
          <cell r="AY27">
            <v>0</v>
          </cell>
          <cell r="BA27">
            <v>0</v>
          </cell>
          <cell r="BC27">
            <v>0</v>
          </cell>
          <cell r="BE27">
            <v>0</v>
          </cell>
          <cell r="BG27">
            <v>0</v>
          </cell>
          <cell r="BM27">
            <v>0</v>
          </cell>
        </row>
        <row r="28"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  <cell r="AG28">
            <v>0</v>
          </cell>
          <cell r="AI28">
            <v>0</v>
          </cell>
          <cell r="AK28">
            <v>0</v>
          </cell>
          <cell r="AM28">
            <v>0</v>
          </cell>
          <cell r="AO28">
            <v>0</v>
          </cell>
          <cell r="AQ28">
            <v>0</v>
          </cell>
          <cell r="AS28">
            <v>0</v>
          </cell>
          <cell r="AU28">
            <v>0</v>
          </cell>
          <cell r="AW28">
            <v>0</v>
          </cell>
          <cell r="AY28">
            <v>0</v>
          </cell>
          <cell r="BA28">
            <v>0</v>
          </cell>
          <cell r="BC28">
            <v>0</v>
          </cell>
          <cell r="BE28">
            <v>0</v>
          </cell>
          <cell r="BG28">
            <v>0</v>
          </cell>
          <cell r="BM28">
            <v>0</v>
          </cell>
        </row>
        <row r="29"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  <cell r="AG29">
            <v>0</v>
          </cell>
          <cell r="AI29">
            <v>0</v>
          </cell>
          <cell r="AK29">
            <v>0</v>
          </cell>
          <cell r="AM29">
            <v>0</v>
          </cell>
          <cell r="AO29">
            <v>0</v>
          </cell>
          <cell r="AQ29">
            <v>0</v>
          </cell>
          <cell r="AS29">
            <v>0</v>
          </cell>
          <cell r="AU29">
            <v>0</v>
          </cell>
          <cell r="AW29">
            <v>0</v>
          </cell>
          <cell r="AY29">
            <v>0</v>
          </cell>
          <cell r="BA29">
            <v>0</v>
          </cell>
          <cell r="BC29">
            <v>0</v>
          </cell>
          <cell r="BE29">
            <v>0</v>
          </cell>
          <cell r="BG29">
            <v>0</v>
          </cell>
          <cell r="BM29">
            <v>0</v>
          </cell>
        </row>
        <row r="30"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C30">
            <v>0</v>
          </cell>
          <cell r="AE30">
            <v>0</v>
          </cell>
          <cell r="AG30">
            <v>0</v>
          </cell>
          <cell r="AI30">
            <v>0</v>
          </cell>
          <cell r="AK30">
            <v>0</v>
          </cell>
          <cell r="AM30">
            <v>0</v>
          </cell>
          <cell r="AO30">
            <v>0</v>
          </cell>
          <cell r="AQ30">
            <v>0</v>
          </cell>
          <cell r="AS30">
            <v>0</v>
          </cell>
          <cell r="AU30">
            <v>0</v>
          </cell>
          <cell r="AW30">
            <v>0</v>
          </cell>
          <cell r="AY30">
            <v>0</v>
          </cell>
          <cell r="BA30">
            <v>0</v>
          </cell>
          <cell r="BC30">
            <v>0</v>
          </cell>
          <cell r="BE30">
            <v>0</v>
          </cell>
          <cell r="BG30">
            <v>0</v>
          </cell>
          <cell r="BM30">
            <v>0</v>
          </cell>
        </row>
        <row r="31"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  <cell r="AG31">
            <v>0</v>
          </cell>
          <cell r="AI31">
            <v>0</v>
          </cell>
          <cell r="AK31">
            <v>0</v>
          </cell>
          <cell r="AM31">
            <v>0</v>
          </cell>
          <cell r="AO31">
            <v>0</v>
          </cell>
          <cell r="AQ31">
            <v>0</v>
          </cell>
          <cell r="AS31">
            <v>0</v>
          </cell>
          <cell r="AU31">
            <v>0</v>
          </cell>
          <cell r="AW31">
            <v>0</v>
          </cell>
          <cell r="AY31">
            <v>0</v>
          </cell>
          <cell r="BA31">
            <v>0</v>
          </cell>
          <cell r="BC31">
            <v>0</v>
          </cell>
          <cell r="BE31">
            <v>0</v>
          </cell>
          <cell r="BG31">
            <v>0</v>
          </cell>
          <cell r="BM31">
            <v>0</v>
          </cell>
        </row>
        <row r="32"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0</v>
          </cell>
          <cell r="AG32">
            <v>0</v>
          </cell>
          <cell r="AI32">
            <v>0</v>
          </cell>
          <cell r="AK32">
            <v>0</v>
          </cell>
          <cell r="AM32">
            <v>0</v>
          </cell>
          <cell r="AO32">
            <v>0</v>
          </cell>
          <cell r="AQ32">
            <v>0</v>
          </cell>
          <cell r="AS32">
            <v>0</v>
          </cell>
          <cell r="AU32">
            <v>0</v>
          </cell>
          <cell r="AW32">
            <v>0</v>
          </cell>
          <cell r="AY32">
            <v>0</v>
          </cell>
          <cell r="BA32">
            <v>0</v>
          </cell>
          <cell r="BC32">
            <v>0</v>
          </cell>
          <cell r="BE32">
            <v>0</v>
          </cell>
          <cell r="BG32">
            <v>0</v>
          </cell>
          <cell r="BM32">
            <v>0</v>
          </cell>
        </row>
        <row r="33"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0</v>
          </cell>
          <cell r="AA33">
            <v>0</v>
          </cell>
          <cell r="AC33">
            <v>0</v>
          </cell>
          <cell r="AE33">
            <v>1157656.2</v>
          </cell>
          <cell r="AG33">
            <v>0</v>
          </cell>
          <cell r="AI33">
            <v>-907656.2</v>
          </cell>
          <cell r="AK33">
            <v>0</v>
          </cell>
          <cell r="AM33">
            <v>0</v>
          </cell>
          <cell r="AO33">
            <v>0</v>
          </cell>
          <cell r="AQ33">
            <v>0</v>
          </cell>
          <cell r="AS33">
            <v>0</v>
          </cell>
          <cell r="AU33">
            <v>0</v>
          </cell>
          <cell r="AW33">
            <v>0</v>
          </cell>
          <cell r="AY33">
            <v>0</v>
          </cell>
          <cell r="BA33">
            <v>0</v>
          </cell>
          <cell r="BC33">
            <v>0</v>
          </cell>
          <cell r="BE33">
            <v>0</v>
          </cell>
          <cell r="BG33">
            <v>0</v>
          </cell>
          <cell r="BM33">
            <v>0</v>
          </cell>
        </row>
        <row r="35">
          <cell r="Q35">
            <v>0</v>
          </cell>
          <cell r="S35">
            <v>0</v>
          </cell>
          <cell r="U35">
            <v>0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1157656.2</v>
          </cell>
          <cell r="AG35">
            <v>0</v>
          </cell>
          <cell r="AI35">
            <v>-907656.2</v>
          </cell>
          <cell r="AK35">
            <v>57410.7</v>
          </cell>
          <cell r="AM35">
            <v>0</v>
          </cell>
          <cell r="AO35">
            <v>0</v>
          </cell>
          <cell r="AQ35">
            <v>0</v>
          </cell>
          <cell r="AS35">
            <v>0</v>
          </cell>
          <cell r="AU35">
            <v>0</v>
          </cell>
          <cell r="AW35">
            <v>0</v>
          </cell>
          <cell r="AY35">
            <v>0</v>
          </cell>
          <cell r="BA35">
            <v>0</v>
          </cell>
          <cell r="BC35">
            <v>0</v>
          </cell>
          <cell r="BE35">
            <v>0</v>
          </cell>
          <cell r="BG35">
            <v>0</v>
          </cell>
          <cell r="BM35">
            <v>0</v>
          </cell>
        </row>
        <row r="37">
          <cell r="Q37">
            <v>21150000</v>
          </cell>
          <cell r="S37">
            <v>4263906.4800000004</v>
          </cell>
          <cell r="U37">
            <v>3055146.4</v>
          </cell>
          <cell r="W37">
            <v>1650000</v>
          </cell>
          <cell r="Y37">
            <v>2814117</v>
          </cell>
          <cell r="AA37">
            <v>4389866.41</v>
          </cell>
          <cell r="AC37">
            <v>2662213.1399999997</v>
          </cell>
          <cell r="AE37">
            <v>1325097.57</v>
          </cell>
          <cell r="AG37">
            <v>3251216.99</v>
          </cell>
          <cell r="AI37">
            <v>3049213.96</v>
          </cell>
          <cell r="AK37">
            <v>5984907.6900000004</v>
          </cell>
          <cell r="AM37">
            <v>0</v>
          </cell>
          <cell r="AO37">
            <v>0</v>
          </cell>
          <cell r="AQ37">
            <v>0</v>
          </cell>
          <cell r="AS37">
            <v>0</v>
          </cell>
          <cell r="AU37">
            <v>0</v>
          </cell>
          <cell r="AW37">
            <v>0</v>
          </cell>
          <cell r="AY37">
            <v>0</v>
          </cell>
          <cell r="BA37">
            <v>0</v>
          </cell>
          <cell r="BC37">
            <v>0</v>
          </cell>
          <cell r="BE37">
            <v>0</v>
          </cell>
          <cell r="BG37">
            <v>0</v>
          </cell>
          <cell r="BM37">
            <v>-2850000</v>
          </cell>
        </row>
        <row r="40">
          <cell r="Q40">
            <v>0</v>
          </cell>
          <cell r="S40">
            <v>0</v>
          </cell>
          <cell r="U40">
            <v>0</v>
          </cell>
          <cell r="W40">
            <v>0</v>
          </cell>
          <cell r="Y40">
            <v>0</v>
          </cell>
          <cell r="AA40">
            <v>0</v>
          </cell>
          <cell r="AC40">
            <v>0</v>
          </cell>
          <cell r="AE40">
            <v>0</v>
          </cell>
          <cell r="AG40">
            <v>0</v>
          </cell>
          <cell r="AI40">
            <v>0</v>
          </cell>
          <cell r="AK40">
            <v>0</v>
          </cell>
          <cell r="AM40">
            <v>0</v>
          </cell>
          <cell r="AO40">
            <v>0</v>
          </cell>
          <cell r="AQ40">
            <v>0</v>
          </cell>
          <cell r="AS40">
            <v>0</v>
          </cell>
          <cell r="AU40">
            <v>0</v>
          </cell>
          <cell r="AW40">
            <v>0</v>
          </cell>
          <cell r="AY40">
            <v>0</v>
          </cell>
          <cell r="BA40">
            <v>0</v>
          </cell>
          <cell r="BC40">
            <v>0</v>
          </cell>
          <cell r="BE40">
            <v>0</v>
          </cell>
          <cell r="BG40">
            <v>0</v>
          </cell>
          <cell r="BM40">
            <v>0</v>
          </cell>
        </row>
        <row r="41">
          <cell r="Q41">
            <v>0</v>
          </cell>
          <cell r="S41">
            <v>0</v>
          </cell>
          <cell r="U41">
            <v>0</v>
          </cell>
          <cell r="W41">
            <v>0</v>
          </cell>
          <cell r="Y41">
            <v>0</v>
          </cell>
          <cell r="AA41">
            <v>0</v>
          </cell>
          <cell r="AC41">
            <v>0</v>
          </cell>
          <cell r="AE41">
            <v>0</v>
          </cell>
          <cell r="AG41">
            <v>0</v>
          </cell>
          <cell r="AI41">
            <v>0</v>
          </cell>
          <cell r="AK41">
            <v>0</v>
          </cell>
          <cell r="AM41">
            <v>0</v>
          </cell>
          <cell r="AO41">
            <v>0</v>
          </cell>
          <cell r="AQ41">
            <v>0</v>
          </cell>
          <cell r="AS41">
            <v>0</v>
          </cell>
          <cell r="AU41">
            <v>0</v>
          </cell>
          <cell r="AW41">
            <v>0</v>
          </cell>
          <cell r="AY41">
            <v>0</v>
          </cell>
          <cell r="BA41">
            <v>0</v>
          </cell>
          <cell r="BC41">
            <v>0</v>
          </cell>
          <cell r="BE41">
            <v>0</v>
          </cell>
          <cell r="BG41">
            <v>0</v>
          </cell>
          <cell r="BM41">
            <v>0</v>
          </cell>
        </row>
        <row r="42">
          <cell r="Q42">
            <v>0</v>
          </cell>
          <cell r="S42">
            <v>0</v>
          </cell>
          <cell r="U42">
            <v>0</v>
          </cell>
          <cell r="W42">
            <v>0</v>
          </cell>
          <cell r="Y42">
            <v>0</v>
          </cell>
          <cell r="AA42">
            <v>0</v>
          </cell>
          <cell r="AC42">
            <v>0</v>
          </cell>
          <cell r="AE42">
            <v>0</v>
          </cell>
          <cell r="AG42">
            <v>0</v>
          </cell>
          <cell r="AI42">
            <v>0</v>
          </cell>
          <cell r="AK42">
            <v>0</v>
          </cell>
          <cell r="AM42">
            <v>0</v>
          </cell>
          <cell r="AO42">
            <v>0</v>
          </cell>
          <cell r="AQ42">
            <v>0</v>
          </cell>
          <cell r="AS42">
            <v>0</v>
          </cell>
          <cell r="AU42">
            <v>0</v>
          </cell>
          <cell r="AW42">
            <v>0</v>
          </cell>
          <cell r="AY42">
            <v>0</v>
          </cell>
          <cell r="BA42">
            <v>0</v>
          </cell>
          <cell r="BC42">
            <v>0</v>
          </cell>
          <cell r="BE42">
            <v>0</v>
          </cell>
          <cell r="BG42">
            <v>0</v>
          </cell>
          <cell r="BM42">
            <v>0</v>
          </cell>
        </row>
        <row r="43">
          <cell r="Q43">
            <v>0</v>
          </cell>
          <cell r="S43">
            <v>0</v>
          </cell>
          <cell r="U43">
            <v>0</v>
          </cell>
          <cell r="W43">
            <v>0</v>
          </cell>
          <cell r="Y43">
            <v>0</v>
          </cell>
          <cell r="AA43">
            <v>0</v>
          </cell>
          <cell r="AC43">
            <v>0</v>
          </cell>
          <cell r="AE43">
            <v>0</v>
          </cell>
          <cell r="AG43">
            <v>0</v>
          </cell>
          <cell r="AI43">
            <v>0</v>
          </cell>
          <cell r="AK43">
            <v>0</v>
          </cell>
          <cell r="AM43">
            <v>0</v>
          </cell>
          <cell r="AO43">
            <v>0</v>
          </cell>
          <cell r="AQ43">
            <v>0</v>
          </cell>
          <cell r="AS43">
            <v>0</v>
          </cell>
          <cell r="AU43">
            <v>0</v>
          </cell>
          <cell r="AW43">
            <v>0</v>
          </cell>
          <cell r="AY43">
            <v>0</v>
          </cell>
          <cell r="BA43">
            <v>0</v>
          </cell>
          <cell r="BC43">
            <v>0</v>
          </cell>
          <cell r="BE43">
            <v>0</v>
          </cell>
          <cell r="BG43">
            <v>0</v>
          </cell>
          <cell r="BM43">
            <v>0</v>
          </cell>
        </row>
        <row r="44">
          <cell r="Q44">
            <v>0</v>
          </cell>
          <cell r="S44">
            <v>0</v>
          </cell>
          <cell r="U44">
            <v>0</v>
          </cell>
          <cell r="W44">
            <v>0</v>
          </cell>
          <cell r="Y44">
            <v>0</v>
          </cell>
          <cell r="AA44">
            <v>0</v>
          </cell>
          <cell r="AC44">
            <v>0</v>
          </cell>
          <cell r="AE44">
            <v>0</v>
          </cell>
          <cell r="AG44">
            <v>0</v>
          </cell>
          <cell r="AI44">
            <v>0</v>
          </cell>
          <cell r="AK44">
            <v>0</v>
          </cell>
          <cell r="AM44">
            <v>0</v>
          </cell>
          <cell r="AO44">
            <v>0</v>
          </cell>
          <cell r="AQ44">
            <v>0</v>
          </cell>
          <cell r="AS44">
            <v>0</v>
          </cell>
          <cell r="AU44">
            <v>0</v>
          </cell>
          <cell r="AW44">
            <v>0</v>
          </cell>
          <cell r="AY44">
            <v>0</v>
          </cell>
          <cell r="BA44">
            <v>0</v>
          </cell>
          <cell r="BC44">
            <v>0</v>
          </cell>
          <cell r="BE44">
            <v>0</v>
          </cell>
          <cell r="BG44">
            <v>0</v>
          </cell>
          <cell r="BM44">
            <v>0</v>
          </cell>
        </row>
        <row r="45">
          <cell r="Q45">
            <v>0</v>
          </cell>
          <cell r="S45">
            <v>0</v>
          </cell>
          <cell r="U45">
            <v>0</v>
          </cell>
          <cell r="W45">
            <v>0</v>
          </cell>
          <cell r="Y45">
            <v>0</v>
          </cell>
          <cell r="AA45">
            <v>0</v>
          </cell>
          <cell r="AC45">
            <v>0</v>
          </cell>
          <cell r="AE45">
            <v>0</v>
          </cell>
          <cell r="AG45">
            <v>0</v>
          </cell>
          <cell r="AI45">
            <v>0</v>
          </cell>
          <cell r="AK45">
            <v>0</v>
          </cell>
          <cell r="AM45">
            <v>0</v>
          </cell>
          <cell r="AO45">
            <v>0</v>
          </cell>
          <cell r="AQ45">
            <v>0</v>
          </cell>
          <cell r="AS45">
            <v>0</v>
          </cell>
          <cell r="AU45">
            <v>0</v>
          </cell>
          <cell r="AW45">
            <v>0</v>
          </cell>
          <cell r="AY45">
            <v>0</v>
          </cell>
          <cell r="BA45">
            <v>0</v>
          </cell>
          <cell r="BC45">
            <v>0</v>
          </cell>
          <cell r="BE45">
            <v>0</v>
          </cell>
          <cell r="BG45">
            <v>0</v>
          </cell>
          <cell r="BM45">
            <v>0</v>
          </cell>
        </row>
        <row r="47">
          <cell r="Q47">
            <v>0</v>
          </cell>
          <cell r="S47">
            <v>0</v>
          </cell>
          <cell r="U47">
            <v>0</v>
          </cell>
          <cell r="W47">
            <v>0</v>
          </cell>
          <cell r="Y47">
            <v>0</v>
          </cell>
          <cell r="AA47">
            <v>0</v>
          </cell>
          <cell r="AC47">
            <v>0</v>
          </cell>
          <cell r="AE47">
            <v>0</v>
          </cell>
          <cell r="AG47">
            <v>0</v>
          </cell>
          <cell r="AI47">
            <v>0</v>
          </cell>
          <cell r="AK47">
            <v>0</v>
          </cell>
          <cell r="AM47">
            <v>0</v>
          </cell>
          <cell r="AO47">
            <v>0</v>
          </cell>
          <cell r="AQ47">
            <v>0</v>
          </cell>
          <cell r="AS47">
            <v>0</v>
          </cell>
          <cell r="AU47">
            <v>0</v>
          </cell>
          <cell r="AW47">
            <v>0</v>
          </cell>
          <cell r="AY47">
            <v>0</v>
          </cell>
          <cell r="BA47">
            <v>0</v>
          </cell>
          <cell r="BC47">
            <v>0</v>
          </cell>
          <cell r="BE47">
            <v>0</v>
          </cell>
          <cell r="BG47">
            <v>0</v>
          </cell>
          <cell r="BM47">
            <v>0</v>
          </cell>
        </row>
        <row r="51">
          <cell r="Q51">
            <v>0</v>
          </cell>
          <cell r="S51">
            <v>0</v>
          </cell>
          <cell r="U51">
            <v>0</v>
          </cell>
          <cell r="W51">
            <v>0</v>
          </cell>
          <cell r="Y51">
            <v>0</v>
          </cell>
          <cell r="AA51">
            <v>0</v>
          </cell>
          <cell r="AC51">
            <v>0</v>
          </cell>
          <cell r="AE51">
            <v>0</v>
          </cell>
          <cell r="AG51">
            <v>0</v>
          </cell>
          <cell r="AI51">
            <v>0</v>
          </cell>
          <cell r="AK51">
            <v>0</v>
          </cell>
          <cell r="AM51">
            <v>0</v>
          </cell>
          <cell r="AO51">
            <v>0</v>
          </cell>
          <cell r="AQ51">
            <v>0</v>
          </cell>
          <cell r="AS51">
            <v>0</v>
          </cell>
          <cell r="AU51">
            <v>0</v>
          </cell>
          <cell r="AW51">
            <v>0</v>
          </cell>
          <cell r="AY51">
            <v>0</v>
          </cell>
          <cell r="BA51">
            <v>0</v>
          </cell>
          <cell r="BC51">
            <v>0</v>
          </cell>
          <cell r="BE51">
            <v>0</v>
          </cell>
          <cell r="BG51">
            <v>0</v>
          </cell>
          <cell r="BM51">
            <v>0</v>
          </cell>
        </row>
        <row r="52">
          <cell r="Q52">
            <v>0</v>
          </cell>
          <cell r="S52">
            <v>0</v>
          </cell>
          <cell r="U52">
            <v>0</v>
          </cell>
          <cell r="W52">
            <v>0</v>
          </cell>
          <cell r="Y52">
            <v>0</v>
          </cell>
          <cell r="AA52">
            <v>0</v>
          </cell>
          <cell r="AC52">
            <v>0</v>
          </cell>
          <cell r="AE52">
            <v>0</v>
          </cell>
          <cell r="AG52">
            <v>0</v>
          </cell>
          <cell r="AI52">
            <v>0</v>
          </cell>
          <cell r="AK52">
            <v>0</v>
          </cell>
          <cell r="AM52">
            <v>0</v>
          </cell>
          <cell r="AO52">
            <v>0</v>
          </cell>
          <cell r="AQ52">
            <v>0</v>
          </cell>
          <cell r="AS52">
            <v>0</v>
          </cell>
          <cell r="AU52">
            <v>0</v>
          </cell>
          <cell r="AW52">
            <v>0</v>
          </cell>
          <cell r="AY52">
            <v>0</v>
          </cell>
          <cell r="BA52">
            <v>0</v>
          </cell>
          <cell r="BC52">
            <v>0</v>
          </cell>
          <cell r="BE52">
            <v>0</v>
          </cell>
          <cell r="BG52">
            <v>0</v>
          </cell>
          <cell r="BM52">
            <v>0</v>
          </cell>
        </row>
        <row r="53">
          <cell r="Q53">
            <v>0</v>
          </cell>
          <cell r="S53">
            <v>0</v>
          </cell>
          <cell r="U53">
            <v>0</v>
          </cell>
          <cell r="W53">
            <v>0</v>
          </cell>
          <cell r="Y53">
            <v>0</v>
          </cell>
          <cell r="AA53">
            <v>0</v>
          </cell>
          <cell r="AC53">
            <v>0</v>
          </cell>
          <cell r="AE53">
            <v>0</v>
          </cell>
          <cell r="AG53">
            <v>0</v>
          </cell>
          <cell r="AI53">
            <v>0</v>
          </cell>
          <cell r="AK53">
            <v>0</v>
          </cell>
          <cell r="AM53">
            <v>0</v>
          </cell>
          <cell r="AO53">
            <v>0</v>
          </cell>
          <cell r="AQ53">
            <v>0</v>
          </cell>
          <cell r="AS53">
            <v>0</v>
          </cell>
          <cell r="AU53">
            <v>0</v>
          </cell>
          <cell r="AW53">
            <v>0</v>
          </cell>
          <cell r="AY53">
            <v>0</v>
          </cell>
          <cell r="BA53">
            <v>0</v>
          </cell>
          <cell r="BC53">
            <v>0</v>
          </cell>
          <cell r="BE53">
            <v>0</v>
          </cell>
          <cell r="BG53">
            <v>0</v>
          </cell>
          <cell r="BM53">
            <v>0</v>
          </cell>
        </row>
        <row r="54">
          <cell r="Q54">
            <v>0</v>
          </cell>
          <cell r="S54">
            <v>0</v>
          </cell>
          <cell r="U54">
            <v>0</v>
          </cell>
          <cell r="W54">
            <v>0</v>
          </cell>
          <cell r="Y54">
            <v>0</v>
          </cell>
          <cell r="AA54">
            <v>0</v>
          </cell>
          <cell r="AC54">
            <v>0</v>
          </cell>
          <cell r="AE54">
            <v>0</v>
          </cell>
          <cell r="AG54">
            <v>0</v>
          </cell>
          <cell r="AI54">
            <v>0</v>
          </cell>
          <cell r="AK54">
            <v>0</v>
          </cell>
          <cell r="AM54">
            <v>0</v>
          </cell>
          <cell r="AO54">
            <v>0</v>
          </cell>
          <cell r="AQ54">
            <v>0</v>
          </cell>
          <cell r="AS54">
            <v>0</v>
          </cell>
          <cell r="AU54">
            <v>0</v>
          </cell>
          <cell r="AW54">
            <v>0</v>
          </cell>
          <cell r="AY54">
            <v>0</v>
          </cell>
          <cell r="BA54">
            <v>0</v>
          </cell>
          <cell r="BC54">
            <v>0</v>
          </cell>
          <cell r="BE54">
            <v>0</v>
          </cell>
          <cell r="BG54">
            <v>0</v>
          </cell>
          <cell r="BM54">
            <v>0</v>
          </cell>
        </row>
        <row r="55">
          <cell r="Q55">
            <v>0</v>
          </cell>
          <cell r="S55">
            <v>0</v>
          </cell>
          <cell r="U55">
            <v>0</v>
          </cell>
          <cell r="W55">
            <v>0</v>
          </cell>
          <cell r="Y55">
            <v>0</v>
          </cell>
          <cell r="AA55">
            <v>0</v>
          </cell>
          <cell r="AC55">
            <v>0</v>
          </cell>
          <cell r="AE55">
            <v>0</v>
          </cell>
          <cell r="AG55">
            <v>0</v>
          </cell>
          <cell r="AI55">
            <v>0</v>
          </cell>
          <cell r="AK55">
            <v>0</v>
          </cell>
          <cell r="AM55">
            <v>0</v>
          </cell>
          <cell r="AO55">
            <v>0</v>
          </cell>
          <cell r="AQ55">
            <v>0</v>
          </cell>
          <cell r="AS55">
            <v>0</v>
          </cell>
          <cell r="AU55">
            <v>0</v>
          </cell>
          <cell r="AW55">
            <v>0</v>
          </cell>
          <cell r="AY55">
            <v>0</v>
          </cell>
          <cell r="BA55">
            <v>0</v>
          </cell>
          <cell r="BC55">
            <v>0</v>
          </cell>
          <cell r="BE55">
            <v>0</v>
          </cell>
          <cell r="BG55">
            <v>0</v>
          </cell>
          <cell r="BM55">
            <v>0</v>
          </cell>
        </row>
        <row r="56">
          <cell r="Q56">
            <v>0</v>
          </cell>
          <cell r="S56">
            <v>0</v>
          </cell>
          <cell r="U56">
            <v>0</v>
          </cell>
          <cell r="W56">
            <v>0</v>
          </cell>
          <cell r="Y56">
            <v>0</v>
          </cell>
          <cell r="AA56">
            <v>0</v>
          </cell>
          <cell r="AC56">
            <v>0</v>
          </cell>
          <cell r="AE56">
            <v>0</v>
          </cell>
          <cell r="AG56">
            <v>0</v>
          </cell>
          <cell r="AI56">
            <v>0</v>
          </cell>
          <cell r="AK56">
            <v>0</v>
          </cell>
          <cell r="AM56">
            <v>0</v>
          </cell>
          <cell r="AO56">
            <v>0</v>
          </cell>
          <cell r="AQ56">
            <v>0</v>
          </cell>
          <cell r="AS56">
            <v>0</v>
          </cell>
          <cell r="AU56">
            <v>0</v>
          </cell>
          <cell r="AW56">
            <v>0</v>
          </cell>
          <cell r="AY56">
            <v>0</v>
          </cell>
          <cell r="BA56">
            <v>0</v>
          </cell>
          <cell r="BC56">
            <v>0</v>
          </cell>
          <cell r="BE56">
            <v>0</v>
          </cell>
          <cell r="BG56">
            <v>0</v>
          </cell>
          <cell r="BM56">
            <v>0</v>
          </cell>
        </row>
        <row r="57">
          <cell r="Q57">
            <v>0</v>
          </cell>
          <cell r="S57">
            <v>0</v>
          </cell>
          <cell r="U57">
            <v>0</v>
          </cell>
          <cell r="W57">
            <v>0</v>
          </cell>
          <cell r="Y57">
            <v>0</v>
          </cell>
          <cell r="AA57">
            <v>0</v>
          </cell>
          <cell r="AC57">
            <v>0</v>
          </cell>
          <cell r="AE57">
            <v>0</v>
          </cell>
          <cell r="AG57">
            <v>0</v>
          </cell>
          <cell r="AI57">
            <v>0</v>
          </cell>
          <cell r="AK57">
            <v>0</v>
          </cell>
          <cell r="AM57">
            <v>0</v>
          </cell>
          <cell r="AO57">
            <v>0</v>
          </cell>
          <cell r="AQ57">
            <v>0</v>
          </cell>
          <cell r="AS57">
            <v>0</v>
          </cell>
          <cell r="AU57">
            <v>0</v>
          </cell>
          <cell r="AW57">
            <v>0</v>
          </cell>
          <cell r="AY57">
            <v>0</v>
          </cell>
          <cell r="BA57">
            <v>0</v>
          </cell>
          <cell r="BC57">
            <v>0</v>
          </cell>
          <cell r="BE57">
            <v>0</v>
          </cell>
          <cell r="BG57">
            <v>0</v>
          </cell>
          <cell r="BM57">
            <v>0</v>
          </cell>
        </row>
        <row r="58">
          <cell r="Q58">
            <v>0</v>
          </cell>
          <cell r="S58">
            <v>0</v>
          </cell>
          <cell r="U58">
            <v>0</v>
          </cell>
          <cell r="W58">
            <v>0</v>
          </cell>
          <cell r="Y58">
            <v>0</v>
          </cell>
          <cell r="AA58">
            <v>0</v>
          </cell>
          <cell r="AC58">
            <v>0</v>
          </cell>
          <cell r="AE58">
            <v>0</v>
          </cell>
          <cell r="AG58">
            <v>0</v>
          </cell>
          <cell r="AI58">
            <v>0</v>
          </cell>
          <cell r="AK58">
            <v>0</v>
          </cell>
          <cell r="AM58">
            <v>0</v>
          </cell>
          <cell r="AO58">
            <v>0</v>
          </cell>
          <cell r="AQ58">
            <v>0</v>
          </cell>
          <cell r="AS58">
            <v>0</v>
          </cell>
          <cell r="AU58">
            <v>0</v>
          </cell>
          <cell r="AW58">
            <v>0</v>
          </cell>
          <cell r="AY58">
            <v>0</v>
          </cell>
          <cell r="BA58">
            <v>0</v>
          </cell>
          <cell r="BC58">
            <v>0</v>
          </cell>
          <cell r="BE58">
            <v>0</v>
          </cell>
          <cell r="BG58">
            <v>0</v>
          </cell>
          <cell r="BM58">
            <v>0</v>
          </cell>
        </row>
        <row r="59">
          <cell r="Q59">
            <v>0</v>
          </cell>
          <cell r="S59">
            <v>0</v>
          </cell>
          <cell r="U59">
            <v>0</v>
          </cell>
          <cell r="W59">
            <v>0</v>
          </cell>
          <cell r="Y59">
            <v>0</v>
          </cell>
          <cell r="AA59">
            <v>0</v>
          </cell>
          <cell r="AC59">
            <v>0</v>
          </cell>
          <cell r="AE59">
            <v>0</v>
          </cell>
          <cell r="AG59">
            <v>0</v>
          </cell>
          <cell r="AI59">
            <v>0</v>
          </cell>
          <cell r="AK59">
            <v>0</v>
          </cell>
          <cell r="AM59">
            <v>0</v>
          </cell>
          <cell r="AO59">
            <v>0</v>
          </cell>
          <cell r="AQ59">
            <v>0</v>
          </cell>
          <cell r="AS59">
            <v>0</v>
          </cell>
          <cell r="AU59">
            <v>0</v>
          </cell>
          <cell r="AW59">
            <v>0</v>
          </cell>
          <cell r="AY59">
            <v>0</v>
          </cell>
          <cell r="BA59">
            <v>0</v>
          </cell>
          <cell r="BC59">
            <v>0</v>
          </cell>
          <cell r="BE59">
            <v>0</v>
          </cell>
          <cell r="BG59">
            <v>0</v>
          </cell>
          <cell r="BM59">
            <v>0</v>
          </cell>
        </row>
        <row r="60">
          <cell r="Q60">
            <v>0</v>
          </cell>
          <cell r="S60">
            <v>0</v>
          </cell>
          <cell r="U60">
            <v>0</v>
          </cell>
          <cell r="W60">
            <v>0</v>
          </cell>
          <cell r="Y60">
            <v>0</v>
          </cell>
          <cell r="AA60">
            <v>0</v>
          </cell>
          <cell r="AC60">
            <v>0</v>
          </cell>
          <cell r="AE60">
            <v>0</v>
          </cell>
          <cell r="AG60">
            <v>0</v>
          </cell>
          <cell r="AI60">
            <v>0</v>
          </cell>
          <cell r="AK60">
            <v>0</v>
          </cell>
          <cell r="AM60">
            <v>0</v>
          </cell>
          <cell r="AO60">
            <v>0</v>
          </cell>
          <cell r="AQ60">
            <v>0</v>
          </cell>
          <cell r="AS60">
            <v>0</v>
          </cell>
          <cell r="AU60">
            <v>0</v>
          </cell>
          <cell r="AW60">
            <v>0</v>
          </cell>
          <cell r="AY60">
            <v>0</v>
          </cell>
          <cell r="BA60">
            <v>0</v>
          </cell>
          <cell r="BC60">
            <v>0</v>
          </cell>
          <cell r="BE60">
            <v>0</v>
          </cell>
          <cell r="BG60">
            <v>0</v>
          </cell>
          <cell r="BM60">
            <v>0</v>
          </cell>
        </row>
        <row r="61">
          <cell r="Q61">
            <v>0</v>
          </cell>
          <cell r="S61">
            <v>0</v>
          </cell>
          <cell r="U61">
            <v>0</v>
          </cell>
          <cell r="W61">
            <v>0</v>
          </cell>
          <cell r="Y61">
            <v>0</v>
          </cell>
          <cell r="AA61">
            <v>0</v>
          </cell>
          <cell r="AC61">
            <v>0</v>
          </cell>
          <cell r="AE61">
            <v>0</v>
          </cell>
          <cell r="AG61">
            <v>0</v>
          </cell>
          <cell r="AI61">
            <v>0</v>
          </cell>
          <cell r="AK61">
            <v>0</v>
          </cell>
          <cell r="AM61">
            <v>0</v>
          </cell>
          <cell r="AO61">
            <v>0</v>
          </cell>
          <cell r="AQ61">
            <v>0</v>
          </cell>
          <cell r="AS61">
            <v>0</v>
          </cell>
          <cell r="AU61">
            <v>0</v>
          </cell>
          <cell r="AW61">
            <v>0</v>
          </cell>
          <cell r="AY61">
            <v>0</v>
          </cell>
          <cell r="BA61">
            <v>0</v>
          </cell>
          <cell r="BC61">
            <v>0</v>
          </cell>
          <cell r="BE61">
            <v>0</v>
          </cell>
          <cell r="BG61">
            <v>0</v>
          </cell>
          <cell r="BM61">
            <v>0</v>
          </cell>
        </row>
        <row r="62">
          <cell r="Q62">
            <v>0</v>
          </cell>
          <cell r="S62">
            <v>0</v>
          </cell>
          <cell r="U62">
            <v>0</v>
          </cell>
          <cell r="W62">
            <v>0</v>
          </cell>
          <cell r="Y62">
            <v>0</v>
          </cell>
          <cell r="AA62">
            <v>0</v>
          </cell>
          <cell r="AC62">
            <v>0</v>
          </cell>
          <cell r="AE62">
            <v>0</v>
          </cell>
          <cell r="AG62">
            <v>0</v>
          </cell>
          <cell r="AI62">
            <v>0</v>
          </cell>
          <cell r="AK62">
            <v>0</v>
          </cell>
          <cell r="AM62">
            <v>0</v>
          </cell>
          <cell r="AO62">
            <v>0</v>
          </cell>
          <cell r="AQ62">
            <v>0</v>
          </cell>
          <cell r="AS62">
            <v>0</v>
          </cell>
          <cell r="AU62">
            <v>0</v>
          </cell>
          <cell r="AW62">
            <v>0</v>
          </cell>
          <cell r="AY62">
            <v>0</v>
          </cell>
          <cell r="BA62">
            <v>0</v>
          </cell>
          <cell r="BC62">
            <v>0</v>
          </cell>
          <cell r="BE62">
            <v>0</v>
          </cell>
          <cell r="BG62">
            <v>0</v>
          </cell>
          <cell r="BM62">
            <v>0</v>
          </cell>
        </row>
        <row r="63">
          <cell r="Q63">
            <v>0</v>
          </cell>
          <cell r="S63">
            <v>0</v>
          </cell>
          <cell r="U63">
            <v>0</v>
          </cell>
          <cell r="W63">
            <v>0</v>
          </cell>
          <cell r="Y63">
            <v>0</v>
          </cell>
          <cell r="AA63">
            <v>0</v>
          </cell>
          <cell r="AC63">
            <v>0</v>
          </cell>
          <cell r="AE63">
            <v>0</v>
          </cell>
          <cell r="AG63">
            <v>0</v>
          </cell>
          <cell r="AI63">
            <v>0</v>
          </cell>
          <cell r="AK63">
            <v>0</v>
          </cell>
          <cell r="AM63">
            <v>0</v>
          </cell>
          <cell r="AO63">
            <v>0</v>
          </cell>
          <cell r="AQ63">
            <v>0</v>
          </cell>
          <cell r="AS63">
            <v>0</v>
          </cell>
          <cell r="AU63">
            <v>0</v>
          </cell>
          <cell r="AW63">
            <v>0</v>
          </cell>
          <cell r="AY63">
            <v>0</v>
          </cell>
          <cell r="BA63">
            <v>0</v>
          </cell>
          <cell r="BC63">
            <v>0</v>
          </cell>
          <cell r="BE63">
            <v>0</v>
          </cell>
          <cell r="BG63">
            <v>0</v>
          </cell>
          <cell r="BM63">
            <v>0</v>
          </cell>
        </row>
        <row r="64">
          <cell r="Q64">
            <v>0</v>
          </cell>
          <cell r="S64">
            <v>0</v>
          </cell>
          <cell r="U64">
            <v>0</v>
          </cell>
          <cell r="W64">
            <v>0</v>
          </cell>
          <cell r="Y64">
            <v>0</v>
          </cell>
          <cell r="AA64">
            <v>0</v>
          </cell>
          <cell r="AC64">
            <v>0</v>
          </cell>
          <cell r="AE64">
            <v>0</v>
          </cell>
          <cell r="AG64">
            <v>0</v>
          </cell>
          <cell r="AI64">
            <v>0</v>
          </cell>
          <cell r="AK64">
            <v>0</v>
          </cell>
          <cell r="AM64">
            <v>0</v>
          </cell>
          <cell r="AO64">
            <v>0</v>
          </cell>
          <cell r="AQ64">
            <v>0</v>
          </cell>
          <cell r="AS64">
            <v>0</v>
          </cell>
          <cell r="AU64">
            <v>0</v>
          </cell>
          <cell r="AW64">
            <v>0</v>
          </cell>
          <cell r="AY64">
            <v>0</v>
          </cell>
          <cell r="BA64">
            <v>0</v>
          </cell>
          <cell r="BC64">
            <v>0</v>
          </cell>
          <cell r="BE64">
            <v>0</v>
          </cell>
          <cell r="BG64">
            <v>0</v>
          </cell>
          <cell r="BM64">
            <v>0</v>
          </cell>
        </row>
        <row r="65">
          <cell r="Q65">
            <v>0</v>
          </cell>
          <cell r="S65">
            <v>0</v>
          </cell>
          <cell r="U65">
            <v>0</v>
          </cell>
          <cell r="W65">
            <v>0</v>
          </cell>
          <cell r="Y65">
            <v>0</v>
          </cell>
          <cell r="AA65">
            <v>0</v>
          </cell>
          <cell r="AC65">
            <v>0</v>
          </cell>
          <cell r="AE65">
            <v>0</v>
          </cell>
          <cell r="AG65">
            <v>0</v>
          </cell>
          <cell r="AI65">
            <v>0</v>
          </cell>
          <cell r="AK65">
            <v>0</v>
          </cell>
          <cell r="AM65">
            <v>0</v>
          </cell>
          <cell r="AO65">
            <v>0</v>
          </cell>
          <cell r="AQ65">
            <v>0</v>
          </cell>
          <cell r="AS65">
            <v>0</v>
          </cell>
          <cell r="AU65">
            <v>0</v>
          </cell>
          <cell r="AW65">
            <v>0</v>
          </cell>
          <cell r="AY65">
            <v>0</v>
          </cell>
          <cell r="BA65">
            <v>0</v>
          </cell>
          <cell r="BC65">
            <v>0</v>
          </cell>
          <cell r="BE65">
            <v>0</v>
          </cell>
          <cell r="BG65">
            <v>0</v>
          </cell>
          <cell r="BM65">
            <v>0</v>
          </cell>
        </row>
        <row r="66">
          <cell r="Q66">
            <v>0</v>
          </cell>
          <cell r="S66">
            <v>0</v>
          </cell>
          <cell r="U66">
            <v>0</v>
          </cell>
          <cell r="W66">
            <v>0</v>
          </cell>
          <cell r="Y66">
            <v>0</v>
          </cell>
          <cell r="AA66">
            <v>0</v>
          </cell>
          <cell r="AC66">
            <v>0</v>
          </cell>
          <cell r="AE66">
            <v>0</v>
          </cell>
          <cell r="AG66">
            <v>0</v>
          </cell>
          <cell r="AI66">
            <v>0</v>
          </cell>
          <cell r="AK66">
            <v>0</v>
          </cell>
          <cell r="AM66">
            <v>0</v>
          </cell>
          <cell r="AO66">
            <v>0</v>
          </cell>
          <cell r="AQ66">
            <v>0</v>
          </cell>
          <cell r="AS66">
            <v>0</v>
          </cell>
          <cell r="AU66">
            <v>0</v>
          </cell>
          <cell r="AW66">
            <v>0</v>
          </cell>
          <cell r="AY66">
            <v>0</v>
          </cell>
          <cell r="BA66">
            <v>0</v>
          </cell>
          <cell r="BC66">
            <v>0</v>
          </cell>
          <cell r="BE66">
            <v>0</v>
          </cell>
          <cell r="BG66">
            <v>0</v>
          </cell>
          <cell r="BM66">
            <v>0</v>
          </cell>
        </row>
        <row r="67">
          <cell r="Q67">
            <v>0</v>
          </cell>
          <cell r="S67">
            <v>0</v>
          </cell>
          <cell r="U67">
            <v>0</v>
          </cell>
          <cell r="W67">
            <v>0</v>
          </cell>
          <cell r="Y67">
            <v>0</v>
          </cell>
          <cell r="AA67">
            <v>0</v>
          </cell>
          <cell r="AC67">
            <v>0</v>
          </cell>
          <cell r="AE67">
            <v>0</v>
          </cell>
          <cell r="AG67">
            <v>0</v>
          </cell>
          <cell r="AI67">
            <v>0</v>
          </cell>
          <cell r="AK67">
            <v>0</v>
          </cell>
          <cell r="AM67">
            <v>0</v>
          </cell>
          <cell r="AO67">
            <v>0</v>
          </cell>
          <cell r="AQ67">
            <v>0</v>
          </cell>
          <cell r="AS67">
            <v>0</v>
          </cell>
          <cell r="AU67">
            <v>0</v>
          </cell>
          <cell r="AW67">
            <v>0</v>
          </cell>
          <cell r="AY67">
            <v>0</v>
          </cell>
          <cell r="BA67">
            <v>0</v>
          </cell>
          <cell r="BC67">
            <v>0</v>
          </cell>
          <cell r="BE67">
            <v>0</v>
          </cell>
          <cell r="BG67">
            <v>0</v>
          </cell>
          <cell r="BM67">
            <v>0</v>
          </cell>
        </row>
        <row r="68">
          <cell r="Q68">
            <v>0</v>
          </cell>
          <cell r="S68">
            <v>0</v>
          </cell>
          <cell r="U68">
            <v>0</v>
          </cell>
          <cell r="W68">
            <v>0</v>
          </cell>
          <cell r="Y68">
            <v>0</v>
          </cell>
          <cell r="AA68">
            <v>0</v>
          </cell>
          <cell r="AC68">
            <v>0</v>
          </cell>
          <cell r="AE68">
            <v>0</v>
          </cell>
          <cell r="AG68">
            <v>0</v>
          </cell>
          <cell r="AI68">
            <v>0</v>
          </cell>
          <cell r="AK68">
            <v>0</v>
          </cell>
          <cell r="AM68">
            <v>0</v>
          </cell>
          <cell r="AO68">
            <v>0</v>
          </cell>
          <cell r="AQ68">
            <v>0</v>
          </cell>
          <cell r="AS68">
            <v>0</v>
          </cell>
          <cell r="AU68">
            <v>0</v>
          </cell>
          <cell r="AW68">
            <v>0</v>
          </cell>
          <cell r="AY68">
            <v>0</v>
          </cell>
          <cell r="BA68">
            <v>0</v>
          </cell>
          <cell r="BC68">
            <v>0</v>
          </cell>
          <cell r="BE68">
            <v>0</v>
          </cell>
          <cell r="BG68">
            <v>0</v>
          </cell>
          <cell r="BM68">
            <v>0</v>
          </cell>
        </row>
        <row r="69">
          <cell r="Q69">
            <v>0</v>
          </cell>
          <cell r="S69">
            <v>0</v>
          </cell>
          <cell r="U69">
            <v>0</v>
          </cell>
          <cell r="W69">
            <v>0</v>
          </cell>
          <cell r="Y69">
            <v>0</v>
          </cell>
          <cell r="AA69">
            <v>0</v>
          </cell>
          <cell r="AC69">
            <v>0</v>
          </cell>
          <cell r="AE69">
            <v>0</v>
          </cell>
          <cell r="AG69">
            <v>0</v>
          </cell>
          <cell r="AI69">
            <v>0</v>
          </cell>
          <cell r="AK69">
            <v>0</v>
          </cell>
          <cell r="AM69">
            <v>0</v>
          </cell>
          <cell r="AO69">
            <v>0</v>
          </cell>
          <cell r="AQ69">
            <v>0</v>
          </cell>
          <cell r="AS69">
            <v>0</v>
          </cell>
          <cell r="AU69">
            <v>0</v>
          </cell>
          <cell r="AW69">
            <v>0</v>
          </cell>
          <cell r="AY69">
            <v>0</v>
          </cell>
          <cell r="BA69">
            <v>0</v>
          </cell>
          <cell r="BC69">
            <v>0</v>
          </cell>
          <cell r="BE69">
            <v>0</v>
          </cell>
          <cell r="BG69">
            <v>0</v>
          </cell>
          <cell r="BM69">
            <v>0</v>
          </cell>
        </row>
        <row r="70">
          <cell r="Q70">
            <v>0</v>
          </cell>
          <cell r="S70">
            <v>0</v>
          </cell>
          <cell r="U70">
            <v>0</v>
          </cell>
          <cell r="W70">
            <v>0</v>
          </cell>
          <cell r="Y70">
            <v>0</v>
          </cell>
          <cell r="AA70">
            <v>0</v>
          </cell>
          <cell r="AC70">
            <v>0</v>
          </cell>
          <cell r="AE70">
            <v>0</v>
          </cell>
          <cell r="AG70">
            <v>0</v>
          </cell>
          <cell r="AI70">
            <v>0</v>
          </cell>
          <cell r="AK70">
            <v>0</v>
          </cell>
          <cell r="AM70">
            <v>0</v>
          </cell>
          <cell r="AO70">
            <v>0</v>
          </cell>
          <cell r="AQ70">
            <v>0</v>
          </cell>
          <cell r="AS70">
            <v>0</v>
          </cell>
          <cell r="AU70">
            <v>0</v>
          </cell>
          <cell r="AW70">
            <v>0</v>
          </cell>
          <cell r="AY70">
            <v>0</v>
          </cell>
          <cell r="BA70">
            <v>0</v>
          </cell>
          <cell r="BC70">
            <v>0</v>
          </cell>
          <cell r="BE70">
            <v>0</v>
          </cell>
          <cell r="BG70">
            <v>0</v>
          </cell>
          <cell r="BM70">
            <v>0</v>
          </cell>
        </row>
        <row r="72">
          <cell r="Q72">
            <v>0</v>
          </cell>
          <cell r="S72">
            <v>0</v>
          </cell>
          <cell r="U72">
            <v>0</v>
          </cell>
          <cell r="W72">
            <v>0</v>
          </cell>
          <cell r="Y72">
            <v>0</v>
          </cell>
          <cell r="AA72">
            <v>0</v>
          </cell>
          <cell r="AC72">
            <v>0</v>
          </cell>
          <cell r="AE72">
            <v>0</v>
          </cell>
          <cell r="AG72">
            <v>0</v>
          </cell>
          <cell r="AI72">
            <v>0</v>
          </cell>
          <cell r="AK72">
            <v>0</v>
          </cell>
          <cell r="AM72">
            <v>0</v>
          </cell>
          <cell r="AO72">
            <v>0</v>
          </cell>
          <cell r="AQ72">
            <v>0</v>
          </cell>
          <cell r="AS72">
            <v>0</v>
          </cell>
          <cell r="AU72">
            <v>0</v>
          </cell>
          <cell r="AW72">
            <v>0</v>
          </cell>
          <cell r="AY72">
            <v>0</v>
          </cell>
          <cell r="BA72">
            <v>0</v>
          </cell>
          <cell r="BC72">
            <v>0</v>
          </cell>
          <cell r="BE72">
            <v>0</v>
          </cell>
          <cell r="BG72">
            <v>0</v>
          </cell>
          <cell r="BM72">
            <v>0</v>
          </cell>
        </row>
        <row r="75">
          <cell r="Q75">
            <v>0</v>
          </cell>
          <cell r="S75">
            <v>0</v>
          </cell>
          <cell r="U75">
            <v>0</v>
          </cell>
          <cell r="W75">
            <v>0</v>
          </cell>
          <cell r="Y75">
            <v>0</v>
          </cell>
          <cell r="AA75">
            <v>0</v>
          </cell>
          <cell r="AC75">
            <v>0</v>
          </cell>
          <cell r="AE75">
            <v>0</v>
          </cell>
          <cell r="AG75">
            <v>0</v>
          </cell>
          <cell r="AI75">
            <v>0</v>
          </cell>
          <cell r="AK75">
            <v>0</v>
          </cell>
          <cell r="AM75">
            <v>0</v>
          </cell>
          <cell r="AO75">
            <v>0</v>
          </cell>
          <cell r="AQ75">
            <v>0</v>
          </cell>
          <cell r="AS75">
            <v>0</v>
          </cell>
          <cell r="AU75">
            <v>0</v>
          </cell>
          <cell r="AW75">
            <v>0</v>
          </cell>
          <cell r="AY75">
            <v>0</v>
          </cell>
          <cell r="BA75">
            <v>0</v>
          </cell>
          <cell r="BC75">
            <v>0</v>
          </cell>
          <cell r="BE75">
            <v>0</v>
          </cell>
          <cell r="BG75">
            <v>0</v>
          </cell>
          <cell r="BM75">
            <v>0</v>
          </cell>
        </row>
        <row r="76">
          <cell r="Q76">
            <v>0</v>
          </cell>
          <cell r="S76">
            <v>0</v>
          </cell>
          <cell r="U76">
            <v>0</v>
          </cell>
          <cell r="W76">
            <v>0</v>
          </cell>
          <cell r="Y76">
            <v>0</v>
          </cell>
          <cell r="AA76">
            <v>0</v>
          </cell>
          <cell r="AC76">
            <v>0</v>
          </cell>
          <cell r="AE76">
            <v>0</v>
          </cell>
          <cell r="AG76">
            <v>0</v>
          </cell>
          <cell r="AI76">
            <v>0</v>
          </cell>
          <cell r="AK76">
            <v>0</v>
          </cell>
          <cell r="AM76">
            <v>0</v>
          </cell>
          <cell r="AO76">
            <v>0</v>
          </cell>
          <cell r="AQ76">
            <v>0</v>
          </cell>
          <cell r="AS76">
            <v>0</v>
          </cell>
          <cell r="AU76">
            <v>0</v>
          </cell>
          <cell r="AW76">
            <v>0</v>
          </cell>
          <cell r="AY76">
            <v>0</v>
          </cell>
          <cell r="BA76">
            <v>0</v>
          </cell>
          <cell r="BC76">
            <v>0</v>
          </cell>
          <cell r="BE76">
            <v>0</v>
          </cell>
          <cell r="BG76">
            <v>0</v>
          </cell>
          <cell r="BM76">
            <v>0</v>
          </cell>
        </row>
        <row r="77">
          <cell r="Q77">
            <v>0</v>
          </cell>
          <cell r="S77">
            <v>0</v>
          </cell>
          <cell r="U77">
            <v>0</v>
          </cell>
          <cell r="W77">
            <v>0</v>
          </cell>
          <cell r="Y77">
            <v>0</v>
          </cell>
          <cell r="AA77">
            <v>0</v>
          </cell>
          <cell r="AC77">
            <v>0</v>
          </cell>
          <cell r="AE77">
            <v>0</v>
          </cell>
          <cell r="AG77">
            <v>0</v>
          </cell>
          <cell r="AI77">
            <v>0</v>
          </cell>
          <cell r="AK77">
            <v>0</v>
          </cell>
          <cell r="AM77">
            <v>0</v>
          </cell>
          <cell r="AO77">
            <v>0</v>
          </cell>
          <cell r="AQ77">
            <v>0</v>
          </cell>
          <cell r="AS77">
            <v>0</v>
          </cell>
          <cell r="AU77">
            <v>0</v>
          </cell>
          <cell r="AW77">
            <v>0</v>
          </cell>
          <cell r="AY77">
            <v>0</v>
          </cell>
          <cell r="BA77">
            <v>0</v>
          </cell>
          <cell r="BC77">
            <v>0</v>
          </cell>
          <cell r="BE77">
            <v>0</v>
          </cell>
          <cell r="BG77">
            <v>0</v>
          </cell>
          <cell r="BM77">
            <v>0</v>
          </cell>
        </row>
        <row r="78">
          <cell r="Q78">
            <v>0</v>
          </cell>
          <cell r="S78">
            <v>0</v>
          </cell>
          <cell r="U78">
            <v>0</v>
          </cell>
          <cell r="W78">
            <v>0</v>
          </cell>
          <cell r="Y78">
            <v>0</v>
          </cell>
          <cell r="AA78">
            <v>0</v>
          </cell>
          <cell r="AC78">
            <v>0</v>
          </cell>
          <cell r="AE78">
            <v>0</v>
          </cell>
          <cell r="AG78">
            <v>0</v>
          </cell>
          <cell r="AI78">
            <v>0</v>
          </cell>
          <cell r="AK78">
            <v>0</v>
          </cell>
          <cell r="AM78">
            <v>0</v>
          </cell>
          <cell r="AO78">
            <v>0</v>
          </cell>
          <cell r="AQ78">
            <v>0</v>
          </cell>
          <cell r="AS78">
            <v>0</v>
          </cell>
          <cell r="AU78">
            <v>0</v>
          </cell>
          <cell r="AW78">
            <v>0</v>
          </cell>
          <cell r="AY78">
            <v>0</v>
          </cell>
          <cell r="BA78">
            <v>0</v>
          </cell>
          <cell r="BC78">
            <v>0</v>
          </cell>
          <cell r="BE78">
            <v>0</v>
          </cell>
          <cell r="BG78">
            <v>0</v>
          </cell>
          <cell r="BM78">
            <v>0</v>
          </cell>
        </row>
        <row r="79">
          <cell r="Q79">
            <v>0</v>
          </cell>
          <cell r="S79">
            <v>0</v>
          </cell>
          <cell r="U79">
            <v>0</v>
          </cell>
          <cell r="W79">
            <v>0</v>
          </cell>
          <cell r="Y79">
            <v>0</v>
          </cell>
          <cell r="AA79">
            <v>0</v>
          </cell>
          <cell r="AC79">
            <v>0</v>
          </cell>
          <cell r="AE79">
            <v>0</v>
          </cell>
          <cell r="AG79">
            <v>0</v>
          </cell>
          <cell r="AI79">
            <v>0</v>
          </cell>
          <cell r="AK79">
            <v>0</v>
          </cell>
          <cell r="AM79">
            <v>0</v>
          </cell>
          <cell r="AO79">
            <v>0</v>
          </cell>
          <cell r="AQ79">
            <v>0</v>
          </cell>
          <cell r="AS79">
            <v>0</v>
          </cell>
          <cell r="AU79">
            <v>0</v>
          </cell>
          <cell r="AW79">
            <v>0</v>
          </cell>
          <cell r="AY79">
            <v>0</v>
          </cell>
          <cell r="BA79">
            <v>0</v>
          </cell>
          <cell r="BC79">
            <v>0</v>
          </cell>
          <cell r="BE79">
            <v>0</v>
          </cell>
          <cell r="BG79">
            <v>0</v>
          </cell>
          <cell r="BM79">
            <v>0</v>
          </cell>
        </row>
        <row r="81">
          <cell r="Q81">
            <v>0</v>
          </cell>
          <cell r="S81">
            <v>0</v>
          </cell>
          <cell r="U81">
            <v>0</v>
          </cell>
          <cell r="W81">
            <v>0</v>
          </cell>
          <cell r="Y81">
            <v>0</v>
          </cell>
          <cell r="AA81">
            <v>0</v>
          </cell>
          <cell r="AC81">
            <v>0</v>
          </cell>
          <cell r="AE81">
            <v>0</v>
          </cell>
          <cell r="AG81">
            <v>0</v>
          </cell>
          <cell r="AI81">
            <v>0</v>
          </cell>
          <cell r="AK81">
            <v>0</v>
          </cell>
          <cell r="AM81">
            <v>0</v>
          </cell>
          <cell r="AO81">
            <v>0</v>
          </cell>
          <cell r="AQ81">
            <v>0</v>
          </cell>
          <cell r="AS81">
            <v>0</v>
          </cell>
          <cell r="AU81">
            <v>0</v>
          </cell>
          <cell r="AW81">
            <v>0</v>
          </cell>
          <cell r="AY81">
            <v>0</v>
          </cell>
          <cell r="BA81">
            <v>0</v>
          </cell>
          <cell r="BC81">
            <v>0</v>
          </cell>
          <cell r="BE81">
            <v>0</v>
          </cell>
          <cell r="BG81">
            <v>0</v>
          </cell>
          <cell r="BM81">
            <v>0</v>
          </cell>
        </row>
        <row r="84">
          <cell r="Q84">
            <v>0</v>
          </cell>
          <cell r="S84">
            <v>0</v>
          </cell>
          <cell r="U84">
            <v>0</v>
          </cell>
          <cell r="W84">
            <v>0</v>
          </cell>
          <cell r="Y84">
            <v>0</v>
          </cell>
          <cell r="AA84">
            <v>0</v>
          </cell>
          <cell r="AC84">
            <v>0</v>
          </cell>
          <cell r="AE84">
            <v>0</v>
          </cell>
          <cell r="AG84">
            <v>0</v>
          </cell>
          <cell r="AI84">
            <v>0</v>
          </cell>
          <cell r="AK84">
            <v>0</v>
          </cell>
          <cell r="AM84">
            <v>0</v>
          </cell>
          <cell r="AO84">
            <v>0</v>
          </cell>
          <cell r="AQ84">
            <v>0</v>
          </cell>
          <cell r="AS84">
            <v>0</v>
          </cell>
          <cell r="AU84">
            <v>0</v>
          </cell>
          <cell r="AW84">
            <v>0</v>
          </cell>
          <cell r="AY84">
            <v>0</v>
          </cell>
          <cell r="BA84">
            <v>0</v>
          </cell>
          <cell r="BC84">
            <v>0</v>
          </cell>
          <cell r="BE84">
            <v>0</v>
          </cell>
          <cell r="BG84">
            <v>0</v>
          </cell>
          <cell r="BM84">
            <v>0</v>
          </cell>
        </row>
        <row r="85">
          <cell r="Q85">
            <v>0</v>
          </cell>
          <cell r="S85">
            <v>0</v>
          </cell>
          <cell r="U85">
            <v>0</v>
          </cell>
          <cell r="W85">
            <v>0</v>
          </cell>
          <cell r="Y85">
            <v>0</v>
          </cell>
          <cell r="AA85">
            <v>0</v>
          </cell>
          <cell r="AC85">
            <v>0</v>
          </cell>
          <cell r="AE85">
            <v>0</v>
          </cell>
          <cell r="AG85">
            <v>0</v>
          </cell>
          <cell r="AI85">
            <v>0</v>
          </cell>
          <cell r="AK85">
            <v>0</v>
          </cell>
          <cell r="AM85">
            <v>0</v>
          </cell>
          <cell r="AO85">
            <v>0</v>
          </cell>
          <cell r="AQ85">
            <v>0</v>
          </cell>
          <cell r="AS85">
            <v>0</v>
          </cell>
          <cell r="AU85">
            <v>0</v>
          </cell>
          <cell r="AW85">
            <v>0</v>
          </cell>
          <cell r="AY85">
            <v>0</v>
          </cell>
          <cell r="BA85">
            <v>0</v>
          </cell>
          <cell r="BC85">
            <v>0</v>
          </cell>
          <cell r="BE85">
            <v>0</v>
          </cell>
          <cell r="BG85">
            <v>0</v>
          </cell>
          <cell r="BM85">
            <v>0</v>
          </cell>
        </row>
        <row r="86">
          <cell r="Q86">
            <v>0</v>
          </cell>
          <cell r="S86">
            <v>0</v>
          </cell>
          <cell r="U86">
            <v>0</v>
          </cell>
          <cell r="W86">
            <v>0</v>
          </cell>
          <cell r="Y86">
            <v>0</v>
          </cell>
          <cell r="AA86">
            <v>0</v>
          </cell>
          <cell r="AC86">
            <v>0</v>
          </cell>
          <cell r="AE86">
            <v>0</v>
          </cell>
          <cell r="AG86">
            <v>0</v>
          </cell>
          <cell r="AI86">
            <v>0</v>
          </cell>
          <cell r="AK86">
            <v>0</v>
          </cell>
          <cell r="AM86">
            <v>0</v>
          </cell>
          <cell r="AO86">
            <v>0</v>
          </cell>
          <cell r="AQ86">
            <v>0</v>
          </cell>
          <cell r="AS86">
            <v>0</v>
          </cell>
          <cell r="AU86">
            <v>0</v>
          </cell>
          <cell r="AW86">
            <v>0</v>
          </cell>
          <cell r="AY86">
            <v>0</v>
          </cell>
          <cell r="BA86">
            <v>0</v>
          </cell>
          <cell r="BC86">
            <v>0</v>
          </cell>
          <cell r="BE86">
            <v>0</v>
          </cell>
          <cell r="BG86">
            <v>0</v>
          </cell>
          <cell r="BM86">
            <v>0</v>
          </cell>
        </row>
        <row r="87">
          <cell r="Q87">
            <v>0</v>
          </cell>
          <cell r="S87">
            <v>0</v>
          </cell>
          <cell r="U87">
            <v>0</v>
          </cell>
          <cell r="W87">
            <v>0</v>
          </cell>
          <cell r="Y87">
            <v>0</v>
          </cell>
          <cell r="AA87">
            <v>0</v>
          </cell>
          <cell r="AC87">
            <v>0</v>
          </cell>
          <cell r="AE87">
            <v>0</v>
          </cell>
          <cell r="AG87">
            <v>0</v>
          </cell>
          <cell r="AI87">
            <v>0</v>
          </cell>
          <cell r="AK87">
            <v>0</v>
          </cell>
          <cell r="AM87">
            <v>0</v>
          </cell>
          <cell r="AO87">
            <v>0</v>
          </cell>
          <cell r="AQ87">
            <v>0</v>
          </cell>
          <cell r="AS87">
            <v>0</v>
          </cell>
          <cell r="AU87">
            <v>0</v>
          </cell>
          <cell r="AW87">
            <v>0</v>
          </cell>
          <cell r="AY87">
            <v>0</v>
          </cell>
          <cell r="BA87">
            <v>0</v>
          </cell>
          <cell r="BC87">
            <v>0</v>
          </cell>
          <cell r="BE87">
            <v>0</v>
          </cell>
          <cell r="BG87">
            <v>0</v>
          </cell>
          <cell r="BM87">
            <v>0</v>
          </cell>
        </row>
        <row r="88">
          <cell r="Q88">
            <v>0</v>
          </cell>
          <cell r="S88">
            <v>0</v>
          </cell>
          <cell r="U88">
            <v>0</v>
          </cell>
          <cell r="W88">
            <v>0</v>
          </cell>
          <cell r="Y88">
            <v>0</v>
          </cell>
          <cell r="AA88">
            <v>0</v>
          </cell>
          <cell r="AC88">
            <v>0</v>
          </cell>
          <cell r="AE88">
            <v>0</v>
          </cell>
          <cell r="AG88">
            <v>0</v>
          </cell>
          <cell r="AI88">
            <v>0</v>
          </cell>
          <cell r="AK88">
            <v>0</v>
          </cell>
          <cell r="AM88">
            <v>0</v>
          </cell>
          <cell r="AO88">
            <v>0</v>
          </cell>
          <cell r="AQ88">
            <v>0</v>
          </cell>
          <cell r="AS88">
            <v>0</v>
          </cell>
          <cell r="AU88">
            <v>0</v>
          </cell>
          <cell r="AW88">
            <v>0</v>
          </cell>
          <cell r="AY88">
            <v>0</v>
          </cell>
          <cell r="BA88">
            <v>0</v>
          </cell>
          <cell r="BC88">
            <v>0</v>
          </cell>
          <cell r="BE88">
            <v>0</v>
          </cell>
          <cell r="BG88">
            <v>0</v>
          </cell>
          <cell r="BM88">
            <v>0</v>
          </cell>
        </row>
        <row r="89">
          <cell r="Q89">
            <v>0</v>
          </cell>
          <cell r="S89">
            <v>0</v>
          </cell>
          <cell r="U89">
            <v>0</v>
          </cell>
          <cell r="W89">
            <v>0</v>
          </cell>
          <cell r="Y89">
            <v>0</v>
          </cell>
          <cell r="AA89">
            <v>0</v>
          </cell>
          <cell r="AC89">
            <v>0</v>
          </cell>
          <cell r="AE89">
            <v>0</v>
          </cell>
          <cell r="AG89">
            <v>0</v>
          </cell>
          <cell r="AI89">
            <v>0</v>
          </cell>
          <cell r="AK89">
            <v>0</v>
          </cell>
          <cell r="AM89">
            <v>0</v>
          </cell>
          <cell r="AO89">
            <v>0</v>
          </cell>
          <cell r="AQ89">
            <v>0</v>
          </cell>
          <cell r="AS89">
            <v>0</v>
          </cell>
          <cell r="AU89">
            <v>0</v>
          </cell>
          <cell r="AW89">
            <v>0</v>
          </cell>
          <cell r="AY89">
            <v>0</v>
          </cell>
          <cell r="BA89">
            <v>0</v>
          </cell>
          <cell r="BC89">
            <v>0</v>
          </cell>
          <cell r="BE89">
            <v>0</v>
          </cell>
          <cell r="BG89">
            <v>0</v>
          </cell>
          <cell r="BM89">
            <v>0</v>
          </cell>
        </row>
        <row r="90">
          <cell r="Q90">
            <v>0</v>
          </cell>
          <cell r="S90">
            <v>0</v>
          </cell>
          <cell r="U90">
            <v>0</v>
          </cell>
          <cell r="W90">
            <v>0</v>
          </cell>
          <cell r="Y90">
            <v>0</v>
          </cell>
          <cell r="AA90">
            <v>0</v>
          </cell>
          <cell r="AC90">
            <v>0</v>
          </cell>
          <cell r="AE90">
            <v>0</v>
          </cell>
          <cell r="AG90">
            <v>0</v>
          </cell>
          <cell r="AI90">
            <v>0</v>
          </cell>
          <cell r="AK90">
            <v>0</v>
          </cell>
          <cell r="AM90">
            <v>0</v>
          </cell>
          <cell r="AO90">
            <v>0</v>
          </cell>
          <cell r="AQ90">
            <v>0</v>
          </cell>
          <cell r="AS90">
            <v>0</v>
          </cell>
          <cell r="AU90">
            <v>0</v>
          </cell>
          <cell r="AW90">
            <v>0</v>
          </cell>
          <cell r="AY90">
            <v>0</v>
          </cell>
          <cell r="BA90">
            <v>0</v>
          </cell>
          <cell r="BC90">
            <v>0</v>
          </cell>
          <cell r="BE90">
            <v>0</v>
          </cell>
          <cell r="BG90">
            <v>0</v>
          </cell>
          <cell r="BM90">
            <v>0</v>
          </cell>
        </row>
        <row r="91">
          <cell r="Q91">
            <v>0</v>
          </cell>
          <cell r="S91">
            <v>0</v>
          </cell>
          <cell r="U91">
            <v>0</v>
          </cell>
          <cell r="W91">
            <v>0</v>
          </cell>
          <cell r="Y91">
            <v>0</v>
          </cell>
          <cell r="AA91">
            <v>0</v>
          </cell>
          <cell r="AC91">
            <v>0</v>
          </cell>
          <cell r="AE91">
            <v>0</v>
          </cell>
          <cell r="AG91">
            <v>0</v>
          </cell>
          <cell r="AI91">
            <v>0</v>
          </cell>
          <cell r="AK91">
            <v>0</v>
          </cell>
          <cell r="AM91">
            <v>0</v>
          </cell>
          <cell r="AO91">
            <v>0</v>
          </cell>
          <cell r="AQ91">
            <v>0</v>
          </cell>
          <cell r="AS91">
            <v>0</v>
          </cell>
          <cell r="AU91">
            <v>0</v>
          </cell>
          <cell r="AW91">
            <v>0</v>
          </cell>
          <cell r="AY91">
            <v>0</v>
          </cell>
          <cell r="BA91">
            <v>0</v>
          </cell>
          <cell r="BC91">
            <v>0</v>
          </cell>
          <cell r="BE91">
            <v>0</v>
          </cell>
          <cell r="BG91">
            <v>0</v>
          </cell>
          <cell r="BM91">
            <v>0</v>
          </cell>
        </row>
        <row r="92">
          <cell r="Q92">
            <v>0</v>
          </cell>
          <cell r="S92">
            <v>0</v>
          </cell>
          <cell r="U92">
            <v>0</v>
          </cell>
          <cell r="W92">
            <v>0</v>
          </cell>
          <cell r="Y92">
            <v>0</v>
          </cell>
          <cell r="AA92">
            <v>0</v>
          </cell>
          <cell r="AC92">
            <v>0</v>
          </cell>
          <cell r="AE92">
            <v>0</v>
          </cell>
          <cell r="AG92">
            <v>0</v>
          </cell>
          <cell r="AI92">
            <v>0</v>
          </cell>
          <cell r="AK92">
            <v>0</v>
          </cell>
          <cell r="AM92">
            <v>0</v>
          </cell>
          <cell r="AO92">
            <v>0</v>
          </cell>
          <cell r="AQ92">
            <v>0</v>
          </cell>
          <cell r="AS92">
            <v>0</v>
          </cell>
          <cell r="AU92">
            <v>0</v>
          </cell>
          <cell r="AW92">
            <v>0</v>
          </cell>
          <cell r="AY92">
            <v>0</v>
          </cell>
          <cell r="BA92">
            <v>0</v>
          </cell>
          <cell r="BC92">
            <v>0</v>
          </cell>
          <cell r="BE92">
            <v>0</v>
          </cell>
          <cell r="BG92">
            <v>0</v>
          </cell>
          <cell r="BM92">
            <v>0</v>
          </cell>
        </row>
        <row r="94">
          <cell r="Q94">
            <v>0</v>
          </cell>
          <cell r="S94">
            <v>0</v>
          </cell>
          <cell r="U94">
            <v>0</v>
          </cell>
          <cell r="W94">
            <v>0</v>
          </cell>
          <cell r="Y94">
            <v>0</v>
          </cell>
          <cell r="AA94">
            <v>0</v>
          </cell>
          <cell r="AC94">
            <v>0</v>
          </cell>
          <cell r="AE94">
            <v>0</v>
          </cell>
          <cell r="AG94">
            <v>0</v>
          </cell>
          <cell r="AI94">
            <v>0</v>
          </cell>
          <cell r="AK94">
            <v>0</v>
          </cell>
          <cell r="AM94">
            <v>0</v>
          </cell>
          <cell r="AO94">
            <v>0</v>
          </cell>
          <cell r="AQ94">
            <v>0</v>
          </cell>
          <cell r="AS94">
            <v>0</v>
          </cell>
          <cell r="AU94">
            <v>0</v>
          </cell>
          <cell r="AW94">
            <v>0</v>
          </cell>
          <cell r="AY94">
            <v>0</v>
          </cell>
          <cell r="BA94">
            <v>0</v>
          </cell>
          <cell r="BC94">
            <v>0</v>
          </cell>
          <cell r="BE94">
            <v>0</v>
          </cell>
          <cell r="BG94">
            <v>0</v>
          </cell>
          <cell r="BM94">
            <v>0</v>
          </cell>
        </row>
        <row r="95">
          <cell r="Q95">
            <v>0</v>
          </cell>
          <cell r="S95">
            <v>0</v>
          </cell>
          <cell r="U95">
            <v>0</v>
          </cell>
          <cell r="W95">
            <v>0</v>
          </cell>
          <cell r="Y95">
            <v>0</v>
          </cell>
          <cell r="AA95">
            <v>0</v>
          </cell>
          <cell r="AC95">
            <v>0</v>
          </cell>
          <cell r="AE95">
            <v>0</v>
          </cell>
          <cell r="AG95">
            <v>0</v>
          </cell>
          <cell r="AI95">
            <v>0</v>
          </cell>
          <cell r="AK95">
            <v>0</v>
          </cell>
          <cell r="AM95">
            <v>0</v>
          </cell>
          <cell r="AO95">
            <v>0</v>
          </cell>
          <cell r="AQ95">
            <v>0</v>
          </cell>
          <cell r="AS95">
            <v>0</v>
          </cell>
          <cell r="AU95">
            <v>0</v>
          </cell>
          <cell r="AW95">
            <v>0</v>
          </cell>
          <cell r="AY95">
            <v>0</v>
          </cell>
          <cell r="BA95">
            <v>0</v>
          </cell>
          <cell r="BC95">
            <v>0</v>
          </cell>
          <cell r="BE95">
            <v>0</v>
          </cell>
          <cell r="BG95">
            <v>0</v>
          </cell>
          <cell r="BM95">
            <v>0</v>
          </cell>
        </row>
        <row r="96">
          <cell r="Q96">
            <v>0</v>
          </cell>
          <cell r="S96">
            <v>0</v>
          </cell>
          <cell r="U96">
            <v>0</v>
          </cell>
          <cell r="W96">
            <v>0</v>
          </cell>
          <cell r="Y96">
            <v>0</v>
          </cell>
          <cell r="AA96">
            <v>0</v>
          </cell>
          <cell r="AC96">
            <v>0</v>
          </cell>
          <cell r="AE96">
            <v>0</v>
          </cell>
          <cell r="AG96">
            <v>0</v>
          </cell>
          <cell r="AI96">
            <v>0</v>
          </cell>
          <cell r="AK96">
            <v>0</v>
          </cell>
          <cell r="AM96">
            <v>0</v>
          </cell>
          <cell r="AO96">
            <v>0</v>
          </cell>
          <cell r="AQ96">
            <v>0</v>
          </cell>
          <cell r="AS96">
            <v>0</v>
          </cell>
          <cell r="AU96">
            <v>0</v>
          </cell>
          <cell r="AW96">
            <v>0</v>
          </cell>
          <cell r="AY96">
            <v>0</v>
          </cell>
          <cell r="BA96">
            <v>0</v>
          </cell>
          <cell r="BC96">
            <v>0</v>
          </cell>
          <cell r="BE96">
            <v>0</v>
          </cell>
          <cell r="BG96">
            <v>0</v>
          </cell>
          <cell r="BM96">
            <v>0</v>
          </cell>
        </row>
        <row r="98">
          <cell r="Q98">
            <v>0</v>
          </cell>
          <cell r="S98">
            <v>0</v>
          </cell>
          <cell r="U98">
            <v>0</v>
          </cell>
          <cell r="W98">
            <v>0</v>
          </cell>
          <cell r="Y98">
            <v>0</v>
          </cell>
          <cell r="AA98">
            <v>0</v>
          </cell>
          <cell r="AC98">
            <v>0</v>
          </cell>
          <cell r="AE98">
            <v>0</v>
          </cell>
          <cell r="AG98">
            <v>0</v>
          </cell>
          <cell r="AI98">
            <v>0</v>
          </cell>
          <cell r="AK98">
            <v>0</v>
          </cell>
          <cell r="AM98">
            <v>0</v>
          </cell>
          <cell r="AO98">
            <v>0</v>
          </cell>
          <cell r="AQ98">
            <v>0</v>
          </cell>
          <cell r="AS98">
            <v>0</v>
          </cell>
          <cell r="AU98">
            <v>0</v>
          </cell>
          <cell r="AW98">
            <v>0</v>
          </cell>
          <cell r="AY98">
            <v>0</v>
          </cell>
          <cell r="BA98">
            <v>0</v>
          </cell>
          <cell r="BC98">
            <v>0</v>
          </cell>
          <cell r="BE98">
            <v>0</v>
          </cell>
          <cell r="BG98">
            <v>0</v>
          </cell>
          <cell r="BM98">
            <v>0</v>
          </cell>
        </row>
        <row r="99">
          <cell r="Q99">
            <v>0</v>
          </cell>
          <cell r="S99">
            <v>0</v>
          </cell>
          <cell r="U99">
            <v>0</v>
          </cell>
          <cell r="W99">
            <v>0</v>
          </cell>
          <cell r="Y99">
            <v>0</v>
          </cell>
          <cell r="AA99">
            <v>0</v>
          </cell>
          <cell r="AC99">
            <v>0</v>
          </cell>
          <cell r="AE99">
            <v>0</v>
          </cell>
          <cell r="AG99">
            <v>0</v>
          </cell>
          <cell r="AI99">
            <v>0</v>
          </cell>
          <cell r="AK99">
            <v>0</v>
          </cell>
          <cell r="AM99">
            <v>0</v>
          </cell>
          <cell r="AO99">
            <v>0</v>
          </cell>
          <cell r="AQ99">
            <v>0</v>
          </cell>
          <cell r="AS99">
            <v>0</v>
          </cell>
          <cell r="AU99">
            <v>0</v>
          </cell>
          <cell r="AW99">
            <v>0</v>
          </cell>
          <cell r="AY99">
            <v>0</v>
          </cell>
          <cell r="BA99">
            <v>0</v>
          </cell>
          <cell r="BC99">
            <v>0</v>
          </cell>
          <cell r="BE99">
            <v>0</v>
          </cell>
          <cell r="BG99">
            <v>0</v>
          </cell>
          <cell r="BM99">
            <v>0</v>
          </cell>
        </row>
        <row r="100">
          <cell r="Q100">
            <v>0</v>
          </cell>
          <cell r="S100">
            <v>0</v>
          </cell>
          <cell r="U100">
            <v>0</v>
          </cell>
          <cell r="W100">
            <v>0</v>
          </cell>
          <cell r="Y100">
            <v>0</v>
          </cell>
          <cell r="AA100">
            <v>0</v>
          </cell>
          <cell r="AC100">
            <v>0</v>
          </cell>
          <cell r="AE100">
            <v>0</v>
          </cell>
          <cell r="AG100">
            <v>0</v>
          </cell>
          <cell r="AI100">
            <v>0</v>
          </cell>
          <cell r="AK100">
            <v>0</v>
          </cell>
          <cell r="AM100">
            <v>0</v>
          </cell>
          <cell r="AO100">
            <v>0</v>
          </cell>
          <cell r="AQ100">
            <v>0</v>
          </cell>
          <cell r="AS100">
            <v>0</v>
          </cell>
          <cell r="AU100">
            <v>0</v>
          </cell>
          <cell r="AW100">
            <v>0</v>
          </cell>
          <cell r="AY100">
            <v>0</v>
          </cell>
          <cell r="BA100">
            <v>0</v>
          </cell>
          <cell r="BC100">
            <v>0</v>
          </cell>
          <cell r="BE100">
            <v>0</v>
          </cell>
          <cell r="BG100">
            <v>0</v>
          </cell>
          <cell r="BM100">
            <v>0</v>
          </cell>
        </row>
        <row r="101">
          <cell r="Q101">
            <v>0</v>
          </cell>
          <cell r="S101">
            <v>0</v>
          </cell>
          <cell r="U101">
            <v>0</v>
          </cell>
          <cell r="W101">
            <v>0</v>
          </cell>
          <cell r="Y101">
            <v>0</v>
          </cell>
          <cell r="AA101">
            <v>0</v>
          </cell>
          <cell r="AC101">
            <v>0</v>
          </cell>
          <cell r="AE101">
            <v>0</v>
          </cell>
          <cell r="AG101">
            <v>0</v>
          </cell>
          <cell r="AI101">
            <v>0</v>
          </cell>
          <cell r="AK101">
            <v>0</v>
          </cell>
          <cell r="AM101">
            <v>0</v>
          </cell>
          <cell r="AO101">
            <v>0</v>
          </cell>
          <cell r="AQ101">
            <v>0</v>
          </cell>
          <cell r="AS101">
            <v>0</v>
          </cell>
          <cell r="AU101">
            <v>0</v>
          </cell>
          <cell r="AW101">
            <v>0</v>
          </cell>
          <cell r="AY101">
            <v>0</v>
          </cell>
          <cell r="BA101">
            <v>0</v>
          </cell>
          <cell r="BC101">
            <v>0</v>
          </cell>
          <cell r="BE101">
            <v>0</v>
          </cell>
          <cell r="BG101">
            <v>0</v>
          </cell>
          <cell r="BM101">
            <v>0</v>
          </cell>
        </row>
        <row r="102">
          <cell r="Q102">
            <v>0</v>
          </cell>
          <cell r="S102">
            <v>0</v>
          </cell>
          <cell r="U102">
            <v>0</v>
          </cell>
          <cell r="W102">
            <v>0</v>
          </cell>
          <cell r="Y102">
            <v>0</v>
          </cell>
          <cell r="AA102">
            <v>0</v>
          </cell>
          <cell r="AC102">
            <v>0</v>
          </cell>
          <cell r="AE102">
            <v>0</v>
          </cell>
          <cell r="AG102">
            <v>0</v>
          </cell>
          <cell r="AI102">
            <v>0</v>
          </cell>
          <cell r="AK102">
            <v>0</v>
          </cell>
          <cell r="AM102">
            <v>0</v>
          </cell>
          <cell r="AO102">
            <v>0</v>
          </cell>
          <cell r="AQ102">
            <v>0</v>
          </cell>
          <cell r="AS102">
            <v>0</v>
          </cell>
          <cell r="AU102">
            <v>0</v>
          </cell>
          <cell r="AW102">
            <v>0</v>
          </cell>
          <cell r="AY102">
            <v>0</v>
          </cell>
          <cell r="BA102">
            <v>0</v>
          </cell>
          <cell r="BC102">
            <v>0</v>
          </cell>
          <cell r="BE102">
            <v>0</v>
          </cell>
          <cell r="BG102">
            <v>0</v>
          </cell>
          <cell r="BM102">
            <v>0</v>
          </cell>
        </row>
        <row r="103">
          <cell r="Q103">
            <v>0</v>
          </cell>
          <cell r="S103">
            <v>0</v>
          </cell>
          <cell r="U103">
            <v>0</v>
          </cell>
          <cell r="W103">
            <v>0</v>
          </cell>
          <cell r="Y103">
            <v>0</v>
          </cell>
          <cell r="AA103">
            <v>0</v>
          </cell>
          <cell r="AC103">
            <v>0</v>
          </cell>
          <cell r="AE103">
            <v>0</v>
          </cell>
          <cell r="AG103">
            <v>0</v>
          </cell>
          <cell r="AI103">
            <v>0</v>
          </cell>
          <cell r="AK103">
            <v>0</v>
          </cell>
          <cell r="AM103">
            <v>0</v>
          </cell>
          <cell r="AO103">
            <v>0</v>
          </cell>
          <cell r="AQ103">
            <v>0</v>
          </cell>
          <cell r="AS103">
            <v>0</v>
          </cell>
          <cell r="AU103">
            <v>0</v>
          </cell>
          <cell r="AW103">
            <v>0</v>
          </cell>
          <cell r="AY103">
            <v>0</v>
          </cell>
          <cell r="BA103">
            <v>0</v>
          </cell>
          <cell r="BC103">
            <v>0</v>
          </cell>
          <cell r="BE103">
            <v>0</v>
          </cell>
          <cell r="BG103">
            <v>0</v>
          </cell>
          <cell r="BM103">
            <v>0</v>
          </cell>
        </row>
        <row r="104">
          <cell r="Q104">
            <v>0</v>
          </cell>
          <cell r="S104">
            <v>0</v>
          </cell>
          <cell r="U104">
            <v>0</v>
          </cell>
          <cell r="W104">
            <v>0</v>
          </cell>
          <cell r="Y104">
            <v>0</v>
          </cell>
          <cell r="AA104">
            <v>0</v>
          </cell>
          <cell r="AC104">
            <v>0</v>
          </cell>
          <cell r="AE104">
            <v>0</v>
          </cell>
          <cell r="AG104">
            <v>0</v>
          </cell>
          <cell r="AI104">
            <v>0</v>
          </cell>
          <cell r="AK104">
            <v>0</v>
          </cell>
          <cell r="AM104">
            <v>0</v>
          </cell>
          <cell r="AO104">
            <v>0</v>
          </cell>
          <cell r="AQ104">
            <v>0</v>
          </cell>
          <cell r="AS104">
            <v>0</v>
          </cell>
          <cell r="AU104">
            <v>0</v>
          </cell>
          <cell r="AW104">
            <v>0</v>
          </cell>
          <cell r="AY104">
            <v>0</v>
          </cell>
          <cell r="BA104">
            <v>0</v>
          </cell>
          <cell r="BC104">
            <v>0</v>
          </cell>
          <cell r="BE104">
            <v>0</v>
          </cell>
          <cell r="BG104">
            <v>0</v>
          </cell>
          <cell r="BM104">
            <v>0</v>
          </cell>
        </row>
        <row r="105">
          <cell r="Q105">
            <v>0</v>
          </cell>
          <cell r="S105">
            <v>0</v>
          </cell>
          <cell r="U105">
            <v>0</v>
          </cell>
          <cell r="W105">
            <v>0</v>
          </cell>
          <cell r="Y105">
            <v>0</v>
          </cell>
          <cell r="AA105">
            <v>0</v>
          </cell>
          <cell r="AC105">
            <v>0</v>
          </cell>
          <cell r="AE105">
            <v>0</v>
          </cell>
          <cell r="AG105">
            <v>0</v>
          </cell>
          <cell r="AI105">
            <v>0</v>
          </cell>
          <cell r="AK105">
            <v>0</v>
          </cell>
          <cell r="AM105">
            <v>0</v>
          </cell>
          <cell r="AO105">
            <v>0</v>
          </cell>
          <cell r="AQ105">
            <v>0</v>
          </cell>
          <cell r="AS105">
            <v>0</v>
          </cell>
          <cell r="AU105">
            <v>0</v>
          </cell>
          <cell r="AW105">
            <v>0</v>
          </cell>
          <cell r="AY105">
            <v>0</v>
          </cell>
          <cell r="BA105">
            <v>0</v>
          </cell>
          <cell r="BC105">
            <v>0</v>
          </cell>
          <cell r="BE105">
            <v>0</v>
          </cell>
          <cell r="BG105">
            <v>0</v>
          </cell>
          <cell r="BM105">
            <v>0</v>
          </cell>
        </row>
        <row r="106">
          <cell r="Q106">
            <v>0</v>
          </cell>
          <cell r="S106">
            <v>0</v>
          </cell>
          <cell r="U106">
            <v>0</v>
          </cell>
          <cell r="W106">
            <v>0</v>
          </cell>
          <cell r="Y106">
            <v>0</v>
          </cell>
          <cell r="AA106">
            <v>0</v>
          </cell>
          <cell r="AC106">
            <v>0</v>
          </cell>
          <cell r="AE106">
            <v>0</v>
          </cell>
          <cell r="AG106">
            <v>0</v>
          </cell>
          <cell r="AI106">
            <v>0</v>
          </cell>
          <cell r="AK106">
            <v>0</v>
          </cell>
          <cell r="AM106">
            <v>0</v>
          </cell>
          <cell r="AO106">
            <v>0</v>
          </cell>
          <cell r="AQ106">
            <v>0</v>
          </cell>
          <cell r="AS106">
            <v>0</v>
          </cell>
          <cell r="AU106">
            <v>0</v>
          </cell>
          <cell r="AW106">
            <v>0</v>
          </cell>
          <cell r="AY106">
            <v>0</v>
          </cell>
          <cell r="BA106">
            <v>0</v>
          </cell>
          <cell r="BC106">
            <v>0</v>
          </cell>
          <cell r="BE106">
            <v>0</v>
          </cell>
          <cell r="BG106">
            <v>0</v>
          </cell>
          <cell r="BM106">
            <v>0</v>
          </cell>
        </row>
        <row r="107">
          <cell r="Q107">
            <v>0</v>
          </cell>
          <cell r="S107">
            <v>0</v>
          </cell>
          <cell r="U107">
            <v>0</v>
          </cell>
          <cell r="W107">
            <v>0</v>
          </cell>
          <cell r="Y107">
            <v>0</v>
          </cell>
          <cell r="AA107">
            <v>0</v>
          </cell>
          <cell r="AC107">
            <v>0</v>
          </cell>
          <cell r="AE107">
            <v>0</v>
          </cell>
          <cell r="AG107">
            <v>0</v>
          </cell>
          <cell r="AI107">
            <v>0</v>
          </cell>
          <cell r="AK107">
            <v>0</v>
          </cell>
          <cell r="AM107">
            <v>0</v>
          </cell>
          <cell r="AO107">
            <v>0</v>
          </cell>
          <cell r="AQ107">
            <v>0</v>
          </cell>
          <cell r="AS107">
            <v>0</v>
          </cell>
          <cell r="AU107">
            <v>0</v>
          </cell>
          <cell r="AW107">
            <v>0</v>
          </cell>
          <cell r="AY107">
            <v>0</v>
          </cell>
          <cell r="BA107">
            <v>0</v>
          </cell>
          <cell r="BC107">
            <v>0</v>
          </cell>
          <cell r="BE107">
            <v>0</v>
          </cell>
          <cell r="BG107">
            <v>0</v>
          </cell>
          <cell r="BM107">
            <v>0</v>
          </cell>
        </row>
        <row r="109">
          <cell r="Q109">
            <v>0</v>
          </cell>
          <cell r="S109">
            <v>0</v>
          </cell>
          <cell r="U109">
            <v>0</v>
          </cell>
          <cell r="W109">
            <v>0</v>
          </cell>
          <cell r="Y109">
            <v>0</v>
          </cell>
          <cell r="AA109">
            <v>0</v>
          </cell>
          <cell r="AC109">
            <v>0</v>
          </cell>
          <cell r="AE109">
            <v>0</v>
          </cell>
          <cell r="AG109">
            <v>0</v>
          </cell>
          <cell r="AI109">
            <v>0</v>
          </cell>
          <cell r="AK109">
            <v>0</v>
          </cell>
          <cell r="AM109">
            <v>0</v>
          </cell>
          <cell r="AO109">
            <v>0</v>
          </cell>
          <cell r="AQ109">
            <v>0</v>
          </cell>
          <cell r="AS109">
            <v>0</v>
          </cell>
          <cell r="AU109">
            <v>0</v>
          </cell>
          <cell r="AW109">
            <v>0</v>
          </cell>
          <cell r="AY109">
            <v>0</v>
          </cell>
          <cell r="BA109">
            <v>0</v>
          </cell>
          <cell r="BC109">
            <v>0</v>
          </cell>
          <cell r="BE109">
            <v>0</v>
          </cell>
          <cell r="BG109">
            <v>0</v>
          </cell>
          <cell r="BM109">
            <v>0</v>
          </cell>
        </row>
        <row r="112">
          <cell r="Q112">
            <v>0</v>
          </cell>
          <cell r="S112">
            <v>0</v>
          </cell>
          <cell r="U112">
            <v>0</v>
          </cell>
          <cell r="W112">
            <v>0</v>
          </cell>
          <cell r="Y112">
            <v>0</v>
          </cell>
          <cell r="AA112">
            <v>0</v>
          </cell>
          <cell r="AC112">
            <v>0</v>
          </cell>
          <cell r="AE112">
            <v>0</v>
          </cell>
          <cell r="AG112">
            <v>0</v>
          </cell>
          <cell r="AI112">
            <v>0</v>
          </cell>
          <cell r="AK112">
            <v>0</v>
          </cell>
          <cell r="AM112">
            <v>0</v>
          </cell>
          <cell r="AO112">
            <v>0</v>
          </cell>
          <cell r="AQ112">
            <v>0</v>
          </cell>
          <cell r="AS112">
            <v>0</v>
          </cell>
          <cell r="AU112">
            <v>0</v>
          </cell>
          <cell r="AW112">
            <v>0</v>
          </cell>
          <cell r="AY112">
            <v>0</v>
          </cell>
          <cell r="BA112">
            <v>0</v>
          </cell>
          <cell r="BC112">
            <v>0</v>
          </cell>
          <cell r="BE112">
            <v>0</v>
          </cell>
          <cell r="BG112">
            <v>0</v>
          </cell>
          <cell r="BM112">
            <v>0</v>
          </cell>
        </row>
        <row r="113">
          <cell r="Q113">
            <v>0</v>
          </cell>
          <cell r="S113">
            <v>0</v>
          </cell>
          <cell r="U113">
            <v>0</v>
          </cell>
          <cell r="W113">
            <v>0</v>
          </cell>
          <cell r="Y113">
            <v>0</v>
          </cell>
          <cell r="AA113">
            <v>0</v>
          </cell>
          <cell r="AC113">
            <v>0</v>
          </cell>
          <cell r="AE113">
            <v>0</v>
          </cell>
          <cell r="AG113">
            <v>0</v>
          </cell>
          <cell r="AI113">
            <v>0</v>
          </cell>
          <cell r="AK113">
            <v>0</v>
          </cell>
          <cell r="AM113">
            <v>0</v>
          </cell>
          <cell r="AO113">
            <v>0</v>
          </cell>
          <cell r="AQ113">
            <v>0</v>
          </cell>
          <cell r="AS113">
            <v>0</v>
          </cell>
          <cell r="AU113">
            <v>0</v>
          </cell>
          <cell r="AW113">
            <v>0</v>
          </cell>
          <cell r="AY113">
            <v>0</v>
          </cell>
          <cell r="BA113">
            <v>0</v>
          </cell>
          <cell r="BC113">
            <v>0</v>
          </cell>
          <cell r="BE113">
            <v>0</v>
          </cell>
          <cell r="BG113">
            <v>0</v>
          </cell>
          <cell r="BM113">
            <v>0</v>
          </cell>
        </row>
        <row r="114">
          <cell r="Q114">
            <v>0</v>
          </cell>
          <cell r="S114">
            <v>0</v>
          </cell>
          <cell r="U114">
            <v>0</v>
          </cell>
          <cell r="W114">
            <v>0</v>
          </cell>
          <cell r="Y114">
            <v>0</v>
          </cell>
          <cell r="AA114">
            <v>0</v>
          </cell>
          <cell r="AC114">
            <v>0</v>
          </cell>
          <cell r="AE114">
            <v>0</v>
          </cell>
          <cell r="AG114">
            <v>0</v>
          </cell>
          <cell r="AI114">
            <v>0</v>
          </cell>
          <cell r="AK114">
            <v>0</v>
          </cell>
          <cell r="AM114">
            <v>0</v>
          </cell>
          <cell r="AO114">
            <v>0</v>
          </cell>
          <cell r="AQ114">
            <v>0</v>
          </cell>
          <cell r="AS114">
            <v>0</v>
          </cell>
          <cell r="AU114">
            <v>0</v>
          </cell>
          <cell r="AW114">
            <v>0</v>
          </cell>
          <cell r="AY114">
            <v>0</v>
          </cell>
          <cell r="BA114">
            <v>0</v>
          </cell>
          <cell r="BC114">
            <v>0</v>
          </cell>
          <cell r="BE114">
            <v>0</v>
          </cell>
          <cell r="BG114">
            <v>0</v>
          </cell>
          <cell r="BM114">
            <v>0</v>
          </cell>
        </row>
        <row r="115">
          <cell r="Q115">
            <v>0</v>
          </cell>
          <cell r="S115">
            <v>0</v>
          </cell>
          <cell r="U115">
            <v>0</v>
          </cell>
          <cell r="W115">
            <v>0</v>
          </cell>
          <cell r="Y115">
            <v>0</v>
          </cell>
          <cell r="AA115">
            <v>0</v>
          </cell>
          <cell r="AC115">
            <v>0</v>
          </cell>
          <cell r="AE115">
            <v>0</v>
          </cell>
          <cell r="AG115">
            <v>0</v>
          </cell>
          <cell r="AI115">
            <v>0</v>
          </cell>
          <cell r="AK115">
            <v>0</v>
          </cell>
          <cell r="AM115">
            <v>0</v>
          </cell>
          <cell r="AO115">
            <v>0</v>
          </cell>
          <cell r="AQ115">
            <v>0</v>
          </cell>
          <cell r="AS115">
            <v>0</v>
          </cell>
          <cell r="AU115">
            <v>0</v>
          </cell>
          <cell r="AW115">
            <v>0</v>
          </cell>
          <cell r="AY115">
            <v>0</v>
          </cell>
          <cell r="BA115">
            <v>0</v>
          </cell>
          <cell r="BC115">
            <v>0</v>
          </cell>
          <cell r="BE115">
            <v>0</v>
          </cell>
          <cell r="BG115">
            <v>0</v>
          </cell>
          <cell r="BM115">
            <v>0</v>
          </cell>
        </row>
        <row r="116">
          <cell r="Q116">
            <v>0</v>
          </cell>
          <cell r="S116">
            <v>0</v>
          </cell>
          <cell r="U116">
            <v>0</v>
          </cell>
          <cell r="W116">
            <v>0</v>
          </cell>
          <cell r="Y116">
            <v>0</v>
          </cell>
          <cell r="AA116">
            <v>0</v>
          </cell>
          <cell r="AC116">
            <v>0</v>
          </cell>
          <cell r="AE116">
            <v>0</v>
          </cell>
          <cell r="AG116">
            <v>0</v>
          </cell>
          <cell r="AI116">
            <v>0</v>
          </cell>
          <cell r="AK116">
            <v>0</v>
          </cell>
          <cell r="AM116">
            <v>0</v>
          </cell>
          <cell r="AO116">
            <v>0</v>
          </cell>
          <cell r="AQ116">
            <v>0</v>
          </cell>
          <cell r="AS116">
            <v>0</v>
          </cell>
          <cell r="AU116">
            <v>0</v>
          </cell>
          <cell r="AW116">
            <v>0</v>
          </cell>
          <cell r="AY116">
            <v>0</v>
          </cell>
          <cell r="BA116">
            <v>0</v>
          </cell>
          <cell r="BC116">
            <v>0</v>
          </cell>
          <cell r="BE116">
            <v>0</v>
          </cell>
          <cell r="BG116">
            <v>0</v>
          </cell>
          <cell r="BM116">
            <v>0</v>
          </cell>
        </row>
        <row r="117">
          <cell r="Q117">
            <v>0</v>
          </cell>
          <cell r="S117">
            <v>0</v>
          </cell>
          <cell r="U117">
            <v>0</v>
          </cell>
          <cell r="W117">
            <v>0</v>
          </cell>
          <cell r="Y117">
            <v>0</v>
          </cell>
          <cell r="AA117">
            <v>0</v>
          </cell>
          <cell r="AC117">
            <v>0</v>
          </cell>
          <cell r="AE117">
            <v>0</v>
          </cell>
          <cell r="AG117">
            <v>0</v>
          </cell>
          <cell r="AI117">
            <v>0</v>
          </cell>
          <cell r="AK117">
            <v>0</v>
          </cell>
          <cell r="AM117">
            <v>0</v>
          </cell>
          <cell r="AO117">
            <v>0</v>
          </cell>
          <cell r="AQ117">
            <v>0</v>
          </cell>
          <cell r="AS117">
            <v>0</v>
          </cell>
          <cell r="AU117">
            <v>0</v>
          </cell>
          <cell r="AW117">
            <v>0</v>
          </cell>
          <cell r="AY117">
            <v>0</v>
          </cell>
          <cell r="BA117">
            <v>0</v>
          </cell>
          <cell r="BC117">
            <v>0</v>
          </cell>
          <cell r="BE117">
            <v>0</v>
          </cell>
          <cell r="BG117">
            <v>0</v>
          </cell>
          <cell r="BM117">
            <v>0</v>
          </cell>
        </row>
        <row r="118">
          <cell r="Q118">
            <v>0</v>
          </cell>
          <cell r="S118">
            <v>0</v>
          </cell>
          <cell r="U118">
            <v>0</v>
          </cell>
          <cell r="W118">
            <v>0</v>
          </cell>
          <cell r="Y118">
            <v>0</v>
          </cell>
          <cell r="AA118">
            <v>0</v>
          </cell>
          <cell r="AC118">
            <v>0</v>
          </cell>
          <cell r="AE118">
            <v>0</v>
          </cell>
          <cell r="AG118">
            <v>0</v>
          </cell>
          <cell r="AI118">
            <v>0</v>
          </cell>
          <cell r="AK118">
            <v>0</v>
          </cell>
          <cell r="AM118">
            <v>0</v>
          </cell>
          <cell r="AO118">
            <v>0</v>
          </cell>
          <cell r="AQ118">
            <v>0</v>
          </cell>
          <cell r="AS118">
            <v>0</v>
          </cell>
          <cell r="AU118">
            <v>0</v>
          </cell>
          <cell r="AW118">
            <v>0</v>
          </cell>
          <cell r="AY118">
            <v>0</v>
          </cell>
          <cell r="BA118">
            <v>0</v>
          </cell>
          <cell r="BC118">
            <v>0</v>
          </cell>
          <cell r="BE118">
            <v>0</v>
          </cell>
          <cell r="BG118">
            <v>0</v>
          </cell>
          <cell r="BM118">
            <v>0</v>
          </cell>
        </row>
        <row r="119">
          <cell r="Q119">
            <v>0</v>
          </cell>
          <cell r="S119">
            <v>0</v>
          </cell>
          <cell r="U119">
            <v>0</v>
          </cell>
          <cell r="W119">
            <v>0</v>
          </cell>
          <cell r="Y119">
            <v>0</v>
          </cell>
          <cell r="AA119">
            <v>0</v>
          </cell>
          <cell r="AC119">
            <v>0</v>
          </cell>
          <cell r="AE119">
            <v>0</v>
          </cell>
          <cell r="AG119">
            <v>0</v>
          </cell>
          <cell r="AI119">
            <v>0</v>
          </cell>
          <cell r="AK119">
            <v>0</v>
          </cell>
          <cell r="AM119">
            <v>0</v>
          </cell>
          <cell r="AO119">
            <v>0</v>
          </cell>
          <cell r="AQ119">
            <v>0</v>
          </cell>
          <cell r="AS119">
            <v>0</v>
          </cell>
          <cell r="AU119">
            <v>0</v>
          </cell>
          <cell r="AW119">
            <v>0</v>
          </cell>
          <cell r="AY119">
            <v>0</v>
          </cell>
          <cell r="BA119">
            <v>0</v>
          </cell>
          <cell r="BC119">
            <v>0</v>
          </cell>
          <cell r="BE119">
            <v>0</v>
          </cell>
          <cell r="BG119">
            <v>0</v>
          </cell>
          <cell r="BM119">
            <v>0</v>
          </cell>
        </row>
        <row r="120">
          <cell r="Q120">
            <v>0</v>
          </cell>
          <cell r="S120">
            <v>0</v>
          </cell>
          <cell r="U120">
            <v>0</v>
          </cell>
          <cell r="W120">
            <v>0</v>
          </cell>
          <cell r="Y120">
            <v>0</v>
          </cell>
          <cell r="AA120">
            <v>0</v>
          </cell>
          <cell r="AC120">
            <v>0</v>
          </cell>
          <cell r="AE120">
            <v>0</v>
          </cell>
          <cell r="AG120">
            <v>0</v>
          </cell>
          <cell r="AI120">
            <v>0</v>
          </cell>
          <cell r="AK120">
            <v>0</v>
          </cell>
          <cell r="AM120">
            <v>0</v>
          </cell>
          <cell r="AO120">
            <v>0</v>
          </cell>
          <cell r="AQ120">
            <v>0</v>
          </cell>
          <cell r="AS120">
            <v>0</v>
          </cell>
          <cell r="AU120">
            <v>0</v>
          </cell>
          <cell r="AW120">
            <v>0</v>
          </cell>
          <cell r="AY120">
            <v>0</v>
          </cell>
          <cell r="BA120">
            <v>0</v>
          </cell>
          <cell r="BC120">
            <v>0</v>
          </cell>
          <cell r="BE120">
            <v>0</v>
          </cell>
          <cell r="BG120">
            <v>0</v>
          </cell>
          <cell r="BM120">
            <v>0</v>
          </cell>
        </row>
        <row r="121">
          <cell r="Q121">
            <v>0</v>
          </cell>
          <cell r="S121">
            <v>0</v>
          </cell>
          <cell r="U121">
            <v>0</v>
          </cell>
          <cell r="W121">
            <v>0</v>
          </cell>
          <cell r="Y121">
            <v>0</v>
          </cell>
          <cell r="AA121">
            <v>0</v>
          </cell>
          <cell r="AC121">
            <v>0</v>
          </cell>
          <cell r="AE121">
            <v>0</v>
          </cell>
          <cell r="AG121">
            <v>0</v>
          </cell>
          <cell r="AI121">
            <v>0</v>
          </cell>
          <cell r="AK121">
            <v>0</v>
          </cell>
          <cell r="AM121">
            <v>0</v>
          </cell>
          <cell r="AO121">
            <v>0</v>
          </cell>
          <cell r="AQ121">
            <v>0</v>
          </cell>
          <cell r="AS121">
            <v>0</v>
          </cell>
          <cell r="AU121">
            <v>0</v>
          </cell>
          <cell r="AW121">
            <v>0</v>
          </cell>
          <cell r="AY121">
            <v>0</v>
          </cell>
          <cell r="BA121">
            <v>0</v>
          </cell>
          <cell r="BC121">
            <v>0</v>
          </cell>
          <cell r="BE121">
            <v>0</v>
          </cell>
          <cell r="BG121">
            <v>0</v>
          </cell>
          <cell r="BM121">
            <v>0</v>
          </cell>
        </row>
        <row r="123">
          <cell r="Q123">
            <v>0</v>
          </cell>
          <cell r="S123">
            <v>0</v>
          </cell>
          <cell r="U123">
            <v>0</v>
          </cell>
          <cell r="W123">
            <v>0</v>
          </cell>
          <cell r="Y123">
            <v>0</v>
          </cell>
          <cell r="AA123">
            <v>0</v>
          </cell>
          <cell r="AC123">
            <v>0</v>
          </cell>
          <cell r="AE123">
            <v>0</v>
          </cell>
          <cell r="AG123">
            <v>0</v>
          </cell>
          <cell r="AI123">
            <v>0</v>
          </cell>
          <cell r="AK123">
            <v>0</v>
          </cell>
          <cell r="AM123">
            <v>0</v>
          </cell>
          <cell r="AO123">
            <v>0</v>
          </cell>
          <cell r="AQ123">
            <v>0</v>
          </cell>
          <cell r="AS123">
            <v>0</v>
          </cell>
          <cell r="AU123">
            <v>0</v>
          </cell>
          <cell r="AW123">
            <v>0</v>
          </cell>
          <cell r="AY123">
            <v>0</v>
          </cell>
          <cell r="BA123">
            <v>0</v>
          </cell>
          <cell r="BC123">
            <v>0</v>
          </cell>
          <cell r="BE123">
            <v>0</v>
          </cell>
          <cell r="BG123">
            <v>0</v>
          </cell>
          <cell r="BM123">
            <v>0</v>
          </cell>
        </row>
        <row r="126">
          <cell r="Q126">
            <v>0</v>
          </cell>
          <cell r="S126">
            <v>0</v>
          </cell>
          <cell r="U126">
            <v>0</v>
          </cell>
          <cell r="W126">
            <v>0</v>
          </cell>
          <cell r="Y126">
            <v>0</v>
          </cell>
          <cell r="AA126">
            <v>0</v>
          </cell>
          <cell r="AC126">
            <v>0</v>
          </cell>
          <cell r="AE126">
            <v>0</v>
          </cell>
          <cell r="AG126">
            <v>0</v>
          </cell>
          <cell r="AI126">
            <v>0</v>
          </cell>
          <cell r="AK126">
            <v>0</v>
          </cell>
          <cell r="AM126">
            <v>0</v>
          </cell>
          <cell r="AO126">
            <v>0</v>
          </cell>
          <cell r="AQ126">
            <v>0</v>
          </cell>
          <cell r="AS126">
            <v>0</v>
          </cell>
          <cell r="AU126">
            <v>0</v>
          </cell>
          <cell r="AW126">
            <v>0</v>
          </cell>
          <cell r="AY126">
            <v>0</v>
          </cell>
          <cell r="BA126">
            <v>0</v>
          </cell>
          <cell r="BC126">
            <v>0</v>
          </cell>
          <cell r="BE126">
            <v>0</v>
          </cell>
          <cell r="BG126">
            <v>0</v>
          </cell>
          <cell r="BM126">
            <v>0</v>
          </cell>
        </row>
        <row r="127">
          <cell r="Q127">
            <v>0</v>
          </cell>
          <cell r="S127">
            <v>0</v>
          </cell>
          <cell r="U127">
            <v>0</v>
          </cell>
          <cell r="W127">
            <v>0</v>
          </cell>
          <cell r="Y127">
            <v>0</v>
          </cell>
          <cell r="BM127">
            <v>0</v>
          </cell>
        </row>
        <row r="128">
          <cell r="Q128">
            <v>0</v>
          </cell>
          <cell r="S128">
            <v>0</v>
          </cell>
          <cell r="U128">
            <v>0</v>
          </cell>
          <cell r="W128">
            <v>0</v>
          </cell>
          <cell r="Y128">
            <v>0</v>
          </cell>
          <cell r="AA128">
            <v>0</v>
          </cell>
          <cell r="AC128">
            <v>0</v>
          </cell>
          <cell r="AE128">
            <v>0</v>
          </cell>
          <cell r="AG128">
            <v>0</v>
          </cell>
          <cell r="AI128">
            <v>0</v>
          </cell>
          <cell r="AK128">
            <v>0</v>
          </cell>
          <cell r="AM128">
            <v>0</v>
          </cell>
          <cell r="AO128">
            <v>0</v>
          </cell>
          <cell r="AQ128">
            <v>0</v>
          </cell>
          <cell r="AS128">
            <v>0</v>
          </cell>
          <cell r="AU128">
            <v>0</v>
          </cell>
          <cell r="AW128">
            <v>0</v>
          </cell>
          <cell r="AY128">
            <v>0</v>
          </cell>
          <cell r="BA128">
            <v>0</v>
          </cell>
          <cell r="BC128">
            <v>0</v>
          </cell>
          <cell r="BE128">
            <v>0</v>
          </cell>
          <cell r="BG128">
            <v>0</v>
          </cell>
          <cell r="BM128">
            <v>0</v>
          </cell>
        </row>
        <row r="130">
          <cell r="Q130">
            <v>0</v>
          </cell>
          <cell r="S130">
            <v>0</v>
          </cell>
          <cell r="U130">
            <v>0</v>
          </cell>
          <cell r="W130">
            <v>0</v>
          </cell>
          <cell r="Y130">
            <v>0</v>
          </cell>
          <cell r="AA130">
            <v>0</v>
          </cell>
          <cell r="AC130">
            <v>0</v>
          </cell>
          <cell r="AE130">
            <v>0</v>
          </cell>
          <cell r="AG130">
            <v>0</v>
          </cell>
          <cell r="AI130">
            <v>0</v>
          </cell>
          <cell r="AK130">
            <v>0</v>
          </cell>
          <cell r="AM130">
            <v>0</v>
          </cell>
          <cell r="AO130">
            <v>0</v>
          </cell>
          <cell r="AQ130">
            <v>0</v>
          </cell>
          <cell r="AS130">
            <v>0</v>
          </cell>
          <cell r="AU130">
            <v>0</v>
          </cell>
          <cell r="AW130">
            <v>0</v>
          </cell>
          <cell r="AY130">
            <v>0</v>
          </cell>
          <cell r="BA130">
            <v>0</v>
          </cell>
          <cell r="BC130">
            <v>0</v>
          </cell>
          <cell r="BE130">
            <v>0</v>
          </cell>
          <cell r="BG130">
            <v>0</v>
          </cell>
          <cell r="BM130">
            <v>0</v>
          </cell>
        </row>
        <row r="132">
          <cell r="Q132">
            <v>0</v>
          </cell>
          <cell r="S132">
            <v>0</v>
          </cell>
          <cell r="U132">
            <v>0</v>
          </cell>
          <cell r="W132">
            <v>0</v>
          </cell>
          <cell r="Y132">
            <v>0</v>
          </cell>
          <cell r="AA132">
            <v>0</v>
          </cell>
          <cell r="AC132">
            <v>0</v>
          </cell>
          <cell r="AE132">
            <v>0</v>
          </cell>
          <cell r="AG132">
            <v>0</v>
          </cell>
          <cell r="AI132">
            <v>0</v>
          </cell>
          <cell r="AK132">
            <v>0</v>
          </cell>
          <cell r="AM132">
            <v>0</v>
          </cell>
          <cell r="AO132">
            <v>0</v>
          </cell>
          <cell r="AQ132">
            <v>0</v>
          </cell>
          <cell r="AS132">
            <v>0</v>
          </cell>
          <cell r="AU132">
            <v>0</v>
          </cell>
          <cell r="AW132">
            <v>0</v>
          </cell>
          <cell r="AY132">
            <v>0</v>
          </cell>
          <cell r="BA132">
            <v>0</v>
          </cell>
          <cell r="BC132">
            <v>0</v>
          </cell>
          <cell r="BE132">
            <v>0</v>
          </cell>
          <cell r="BG132">
            <v>0</v>
          </cell>
          <cell r="BM132" t="e">
            <v>#REF!</v>
          </cell>
        </row>
        <row r="134">
          <cell r="Q134">
            <v>21150000</v>
          </cell>
          <cell r="S134">
            <v>4263906.4800000004</v>
          </cell>
          <cell r="U134">
            <v>3055146.4</v>
          </cell>
          <cell r="W134">
            <v>1650000</v>
          </cell>
          <cell r="Y134">
            <v>2814117</v>
          </cell>
          <cell r="AA134">
            <v>4389866.41</v>
          </cell>
          <cell r="AC134">
            <v>2662213.1399999997</v>
          </cell>
          <cell r="AE134">
            <v>1325097.57</v>
          </cell>
          <cell r="AG134">
            <v>3251216.99</v>
          </cell>
          <cell r="AI134">
            <v>3049213.96</v>
          </cell>
          <cell r="AK134">
            <v>5984907.6900000004</v>
          </cell>
          <cell r="AM134">
            <v>0</v>
          </cell>
          <cell r="AO134">
            <v>0</v>
          </cell>
          <cell r="AQ134">
            <v>0</v>
          </cell>
          <cell r="AS134">
            <v>0</v>
          </cell>
          <cell r="AU134">
            <v>0</v>
          </cell>
          <cell r="AW134">
            <v>0</v>
          </cell>
          <cell r="AY134">
            <v>0</v>
          </cell>
          <cell r="BA134">
            <v>0</v>
          </cell>
          <cell r="BC134">
            <v>0</v>
          </cell>
          <cell r="BE134">
            <v>0</v>
          </cell>
          <cell r="BG134">
            <v>0</v>
          </cell>
          <cell r="BM134" t="e">
            <v>#REF!</v>
          </cell>
        </row>
        <row r="137">
          <cell r="Q137">
            <v>0</v>
          </cell>
          <cell r="S137">
            <v>0</v>
          </cell>
          <cell r="U137">
            <v>0</v>
          </cell>
          <cell r="W137">
            <v>0</v>
          </cell>
          <cell r="Y137">
            <v>0</v>
          </cell>
          <cell r="AA137">
            <v>0</v>
          </cell>
          <cell r="AC137">
            <v>0</v>
          </cell>
          <cell r="AE137">
            <v>0</v>
          </cell>
          <cell r="AG137">
            <v>0</v>
          </cell>
          <cell r="AI137">
            <v>0</v>
          </cell>
          <cell r="AK137">
            <v>0</v>
          </cell>
          <cell r="AM137">
            <v>0</v>
          </cell>
          <cell r="AO137">
            <v>0</v>
          </cell>
          <cell r="AQ137">
            <v>0</v>
          </cell>
          <cell r="AS137">
            <v>0</v>
          </cell>
          <cell r="AU137">
            <v>0</v>
          </cell>
          <cell r="AW137">
            <v>0</v>
          </cell>
          <cell r="AY137">
            <v>0</v>
          </cell>
          <cell r="BA137">
            <v>0</v>
          </cell>
          <cell r="BC137">
            <v>0</v>
          </cell>
          <cell r="BE137">
            <v>0</v>
          </cell>
          <cell r="BG137">
            <v>0</v>
          </cell>
          <cell r="BM137">
            <v>0</v>
          </cell>
        </row>
        <row r="138">
          <cell r="Q138">
            <v>0</v>
          </cell>
          <cell r="S138">
            <v>0</v>
          </cell>
          <cell r="U138">
            <v>0</v>
          </cell>
          <cell r="W138">
            <v>0</v>
          </cell>
          <cell r="Y138">
            <v>1425</v>
          </cell>
          <cell r="AA138">
            <v>0</v>
          </cell>
          <cell r="AC138">
            <v>0</v>
          </cell>
          <cell r="AE138">
            <v>0</v>
          </cell>
          <cell r="AG138">
            <v>0</v>
          </cell>
          <cell r="AI138">
            <v>0</v>
          </cell>
          <cell r="AK138">
            <v>0</v>
          </cell>
          <cell r="AM138">
            <v>0</v>
          </cell>
          <cell r="AO138">
            <v>0</v>
          </cell>
          <cell r="AQ138">
            <v>0</v>
          </cell>
          <cell r="AS138">
            <v>0</v>
          </cell>
          <cell r="AU138">
            <v>0</v>
          </cell>
          <cell r="AW138">
            <v>0</v>
          </cell>
          <cell r="AY138">
            <v>0</v>
          </cell>
          <cell r="BA138">
            <v>0</v>
          </cell>
          <cell r="BC138">
            <v>0</v>
          </cell>
          <cell r="BE138">
            <v>0</v>
          </cell>
          <cell r="BG138">
            <v>0</v>
          </cell>
          <cell r="BM138">
            <v>0</v>
          </cell>
        </row>
        <row r="139">
          <cell r="Q139">
            <v>0</v>
          </cell>
          <cell r="S139">
            <v>0</v>
          </cell>
          <cell r="U139">
            <v>0</v>
          </cell>
          <cell r="W139">
            <v>0</v>
          </cell>
          <cell r="Y139">
            <v>0</v>
          </cell>
          <cell r="AA139">
            <v>0</v>
          </cell>
          <cell r="AC139">
            <v>0</v>
          </cell>
          <cell r="AE139">
            <v>0</v>
          </cell>
          <cell r="AG139">
            <v>0</v>
          </cell>
          <cell r="AI139">
            <v>0</v>
          </cell>
          <cell r="AK139">
            <v>0</v>
          </cell>
          <cell r="AM139">
            <v>0</v>
          </cell>
          <cell r="AO139">
            <v>0</v>
          </cell>
          <cell r="AQ139">
            <v>0</v>
          </cell>
          <cell r="AS139">
            <v>0</v>
          </cell>
          <cell r="AU139">
            <v>0</v>
          </cell>
          <cell r="AW139">
            <v>0</v>
          </cell>
          <cell r="AY139">
            <v>0</v>
          </cell>
          <cell r="BA139">
            <v>0</v>
          </cell>
          <cell r="BC139">
            <v>0</v>
          </cell>
          <cell r="BE139">
            <v>0</v>
          </cell>
          <cell r="BG139">
            <v>0</v>
          </cell>
          <cell r="BM139">
            <v>0</v>
          </cell>
        </row>
        <row r="141">
          <cell r="Q141">
            <v>0</v>
          </cell>
          <cell r="S141">
            <v>0</v>
          </cell>
          <cell r="U141">
            <v>0</v>
          </cell>
          <cell r="W141">
            <v>0</v>
          </cell>
          <cell r="Y141">
            <v>1425</v>
          </cell>
          <cell r="AA141">
            <v>0</v>
          </cell>
          <cell r="AC141">
            <v>0</v>
          </cell>
          <cell r="AE141">
            <v>0</v>
          </cell>
          <cell r="AG141">
            <v>0</v>
          </cell>
          <cell r="AI141">
            <v>0</v>
          </cell>
          <cell r="AK141">
            <v>0</v>
          </cell>
          <cell r="AM141">
            <v>0</v>
          </cell>
          <cell r="AO141">
            <v>0</v>
          </cell>
          <cell r="AQ141">
            <v>0</v>
          </cell>
          <cell r="AS141">
            <v>0</v>
          </cell>
          <cell r="AU141">
            <v>0</v>
          </cell>
          <cell r="AW141">
            <v>0</v>
          </cell>
          <cell r="AY141">
            <v>0</v>
          </cell>
          <cell r="BA141">
            <v>0</v>
          </cell>
          <cell r="BC141">
            <v>0</v>
          </cell>
          <cell r="BE141">
            <v>0</v>
          </cell>
          <cell r="BG141">
            <v>0</v>
          </cell>
          <cell r="BM141">
            <v>0</v>
          </cell>
        </row>
        <row r="143">
          <cell r="Q143">
            <v>0</v>
          </cell>
          <cell r="S143">
            <v>0</v>
          </cell>
          <cell r="U143">
            <v>0</v>
          </cell>
          <cell r="W143">
            <v>5000</v>
          </cell>
          <cell r="Y143">
            <v>5000</v>
          </cell>
          <cell r="AA143">
            <v>5000</v>
          </cell>
          <cell r="AC143">
            <v>0</v>
          </cell>
          <cell r="AE143">
            <v>0</v>
          </cell>
          <cell r="AI143">
            <v>0</v>
          </cell>
          <cell r="AK143">
            <v>0</v>
          </cell>
          <cell r="AM143">
            <v>0</v>
          </cell>
          <cell r="AO143">
            <v>0</v>
          </cell>
          <cell r="AQ143">
            <v>0</v>
          </cell>
          <cell r="AS143">
            <v>0</v>
          </cell>
          <cell r="AU143">
            <v>0</v>
          </cell>
          <cell r="AW143">
            <v>0</v>
          </cell>
          <cell r="AY143">
            <v>0</v>
          </cell>
          <cell r="BA143">
            <v>0</v>
          </cell>
          <cell r="BC143">
            <v>0</v>
          </cell>
          <cell r="BE143">
            <v>0</v>
          </cell>
          <cell r="BG143">
            <v>0</v>
          </cell>
          <cell r="BM143">
            <v>0</v>
          </cell>
        </row>
        <row r="146">
          <cell r="Q146">
            <v>45000</v>
          </cell>
          <cell r="S146">
            <v>0</v>
          </cell>
          <cell r="U146">
            <v>0</v>
          </cell>
          <cell r="W146">
            <v>0</v>
          </cell>
          <cell r="Y146">
            <v>16000</v>
          </cell>
          <cell r="AA146">
            <v>0</v>
          </cell>
          <cell r="AC146">
            <v>0</v>
          </cell>
          <cell r="AE146">
            <v>322565.77</v>
          </cell>
          <cell r="AG146">
            <v>-156519.93</v>
          </cell>
          <cell r="AI146">
            <v>0</v>
          </cell>
          <cell r="AK146">
            <v>16000</v>
          </cell>
          <cell r="AM146">
            <v>0</v>
          </cell>
          <cell r="AO146">
            <v>0</v>
          </cell>
          <cell r="AQ146">
            <v>0</v>
          </cell>
          <cell r="AS146">
            <v>0</v>
          </cell>
          <cell r="AU146">
            <v>0</v>
          </cell>
          <cell r="AW146">
            <v>0</v>
          </cell>
          <cell r="AY146">
            <v>0</v>
          </cell>
          <cell r="BA146">
            <v>0</v>
          </cell>
          <cell r="BC146">
            <v>0</v>
          </cell>
          <cell r="BE146">
            <v>0</v>
          </cell>
          <cell r="BG146">
            <v>0</v>
          </cell>
          <cell r="BM146">
            <v>0</v>
          </cell>
        </row>
        <row r="147">
          <cell r="Q147">
            <v>0</v>
          </cell>
          <cell r="S147">
            <v>0</v>
          </cell>
          <cell r="U147">
            <v>0</v>
          </cell>
          <cell r="W147">
            <v>0</v>
          </cell>
          <cell r="Y147">
            <v>0</v>
          </cell>
          <cell r="AA147">
            <v>0</v>
          </cell>
          <cell r="AC147">
            <v>0</v>
          </cell>
          <cell r="AE147">
            <v>0</v>
          </cell>
          <cell r="AG147">
            <v>0</v>
          </cell>
          <cell r="AI147">
            <v>0</v>
          </cell>
          <cell r="AK147">
            <v>0</v>
          </cell>
          <cell r="AM147">
            <v>0</v>
          </cell>
          <cell r="AO147">
            <v>0</v>
          </cell>
          <cell r="AQ147">
            <v>0</v>
          </cell>
          <cell r="AS147">
            <v>0</v>
          </cell>
          <cell r="AU147">
            <v>0</v>
          </cell>
          <cell r="AW147">
            <v>0</v>
          </cell>
          <cell r="AY147">
            <v>0</v>
          </cell>
          <cell r="BA147">
            <v>0</v>
          </cell>
          <cell r="BC147">
            <v>0</v>
          </cell>
          <cell r="BE147">
            <v>0</v>
          </cell>
          <cell r="BG147">
            <v>0</v>
          </cell>
          <cell r="BM147">
            <v>0</v>
          </cell>
        </row>
        <row r="148">
          <cell r="Q148">
            <v>0</v>
          </cell>
          <cell r="S148">
            <v>0</v>
          </cell>
          <cell r="U148">
            <v>0</v>
          </cell>
          <cell r="W148">
            <v>0</v>
          </cell>
          <cell r="Y148">
            <v>0</v>
          </cell>
          <cell r="AA148">
            <v>0</v>
          </cell>
          <cell r="AC148">
            <v>0</v>
          </cell>
          <cell r="AE148">
            <v>0</v>
          </cell>
          <cell r="AG148">
            <v>0</v>
          </cell>
          <cell r="AI148">
            <v>0</v>
          </cell>
          <cell r="AK148">
            <v>0</v>
          </cell>
          <cell r="AM148">
            <v>0</v>
          </cell>
          <cell r="AO148">
            <v>0</v>
          </cell>
          <cell r="AQ148">
            <v>0</v>
          </cell>
          <cell r="AS148">
            <v>0</v>
          </cell>
          <cell r="AU148">
            <v>0</v>
          </cell>
          <cell r="AW148">
            <v>0</v>
          </cell>
          <cell r="AY148">
            <v>0</v>
          </cell>
          <cell r="BA148">
            <v>0</v>
          </cell>
          <cell r="BC148">
            <v>0</v>
          </cell>
          <cell r="BE148">
            <v>0</v>
          </cell>
          <cell r="BG148">
            <v>0</v>
          </cell>
          <cell r="BM148">
            <v>0</v>
          </cell>
        </row>
        <row r="150">
          <cell r="Q150">
            <v>45000</v>
          </cell>
          <cell r="S150">
            <v>0</v>
          </cell>
          <cell r="U150">
            <v>0</v>
          </cell>
          <cell r="W150">
            <v>0</v>
          </cell>
          <cell r="Y150">
            <v>16000</v>
          </cell>
          <cell r="AA150">
            <v>0</v>
          </cell>
          <cell r="AC150">
            <v>0</v>
          </cell>
          <cell r="AE150">
            <v>322565.77</v>
          </cell>
          <cell r="AG150">
            <v>-156519.93</v>
          </cell>
          <cell r="AI150">
            <v>0</v>
          </cell>
          <cell r="AK150">
            <v>16000</v>
          </cell>
          <cell r="AM150">
            <v>0</v>
          </cell>
          <cell r="AO150">
            <v>0</v>
          </cell>
          <cell r="AQ150">
            <v>0</v>
          </cell>
          <cell r="AS150">
            <v>0</v>
          </cell>
          <cell r="AU150">
            <v>0</v>
          </cell>
          <cell r="AW150">
            <v>0</v>
          </cell>
          <cell r="AY150">
            <v>0</v>
          </cell>
          <cell r="BA150">
            <v>0</v>
          </cell>
          <cell r="BC150">
            <v>0</v>
          </cell>
          <cell r="BE150">
            <v>0</v>
          </cell>
          <cell r="BG150">
            <v>0</v>
          </cell>
          <cell r="BM150">
            <v>0</v>
          </cell>
        </row>
        <row r="153">
          <cell r="Q153">
            <v>0</v>
          </cell>
          <cell r="S153">
            <v>0</v>
          </cell>
          <cell r="W153">
            <v>7006.62</v>
          </cell>
          <cell r="Y153">
            <v>0</v>
          </cell>
          <cell r="AA153">
            <v>33128.17</v>
          </cell>
          <cell r="AC153">
            <v>0</v>
          </cell>
          <cell r="AE153">
            <v>0</v>
          </cell>
          <cell r="AG153">
            <v>969.25</v>
          </cell>
          <cell r="AI153">
            <v>0</v>
          </cell>
          <cell r="AK153">
            <v>1848.15</v>
          </cell>
          <cell r="AM153">
            <v>0</v>
          </cell>
          <cell r="AO153">
            <v>0</v>
          </cell>
          <cell r="AQ153">
            <v>0</v>
          </cell>
          <cell r="AS153">
            <v>0</v>
          </cell>
          <cell r="AU153">
            <v>0</v>
          </cell>
          <cell r="AW153">
            <v>0</v>
          </cell>
          <cell r="AY153">
            <v>0</v>
          </cell>
          <cell r="BA153">
            <v>0</v>
          </cell>
          <cell r="BC153">
            <v>0</v>
          </cell>
          <cell r="BE153">
            <v>0</v>
          </cell>
          <cell r="BG153">
            <v>0</v>
          </cell>
          <cell r="BM153">
            <v>0</v>
          </cell>
        </row>
        <row r="154">
          <cell r="Q154">
            <v>0</v>
          </cell>
          <cell r="S154">
            <v>0</v>
          </cell>
          <cell r="U154">
            <v>3168.79</v>
          </cell>
          <cell r="W154">
            <v>9937.5</v>
          </cell>
          <cell r="Y154">
            <v>0</v>
          </cell>
          <cell r="AA154">
            <v>10765.92</v>
          </cell>
          <cell r="AC154">
            <v>10111.379999999999</v>
          </cell>
          <cell r="AE154">
            <v>0</v>
          </cell>
          <cell r="AG154">
            <v>12516.779999999999</v>
          </cell>
          <cell r="AI154">
            <v>3179.36</v>
          </cell>
          <cell r="AK154">
            <v>0</v>
          </cell>
          <cell r="AM154">
            <v>0</v>
          </cell>
          <cell r="AO154">
            <v>0</v>
          </cell>
          <cell r="AQ154">
            <v>0</v>
          </cell>
          <cell r="AS154">
            <v>0</v>
          </cell>
          <cell r="AU154">
            <v>0</v>
          </cell>
          <cell r="AW154">
            <v>0</v>
          </cell>
          <cell r="AY154">
            <v>0</v>
          </cell>
          <cell r="BA154">
            <v>0</v>
          </cell>
          <cell r="BC154">
            <v>0</v>
          </cell>
          <cell r="BE154">
            <v>0</v>
          </cell>
          <cell r="BG154">
            <v>0</v>
          </cell>
          <cell r="BM154">
            <v>0</v>
          </cell>
        </row>
        <row r="155">
          <cell r="Q155">
            <v>0</v>
          </cell>
          <cell r="S155">
            <v>0</v>
          </cell>
          <cell r="U155">
            <v>0</v>
          </cell>
          <cell r="W155">
            <v>0</v>
          </cell>
          <cell r="Y155">
            <v>0</v>
          </cell>
          <cell r="AA155">
            <v>0</v>
          </cell>
          <cell r="AC155">
            <v>0</v>
          </cell>
          <cell r="AE155">
            <v>0</v>
          </cell>
          <cell r="AG155">
            <v>0</v>
          </cell>
          <cell r="AI155">
            <v>0</v>
          </cell>
          <cell r="AK155">
            <v>0</v>
          </cell>
          <cell r="AM155">
            <v>0</v>
          </cell>
          <cell r="AO155">
            <v>0</v>
          </cell>
          <cell r="AQ155">
            <v>0</v>
          </cell>
          <cell r="AS155">
            <v>0</v>
          </cell>
          <cell r="AU155">
            <v>0</v>
          </cell>
          <cell r="AW155">
            <v>0</v>
          </cell>
          <cell r="AY155">
            <v>0</v>
          </cell>
          <cell r="BA155">
            <v>0</v>
          </cell>
          <cell r="BC155">
            <v>0</v>
          </cell>
          <cell r="BE155">
            <v>0</v>
          </cell>
          <cell r="BG155">
            <v>0</v>
          </cell>
          <cell r="BM155">
            <v>0</v>
          </cell>
        </row>
        <row r="157">
          <cell r="Q157">
            <v>0</v>
          </cell>
          <cell r="S157">
            <v>0</v>
          </cell>
          <cell r="U157">
            <v>3168.79</v>
          </cell>
          <cell r="W157">
            <v>16944.12</v>
          </cell>
          <cell r="Y157">
            <v>0</v>
          </cell>
          <cell r="AA157">
            <v>43894.09</v>
          </cell>
          <cell r="AC157">
            <v>10111.379999999999</v>
          </cell>
          <cell r="AE157">
            <v>0</v>
          </cell>
          <cell r="AG157">
            <v>13486.029999999999</v>
          </cell>
          <cell r="AI157">
            <v>3179.36</v>
          </cell>
          <cell r="AK157">
            <v>1848.15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M157">
            <v>0</v>
          </cell>
        </row>
        <row r="159">
          <cell r="Q159">
            <v>0</v>
          </cell>
          <cell r="S159">
            <v>0</v>
          </cell>
          <cell r="U159">
            <v>0</v>
          </cell>
          <cell r="W159">
            <v>0</v>
          </cell>
          <cell r="Y159">
            <v>0</v>
          </cell>
          <cell r="AA159">
            <v>0</v>
          </cell>
          <cell r="AC159">
            <v>0</v>
          </cell>
          <cell r="AE159">
            <v>0</v>
          </cell>
          <cell r="AG159">
            <v>0</v>
          </cell>
          <cell r="AI159">
            <v>0</v>
          </cell>
          <cell r="AK159">
            <v>977990</v>
          </cell>
          <cell r="AM159">
            <v>0</v>
          </cell>
          <cell r="AO159">
            <v>0</v>
          </cell>
          <cell r="AQ159">
            <v>0</v>
          </cell>
          <cell r="AS159">
            <v>0</v>
          </cell>
          <cell r="AU159">
            <v>0</v>
          </cell>
          <cell r="AW159">
            <v>0</v>
          </cell>
          <cell r="AY159">
            <v>0</v>
          </cell>
          <cell r="BA159">
            <v>0</v>
          </cell>
          <cell r="BC159">
            <v>0</v>
          </cell>
          <cell r="BE159">
            <v>0</v>
          </cell>
          <cell r="BG159">
            <v>0</v>
          </cell>
          <cell r="BM159">
            <v>0</v>
          </cell>
        </row>
        <row r="162">
          <cell r="Q162">
            <v>0</v>
          </cell>
          <cell r="S162">
            <v>0</v>
          </cell>
          <cell r="U162">
            <v>0</v>
          </cell>
          <cell r="W162">
            <v>0</v>
          </cell>
          <cell r="Y162">
            <v>0</v>
          </cell>
          <cell r="AA162">
            <v>0</v>
          </cell>
          <cell r="AC162">
            <v>0</v>
          </cell>
          <cell r="AE162">
            <v>0</v>
          </cell>
          <cell r="AG162">
            <v>0</v>
          </cell>
          <cell r="AI162">
            <v>0</v>
          </cell>
          <cell r="AK162">
            <v>0</v>
          </cell>
          <cell r="AM162">
            <v>0</v>
          </cell>
          <cell r="AO162">
            <v>0</v>
          </cell>
          <cell r="AQ162">
            <v>0</v>
          </cell>
          <cell r="AS162">
            <v>0</v>
          </cell>
          <cell r="AU162">
            <v>0</v>
          </cell>
          <cell r="AW162">
            <v>0</v>
          </cell>
          <cell r="AY162">
            <v>0</v>
          </cell>
          <cell r="BA162">
            <v>0</v>
          </cell>
          <cell r="BC162">
            <v>0</v>
          </cell>
          <cell r="BE162">
            <v>0</v>
          </cell>
          <cell r="BG162">
            <v>0</v>
          </cell>
          <cell r="BM162">
            <v>0</v>
          </cell>
        </row>
        <row r="163">
          <cell r="Q163">
            <v>0</v>
          </cell>
          <cell r="S163">
            <v>0</v>
          </cell>
          <cell r="U163">
            <v>0</v>
          </cell>
          <cell r="W163">
            <v>0</v>
          </cell>
          <cell r="Y163">
            <v>0</v>
          </cell>
          <cell r="AA163">
            <v>0</v>
          </cell>
          <cell r="AC163">
            <v>0</v>
          </cell>
          <cell r="AE163">
            <v>0</v>
          </cell>
          <cell r="AG163">
            <v>0</v>
          </cell>
          <cell r="AI163">
            <v>0</v>
          </cell>
          <cell r="AK163">
            <v>0</v>
          </cell>
          <cell r="AM163">
            <v>0</v>
          </cell>
          <cell r="AO163">
            <v>0</v>
          </cell>
          <cell r="AQ163">
            <v>0</v>
          </cell>
          <cell r="AS163">
            <v>0</v>
          </cell>
          <cell r="AU163">
            <v>0</v>
          </cell>
          <cell r="AW163">
            <v>0</v>
          </cell>
          <cell r="AY163">
            <v>0</v>
          </cell>
          <cell r="BA163">
            <v>0</v>
          </cell>
          <cell r="BC163">
            <v>0</v>
          </cell>
          <cell r="BE163">
            <v>0</v>
          </cell>
          <cell r="BG163">
            <v>0</v>
          </cell>
          <cell r="BM163">
            <v>0</v>
          </cell>
        </row>
        <row r="164">
          <cell r="Q164">
            <v>0</v>
          </cell>
          <cell r="S164">
            <v>0</v>
          </cell>
          <cell r="U164">
            <v>0</v>
          </cell>
          <cell r="W164">
            <v>0</v>
          </cell>
          <cell r="Y164">
            <v>0</v>
          </cell>
          <cell r="AA164">
            <v>0</v>
          </cell>
          <cell r="AC164">
            <v>0</v>
          </cell>
          <cell r="AE164">
            <v>0</v>
          </cell>
          <cell r="AG164">
            <v>0</v>
          </cell>
          <cell r="AI164">
            <v>0</v>
          </cell>
          <cell r="AK164">
            <v>0</v>
          </cell>
          <cell r="AM164">
            <v>0</v>
          </cell>
          <cell r="AO164">
            <v>0</v>
          </cell>
          <cell r="AQ164">
            <v>0</v>
          </cell>
          <cell r="AS164">
            <v>0</v>
          </cell>
          <cell r="AU164">
            <v>0</v>
          </cell>
          <cell r="AW164">
            <v>0</v>
          </cell>
          <cell r="AY164">
            <v>0</v>
          </cell>
          <cell r="BA164">
            <v>0</v>
          </cell>
          <cell r="BC164">
            <v>0</v>
          </cell>
          <cell r="BE164">
            <v>0</v>
          </cell>
          <cell r="BG164">
            <v>0</v>
          </cell>
          <cell r="BM164">
            <v>0</v>
          </cell>
        </row>
        <row r="165">
          <cell r="Q165">
            <v>0</v>
          </cell>
          <cell r="S165">
            <v>0</v>
          </cell>
          <cell r="U165">
            <v>0</v>
          </cell>
          <cell r="W165">
            <v>0</v>
          </cell>
          <cell r="Y165">
            <v>0</v>
          </cell>
          <cell r="AA165">
            <v>0</v>
          </cell>
          <cell r="AC165">
            <v>0</v>
          </cell>
          <cell r="AE165">
            <v>0</v>
          </cell>
          <cell r="AG165">
            <v>0</v>
          </cell>
          <cell r="AI165">
            <v>0</v>
          </cell>
          <cell r="AK165">
            <v>0</v>
          </cell>
          <cell r="AM165">
            <v>0</v>
          </cell>
          <cell r="AO165">
            <v>0</v>
          </cell>
          <cell r="AQ165">
            <v>0</v>
          </cell>
          <cell r="AS165">
            <v>0</v>
          </cell>
          <cell r="AU165">
            <v>0</v>
          </cell>
          <cell r="AW165">
            <v>0</v>
          </cell>
          <cell r="AY165">
            <v>0</v>
          </cell>
          <cell r="BA165">
            <v>0</v>
          </cell>
          <cell r="BC165">
            <v>0</v>
          </cell>
          <cell r="BE165">
            <v>0</v>
          </cell>
          <cell r="BG165">
            <v>0</v>
          </cell>
          <cell r="BM165">
            <v>0</v>
          </cell>
        </row>
        <row r="167">
          <cell r="Q167">
            <v>0</v>
          </cell>
          <cell r="S167">
            <v>0</v>
          </cell>
          <cell r="U167">
            <v>0</v>
          </cell>
          <cell r="W167">
            <v>0</v>
          </cell>
          <cell r="Y167">
            <v>0</v>
          </cell>
          <cell r="AA167">
            <v>0</v>
          </cell>
          <cell r="AC167">
            <v>0</v>
          </cell>
          <cell r="AE167">
            <v>0</v>
          </cell>
          <cell r="AG167">
            <v>0</v>
          </cell>
          <cell r="AI167">
            <v>0</v>
          </cell>
          <cell r="AK167">
            <v>0</v>
          </cell>
          <cell r="AM167">
            <v>0</v>
          </cell>
          <cell r="AO167">
            <v>0</v>
          </cell>
          <cell r="AQ167">
            <v>0</v>
          </cell>
          <cell r="AS167">
            <v>0</v>
          </cell>
          <cell r="AU167">
            <v>0</v>
          </cell>
          <cell r="AW167">
            <v>0</v>
          </cell>
          <cell r="AY167">
            <v>0</v>
          </cell>
          <cell r="BA167">
            <v>0</v>
          </cell>
          <cell r="BC167">
            <v>0</v>
          </cell>
          <cell r="BE167">
            <v>0</v>
          </cell>
          <cell r="BG167">
            <v>0</v>
          </cell>
          <cell r="BM167">
            <v>0</v>
          </cell>
        </row>
        <row r="169">
          <cell r="Q169">
            <v>0</v>
          </cell>
          <cell r="S169">
            <v>0</v>
          </cell>
          <cell r="U169">
            <v>0</v>
          </cell>
          <cell r="W169">
            <v>0</v>
          </cell>
          <cell r="Y169">
            <v>0</v>
          </cell>
          <cell r="AA169">
            <v>0</v>
          </cell>
          <cell r="AC169">
            <v>0</v>
          </cell>
          <cell r="AE169">
            <v>0</v>
          </cell>
          <cell r="AG169">
            <v>0</v>
          </cell>
          <cell r="AI169">
            <v>0</v>
          </cell>
          <cell r="AK169">
            <v>0</v>
          </cell>
          <cell r="AM169">
            <v>0</v>
          </cell>
          <cell r="AO169">
            <v>0</v>
          </cell>
          <cell r="AQ169">
            <v>0</v>
          </cell>
          <cell r="AS169">
            <v>0</v>
          </cell>
          <cell r="AU169">
            <v>0</v>
          </cell>
          <cell r="AW169">
            <v>0</v>
          </cell>
          <cell r="AY169">
            <v>0</v>
          </cell>
          <cell r="BA169">
            <v>0</v>
          </cell>
          <cell r="BC169">
            <v>0</v>
          </cell>
          <cell r="BE169">
            <v>0</v>
          </cell>
          <cell r="BG169">
            <v>0</v>
          </cell>
          <cell r="BM169">
            <v>0</v>
          </cell>
        </row>
        <row r="171">
          <cell r="Q171">
            <v>0</v>
          </cell>
          <cell r="S171">
            <v>0</v>
          </cell>
          <cell r="U171">
            <v>0</v>
          </cell>
          <cell r="W171">
            <v>0</v>
          </cell>
          <cell r="Y171">
            <v>0</v>
          </cell>
          <cell r="AA171">
            <v>0</v>
          </cell>
          <cell r="AC171">
            <v>0</v>
          </cell>
          <cell r="AE171">
            <v>0</v>
          </cell>
          <cell r="AG171">
            <v>0</v>
          </cell>
          <cell r="AI171">
            <v>0</v>
          </cell>
          <cell r="AK171">
            <v>0</v>
          </cell>
          <cell r="AM171">
            <v>0</v>
          </cell>
          <cell r="AO171">
            <v>0</v>
          </cell>
          <cell r="AQ171">
            <v>0</v>
          </cell>
          <cell r="AS171">
            <v>0</v>
          </cell>
          <cell r="AU171">
            <v>0</v>
          </cell>
          <cell r="AW171">
            <v>0</v>
          </cell>
          <cell r="AY171">
            <v>0</v>
          </cell>
          <cell r="BA171">
            <v>0</v>
          </cell>
          <cell r="BC171">
            <v>0</v>
          </cell>
          <cell r="BE171">
            <v>0</v>
          </cell>
          <cell r="BG171">
            <v>0</v>
          </cell>
          <cell r="BM171">
            <v>0</v>
          </cell>
        </row>
        <row r="173">
          <cell r="Q173">
            <v>0</v>
          </cell>
          <cell r="S173">
            <v>0</v>
          </cell>
          <cell r="U173">
            <v>0</v>
          </cell>
          <cell r="W173">
            <v>0</v>
          </cell>
          <cell r="Y173">
            <v>0</v>
          </cell>
          <cell r="AA173">
            <v>0</v>
          </cell>
          <cell r="AC173">
            <v>0</v>
          </cell>
          <cell r="AE173">
            <v>0</v>
          </cell>
          <cell r="AG173">
            <v>0</v>
          </cell>
          <cell r="AI173">
            <v>0</v>
          </cell>
          <cell r="AK173">
            <v>0</v>
          </cell>
          <cell r="AM173">
            <v>0</v>
          </cell>
          <cell r="AO173">
            <v>0</v>
          </cell>
          <cell r="AQ173">
            <v>0</v>
          </cell>
          <cell r="AS173">
            <v>0</v>
          </cell>
          <cell r="AU173">
            <v>0</v>
          </cell>
          <cell r="AW173">
            <v>0</v>
          </cell>
          <cell r="AY173">
            <v>0</v>
          </cell>
          <cell r="BA173">
            <v>0</v>
          </cell>
          <cell r="BC173">
            <v>0</v>
          </cell>
          <cell r="BE173">
            <v>0</v>
          </cell>
          <cell r="BG173">
            <v>0</v>
          </cell>
          <cell r="BM173">
            <v>0</v>
          </cell>
        </row>
        <row r="175">
          <cell r="Q175">
            <v>0</v>
          </cell>
          <cell r="S175">
            <v>0</v>
          </cell>
          <cell r="U175">
            <v>0</v>
          </cell>
          <cell r="W175">
            <v>0</v>
          </cell>
          <cell r="AC175">
            <v>0</v>
          </cell>
          <cell r="AE175">
            <v>0</v>
          </cell>
          <cell r="AG175">
            <v>0</v>
          </cell>
          <cell r="AI175">
            <v>0</v>
          </cell>
          <cell r="AK175">
            <v>0</v>
          </cell>
          <cell r="AM175">
            <v>0</v>
          </cell>
          <cell r="AO175">
            <v>0</v>
          </cell>
          <cell r="AQ175">
            <v>0</v>
          </cell>
          <cell r="AS175">
            <v>0</v>
          </cell>
          <cell r="AU175">
            <v>0</v>
          </cell>
          <cell r="AW175">
            <v>0</v>
          </cell>
          <cell r="AY175">
            <v>0</v>
          </cell>
          <cell r="BA175">
            <v>0</v>
          </cell>
          <cell r="BC175">
            <v>0</v>
          </cell>
          <cell r="BE175">
            <v>0</v>
          </cell>
          <cell r="BG175">
            <v>0</v>
          </cell>
          <cell r="BM175">
            <v>0</v>
          </cell>
        </row>
        <row r="177">
          <cell r="Q177">
            <v>176250</v>
          </cell>
          <cell r="S177">
            <v>141762.71</v>
          </cell>
          <cell r="U177">
            <v>159611</v>
          </cell>
          <cell r="W177">
            <v>184621.89</v>
          </cell>
          <cell r="Y177">
            <v>187002.11</v>
          </cell>
          <cell r="AA177">
            <v>112135.24</v>
          </cell>
          <cell r="AC177">
            <v>226003</v>
          </cell>
          <cell r="AE177">
            <v>218114</v>
          </cell>
          <cell r="AG177">
            <v>230971</v>
          </cell>
          <cell r="AI177">
            <v>250137</v>
          </cell>
          <cell r="AK177">
            <v>268824</v>
          </cell>
          <cell r="AM177">
            <v>0</v>
          </cell>
          <cell r="AO177">
            <v>0</v>
          </cell>
          <cell r="AQ177">
            <v>0</v>
          </cell>
          <cell r="AS177">
            <v>0</v>
          </cell>
          <cell r="AU177">
            <v>0</v>
          </cell>
          <cell r="AW177">
            <v>0</v>
          </cell>
          <cell r="AY177">
            <v>0</v>
          </cell>
          <cell r="BA177">
            <v>0</v>
          </cell>
          <cell r="BC177">
            <v>0</v>
          </cell>
          <cell r="BE177">
            <v>0</v>
          </cell>
          <cell r="BG177">
            <v>0</v>
          </cell>
          <cell r="BM177">
            <v>0</v>
          </cell>
        </row>
        <row r="179">
          <cell r="Q179">
            <v>21371250</v>
          </cell>
          <cell r="S179">
            <v>4405669.1900000004</v>
          </cell>
          <cell r="U179">
            <v>3217926.19</v>
          </cell>
          <cell r="W179">
            <v>1856566.0100000002</v>
          </cell>
          <cell r="Y179">
            <v>3023544.11</v>
          </cell>
          <cell r="AA179">
            <v>4550895.74</v>
          </cell>
          <cell r="AC179">
            <v>2898327.5199999996</v>
          </cell>
          <cell r="AE179">
            <v>1865777.34</v>
          </cell>
          <cell r="AG179">
            <v>3339154.09</v>
          </cell>
          <cell r="AI179">
            <v>3302530.32</v>
          </cell>
          <cell r="AK179">
            <v>7249569.8400000008</v>
          </cell>
          <cell r="AM179">
            <v>0</v>
          </cell>
          <cell r="AO179">
            <v>0</v>
          </cell>
          <cell r="AQ179">
            <v>0</v>
          </cell>
          <cell r="AS179">
            <v>0</v>
          </cell>
          <cell r="AU179">
            <v>0</v>
          </cell>
          <cell r="AW179">
            <v>0</v>
          </cell>
          <cell r="AY179">
            <v>0</v>
          </cell>
          <cell r="BA179">
            <v>0</v>
          </cell>
          <cell r="BC179">
            <v>0</v>
          </cell>
          <cell r="BE179">
            <v>0</v>
          </cell>
          <cell r="BG179">
            <v>0</v>
          </cell>
          <cell r="BM179" t="e">
            <v>#REF!</v>
          </cell>
        </row>
        <row r="183">
          <cell r="Q183">
            <v>0</v>
          </cell>
          <cell r="S183">
            <v>0</v>
          </cell>
          <cell r="U183">
            <v>0</v>
          </cell>
          <cell r="W183">
            <v>0</v>
          </cell>
          <cell r="Y183">
            <v>0</v>
          </cell>
          <cell r="AA183">
            <v>0</v>
          </cell>
          <cell r="AC183">
            <v>0</v>
          </cell>
          <cell r="AE183">
            <v>0</v>
          </cell>
          <cell r="AG183">
            <v>0</v>
          </cell>
          <cell r="AI183">
            <v>0</v>
          </cell>
          <cell r="AK183">
            <v>0</v>
          </cell>
          <cell r="AM183">
            <v>0</v>
          </cell>
          <cell r="AO183">
            <v>0</v>
          </cell>
          <cell r="AQ183">
            <v>0</v>
          </cell>
          <cell r="AS183">
            <v>0</v>
          </cell>
          <cell r="AU183">
            <v>0</v>
          </cell>
          <cell r="AW183">
            <v>0</v>
          </cell>
          <cell r="AY183">
            <v>0</v>
          </cell>
          <cell r="BA183">
            <v>0</v>
          </cell>
          <cell r="BC183">
            <v>0</v>
          </cell>
          <cell r="BE183">
            <v>0</v>
          </cell>
          <cell r="BG183">
            <v>0</v>
          </cell>
          <cell r="BM183">
            <v>0</v>
          </cell>
        </row>
        <row r="184">
          <cell r="Q184">
            <v>0</v>
          </cell>
          <cell r="S184">
            <v>0</v>
          </cell>
          <cell r="U184">
            <v>0</v>
          </cell>
          <cell r="W184">
            <v>0</v>
          </cell>
          <cell r="Y184">
            <v>0</v>
          </cell>
          <cell r="AA184">
            <v>0</v>
          </cell>
          <cell r="AC184">
            <v>0</v>
          </cell>
          <cell r="AE184">
            <v>0</v>
          </cell>
          <cell r="AG184">
            <v>0</v>
          </cell>
          <cell r="AI184">
            <v>0</v>
          </cell>
          <cell r="AK184">
            <v>0</v>
          </cell>
          <cell r="AM184">
            <v>0</v>
          </cell>
          <cell r="AO184">
            <v>0</v>
          </cell>
          <cell r="AQ184">
            <v>0</v>
          </cell>
          <cell r="AS184">
            <v>0</v>
          </cell>
          <cell r="AU184">
            <v>0</v>
          </cell>
          <cell r="AW184">
            <v>0</v>
          </cell>
          <cell r="AY184">
            <v>0</v>
          </cell>
          <cell r="BA184">
            <v>0</v>
          </cell>
          <cell r="BC184">
            <v>0</v>
          </cell>
          <cell r="BE184">
            <v>0</v>
          </cell>
          <cell r="BG184">
            <v>0</v>
          </cell>
          <cell r="BM184">
            <v>0</v>
          </cell>
        </row>
        <row r="185">
          <cell r="Q185">
            <v>0</v>
          </cell>
          <cell r="S185">
            <v>0</v>
          </cell>
          <cell r="U185">
            <v>0</v>
          </cell>
          <cell r="W185">
            <v>0</v>
          </cell>
          <cell r="Y185">
            <v>0</v>
          </cell>
          <cell r="AA185">
            <v>0</v>
          </cell>
          <cell r="AC185">
            <v>0</v>
          </cell>
          <cell r="AE185">
            <v>0</v>
          </cell>
          <cell r="AG185">
            <v>0</v>
          </cell>
          <cell r="AI185">
            <v>0</v>
          </cell>
          <cell r="AK185">
            <v>0</v>
          </cell>
          <cell r="AM185">
            <v>0</v>
          </cell>
          <cell r="AO185">
            <v>0</v>
          </cell>
          <cell r="AQ185">
            <v>0</v>
          </cell>
          <cell r="AS185">
            <v>0</v>
          </cell>
          <cell r="AU185">
            <v>0</v>
          </cell>
          <cell r="AW185">
            <v>0</v>
          </cell>
          <cell r="AY185">
            <v>0</v>
          </cell>
          <cell r="BA185">
            <v>0</v>
          </cell>
          <cell r="BC185">
            <v>0</v>
          </cell>
          <cell r="BE185">
            <v>0</v>
          </cell>
          <cell r="BG185">
            <v>0</v>
          </cell>
          <cell r="BM185">
            <v>0</v>
          </cell>
        </row>
        <row r="186">
          <cell r="Q186">
            <v>0</v>
          </cell>
          <cell r="S186">
            <v>0</v>
          </cell>
          <cell r="U186">
            <v>0</v>
          </cell>
          <cell r="W186">
            <v>0</v>
          </cell>
          <cell r="Y186">
            <v>0</v>
          </cell>
          <cell r="AA186">
            <v>0</v>
          </cell>
          <cell r="AC186">
            <v>0</v>
          </cell>
          <cell r="AE186">
            <v>0</v>
          </cell>
          <cell r="AG186">
            <v>0</v>
          </cell>
          <cell r="AI186">
            <v>0</v>
          </cell>
          <cell r="AK186">
            <v>0</v>
          </cell>
          <cell r="AM186">
            <v>0</v>
          </cell>
          <cell r="AO186">
            <v>0</v>
          </cell>
          <cell r="AQ186">
            <v>0</v>
          </cell>
          <cell r="AS186">
            <v>0</v>
          </cell>
          <cell r="AU186">
            <v>0</v>
          </cell>
          <cell r="AW186">
            <v>0</v>
          </cell>
          <cell r="AY186">
            <v>0</v>
          </cell>
          <cell r="BA186">
            <v>0</v>
          </cell>
          <cell r="BC186">
            <v>0</v>
          </cell>
          <cell r="BE186">
            <v>0</v>
          </cell>
          <cell r="BG186">
            <v>0</v>
          </cell>
          <cell r="BM186">
            <v>0</v>
          </cell>
        </row>
        <row r="188">
          <cell r="Q188">
            <v>0</v>
          </cell>
          <cell r="S188">
            <v>0</v>
          </cell>
          <cell r="U188">
            <v>0</v>
          </cell>
          <cell r="W188">
            <v>0</v>
          </cell>
          <cell r="Y188">
            <v>0</v>
          </cell>
          <cell r="AA188">
            <v>0</v>
          </cell>
          <cell r="AC188">
            <v>0</v>
          </cell>
          <cell r="AE188">
            <v>0</v>
          </cell>
          <cell r="AG188">
            <v>0</v>
          </cell>
          <cell r="AI188">
            <v>0</v>
          </cell>
          <cell r="AK188">
            <v>0</v>
          </cell>
          <cell r="AM188">
            <v>0</v>
          </cell>
          <cell r="AO188">
            <v>0</v>
          </cell>
          <cell r="AQ188">
            <v>0</v>
          </cell>
          <cell r="AS188">
            <v>0</v>
          </cell>
          <cell r="AU188">
            <v>0</v>
          </cell>
          <cell r="AW188">
            <v>0</v>
          </cell>
          <cell r="AY188">
            <v>0</v>
          </cell>
          <cell r="BA188">
            <v>0</v>
          </cell>
          <cell r="BC188">
            <v>0</v>
          </cell>
          <cell r="BE188">
            <v>0</v>
          </cell>
          <cell r="BG188">
            <v>0</v>
          </cell>
          <cell r="BM188">
            <v>0</v>
          </cell>
        </row>
        <row r="190">
          <cell r="Q190">
            <v>0</v>
          </cell>
          <cell r="S190">
            <v>0</v>
          </cell>
          <cell r="U190">
            <v>0</v>
          </cell>
          <cell r="W190">
            <v>0</v>
          </cell>
          <cell r="Y190">
            <v>0</v>
          </cell>
          <cell r="AA190">
            <v>0</v>
          </cell>
          <cell r="AC190">
            <v>0</v>
          </cell>
          <cell r="AE190">
            <v>0</v>
          </cell>
          <cell r="AG190">
            <v>0</v>
          </cell>
          <cell r="AI190">
            <v>0</v>
          </cell>
          <cell r="AK190">
            <v>0</v>
          </cell>
          <cell r="AM190">
            <v>0</v>
          </cell>
          <cell r="AO190">
            <v>0</v>
          </cell>
          <cell r="AQ190">
            <v>0</v>
          </cell>
          <cell r="AS190">
            <v>0</v>
          </cell>
          <cell r="AU190">
            <v>0</v>
          </cell>
          <cell r="AW190">
            <v>0</v>
          </cell>
          <cell r="AY190">
            <v>0</v>
          </cell>
          <cell r="BA190">
            <v>0</v>
          </cell>
          <cell r="BC190">
            <v>0</v>
          </cell>
          <cell r="BE190">
            <v>0</v>
          </cell>
          <cell r="BG190">
            <v>0</v>
          </cell>
          <cell r="BM190">
            <v>0</v>
          </cell>
        </row>
        <row r="193">
          <cell r="Q193">
            <v>0</v>
          </cell>
          <cell r="S193">
            <v>0</v>
          </cell>
          <cell r="U193">
            <v>0</v>
          </cell>
          <cell r="W193">
            <v>0</v>
          </cell>
          <cell r="Y193">
            <v>5285</v>
          </cell>
          <cell r="AA193">
            <v>11083</v>
          </cell>
          <cell r="AC193">
            <v>9113.869999999999</v>
          </cell>
          <cell r="AE193">
            <v>5936.81</v>
          </cell>
          <cell r="AG193">
            <v>793.07</v>
          </cell>
          <cell r="AI193">
            <v>0</v>
          </cell>
          <cell r="AK193">
            <v>0</v>
          </cell>
          <cell r="AM193">
            <v>0</v>
          </cell>
          <cell r="AO193">
            <v>0</v>
          </cell>
          <cell r="AQ193">
            <v>0</v>
          </cell>
          <cell r="AS193">
            <v>0</v>
          </cell>
          <cell r="AU193">
            <v>0</v>
          </cell>
          <cell r="AW193">
            <v>0</v>
          </cell>
          <cell r="AY193">
            <v>0</v>
          </cell>
          <cell r="BA193">
            <v>0</v>
          </cell>
          <cell r="BC193">
            <v>0</v>
          </cell>
          <cell r="BE193">
            <v>0</v>
          </cell>
          <cell r="BG193">
            <v>0</v>
          </cell>
          <cell r="BM193">
            <v>0</v>
          </cell>
        </row>
        <row r="194">
          <cell r="Q194">
            <v>1805.25</v>
          </cell>
          <cell r="S194">
            <v>0</v>
          </cell>
          <cell r="U194">
            <v>1397.02</v>
          </cell>
          <cell r="W194">
            <v>4883.08</v>
          </cell>
          <cell r="Y194">
            <v>2145.27</v>
          </cell>
          <cell r="AA194">
            <v>4531.51</v>
          </cell>
          <cell r="AC194">
            <v>3543.29</v>
          </cell>
          <cell r="AE194">
            <v>14567.500000000004</v>
          </cell>
          <cell r="AG194">
            <v>426.88</v>
          </cell>
          <cell r="AI194">
            <v>3244.27</v>
          </cell>
          <cell r="AK194">
            <v>1324.73</v>
          </cell>
          <cell r="AM194">
            <v>0</v>
          </cell>
          <cell r="AO194">
            <v>0</v>
          </cell>
          <cell r="AQ194">
            <v>0</v>
          </cell>
          <cell r="AS194">
            <v>0</v>
          </cell>
          <cell r="AU194">
            <v>0</v>
          </cell>
          <cell r="AW194">
            <v>0</v>
          </cell>
          <cell r="AY194">
            <v>0</v>
          </cell>
          <cell r="BA194">
            <v>0</v>
          </cell>
          <cell r="BC194">
            <v>0</v>
          </cell>
          <cell r="BE194">
            <v>0</v>
          </cell>
          <cell r="BG194">
            <v>0</v>
          </cell>
          <cell r="BM194">
            <v>0</v>
          </cell>
        </row>
        <row r="195">
          <cell r="Q195">
            <v>0</v>
          </cell>
          <cell r="S195">
            <v>0</v>
          </cell>
          <cell r="U195">
            <v>0</v>
          </cell>
          <cell r="W195">
            <v>0</v>
          </cell>
          <cell r="Y195">
            <v>0</v>
          </cell>
          <cell r="AA195">
            <v>0</v>
          </cell>
          <cell r="AC195">
            <v>0</v>
          </cell>
          <cell r="AE195">
            <v>0</v>
          </cell>
          <cell r="AG195">
            <v>0</v>
          </cell>
          <cell r="AI195">
            <v>0</v>
          </cell>
          <cell r="AK195">
            <v>0</v>
          </cell>
          <cell r="AM195">
            <v>0</v>
          </cell>
          <cell r="AO195">
            <v>0</v>
          </cell>
          <cell r="AQ195">
            <v>0</v>
          </cell>
          <cell r="AS195">
            <v>0</v>
          </cell>
          <cell r="AU195">
            <v>0</v>
          </cell>
          <cell r="AW195">
            <v>0</v>
          </cell>
          <cell r="AY195">
            <v>0</v>
          </cell>
          <cell r="BA195">
            <v>0</v>
          </cell>
          <cell r="BC195">
            <v>0</v>
          </cell>
          <cell r="BE195">
            <v>0</v>
          </cell>
          <cell r="BG195">
            <v>0</v>
          </cell>
          <cell r="BM195">
            <v>0</v>
          </cell>
        </row>
        <row r="196">
          <cell r="Q196">
            <v>0</v>
          </cell>
          <cell r="S196">
            <v>0</v>
          </cell>
          <cell r="U196">
            <v>0</v>
          </cell>
          <cell r="W196">
            <v>0</v>
          </cell>
          <cell r="Y196">
            <v>0</v>
          </cell>
          <cell r="AA196">
            <v>0</v>
          </cell>
          <cell r="AC196">
            <v>0</v>
          </cell>
          <cell r="AE196">
            <v>0</v>
          </cell>
          <cell r="AG196">
            <v>0</v>
          </cell>
          <cell r="AI196">
            <v>0</v>
          </cell>
          <cell r="AK196">
            <v>0</v>
          </cell>
          <cell r="AM196">
            <v>0</v>
          </cell>
          <cell r="AO196">
            <v>0</v>
          </cell>
          <cell r="AQ196">
            <v>0</v>
          </cell>
          <cell r="AS196">
            <v>0</v>
          </cell>
          <cell r="AU196">
            <v>0</v>
          </cell>
          <cell r="AW196">
            <v>0</v>
          </cell>
          <cell r="AY196">
            <v>0</v>
          </cell>
          <cell r="BA196">
            <v>0</v>
          </cell>
          <cell r="BC196">
            <v>0</v>
          </cell>
          <cell r="BE196">
            <v>0</v>
          </cell>
          <cell r="BG196">
            <v>0</v>
          </cell>
          <cell r="BM196">
            <v>0</v>
          </cell>
        </row>
        <row r="197">
          <cell r="Q197">
            <v>0</v>
          </cell>
          <cell r="S197">
            <v>0</v>
          </cell>
          <cell r="U197">
            <v>0</v>
          </cell>
          <cell r="W197">
            <v>0</v>
          </cell>
          <cell r="Y197">
            <v>0</v>
          </cell>
          <cell r="AA197">
            <v>0</v>
          </cell>
          <cell r="AC197">
            <v>0</v>
          </cell>
          <cell r="AE197">
            <v>0</v>
          </cell>
          <cell r="AG197">
            <v>0</v>
          </cell>
          <cell r="AI197">
            <v>0</v>
          </cell>
          <cell r="AK197">
            <v>0</v>
          </cell>
          <cell r="AM197">
            <v>0</v>
          </cell>
          <cell r="AO197">
            <v>0</v>
          </cell>
          <cell r="AQ197">
            <v>0</v>
          </cell>
          <cell r="AS197">
            <v>0</v>
          </cell>
          <cell r="AU197">
            <v>0</v>
          </cell>
          <cell r="AW197">
            <v>0</v>
          </cell>
          <cell r="AY197">
            <v>0</v>
          </cell>
          <cell r="BA197">
            <v>0</v>
          </cell>
          <cell r="BC197">
            <v>0</v>
          </cell>
          <cell r="BE197">
            <v>0</v>
          </cell>
          <cell r="BG197">
            <v>0</v>
          </cell>
          <cell r="BM197">
            <v>0</v>
          </cell>
        </row>
        <row r="198">
          <cell r="Q198">
            <v>0</v>
          </cell>
          <cell r="S198">
            <v>0</v>
          </cell>
          <cell r="U198">
            <v>0</v>
          </cell>
          <cell r="W198">
            <v>0</v>
          </cell>
          <cell r="Y198">
            <v>0</v>
          </cell>
          <cell r="AA198">
            <v>0</v>
          </cell>
          <cell r="AC198">
            <v>0</v>
          </cell>
          <cell r="AE198">
            <v>0</v>
          </cell>
          <cell r="AG198">
            <v>0</v>
          </cell>
          <cell r="AI198">
            <v>0</v>
          </cell>
          <cell r="AK198">
            <v>0</v>
          </cell>
          <cell r="AM198">
            <v>0</v>
          </cell>
          <cell r="AO198">
            <v>0</v>
          </cell>
          <cell r="AQ198">
            <v>0</v>
          </cell>
          <cell r="AS198">
            <v>0</v>
          </cell>
          <cell r="AU198">
            <v>0</v>
          </cell>
          <cell r="AW198">
            <v>0</v>
          </cell>
          <cell r="AY198">
            <v>0</v>
          </cell>
          <cell r="BA198">
            <v>0</v>
          </cell>
          <cell r="BC198">
            <v>0</v>
          </cell>
          <cell r="BE198">
            <v>0</v>
          </cell>
          <cell r="BG198">
            <v>0</v>
          </cell>
          <cell r="BM198">
            <v>0</v>
          </cell>
        </row>
        <row r="199">
          <cell r="Q199">
            <v>0</v>
          </cell>
          <cell r="S199">
            <v>0</v>
          </cell>
          <cell r="U199">
            <v>0</v>
          </cell>
          <cell r="W199">
            <v>0</v>
          </cell>
          <cell r="Y199">
            <v>0</v>
          </cell>
          <cell r="AA199">
            <v>0</v>
          </cell>
          <cell r="AC199">
            <v>0</v>
          </cell>
          <cell r="AE199">
            <v>0</v>
          </cell>
          <cell r="AG199">
            <v>0</v>
          </cell>
          <cell r="AI199">
            <v>0</v>
          </cell>
          <cell r="AK199">
            <v>0</v>
          </cell>
          <cell r="AM199">
            <v>0</v>
          </cell>
          <cell r="AO199">
            <v>0</v>
          </cell>
          <cell r="AQ199">
            <v>0</v>
          </cell>
          <cell r="AS199">
            <v>0</v>
          </cell>
          <cell r="AU199">
            <v>0</v>
          </cell>
          <cell r="AW199">
            <v>0</v>
          </cell>
          <cell r="AY199">
            <v>0</v>
          </cell>
          <cell r="BA199">
            <v>0</v>
          </cell>
          <cell r="BC199">
            <v>0</v>
          </cell>
          <cell r="BE199">
            <v>0</v>
          </cell>
          <cell r="BG199">
            <v>0</v>
          </cell>
          <cell r="BM199">
            <v>0</v>
          </cell>
        </row>
        <row r="200">
          <cell r="Q200">
            <v>0</v>
          </cell>
          <cell r="S200">
            <v>0</v>
          </cell>
          <cell r="U200">
            <v>0</v>
          </cell>
          <cell r="W200">
            <v>0</v>
          </cell>
          <cell r="Y200">
            <v>0</v>
          </cell>
          <cell r="AA200">
            <v>0</v>
          </cell>
          <cell r="AC200">
            <v>0</v>
          </cell>
          <cell r="AE200">
            <v>0</v>
          </cell>
          <cell r="AG200">
            <v>0</v>
          </cell>
          <cell r="AI200">
            <v>0</v>
          </cell>
          <cell r="AK200">
            <v>0</v>
          </cell>
          <cell r="AM200">
            <v>0</v>
          </cell>
          <cell r="AO200">
            <v>0</v>
          </cell>
          <cell r="AQ200">
            <v>0</v>
          </cell>
          <cell r="AS200">
            <v>0</v>
          </cell>
          <cell r="AU200">
            <v>0</v>
          </cell>
          <cell r="AW200">
            <v>0</v>
          </cell>
          <cell r="AY200">
            <v>0</v>
          </cell>
          <cell r="BA200">
            <v>0</v>
          </cell>
          <cell r="BC200">
            <v>0</v>
          </cell>
          <cell r="BE200">
            <v>0</v>
          </cell>
          <cell r="BG200">
            <v>0</v>
          </cell>
          <cell r="BM200">
            <v>0</v>
          </cell>
        </row>
        <row r="201">
          <cell r="S201">
            <v>0</v>
          </cell>
          <cell r="U201">
            <v>0</v>
          </cell>
          <cell r="W201">
            <v>0</v>
          </cell>
          <cell r="Y201">
            <v>0</v>
          </cell>
          <cell r="AA201">
            <v>0</v>
          </cell>
          <cell r="AC201">
            <v>0</v>
          </cell>
          <cell r="AE201">
            <v>100</v>
          </cell>
          <cell r="AG201">
            <v>0</v>
          </cell>
          <cell r="AI201">
            <v>0</v>
          </cell>
          <cell r="AK201">
            <v>0</v>
          </cell>
          <cell r="AM201">
            <v>0</v>
          </cell>
          <cell r="AO201">
            <v>0</v>
          </cell>
          <cell r="AQ201">
            <v>0</v>
          </cell>
          <cell r="AS201">
            <v>0</v>
          </cell>
          <cell r="AU201">
            <v>0</v>
          </cell>
          <cell r="AW201">
            <v>0</v>
          </cell>
          <cell r="AY201">
            <v>0</v>
          </cell>
          <cell r="BA201">
            <v>0</v>
          </cell>
          <cell r="BC201">
            <v>0</v>
          </cell>
          <cell r="BE201">
            <v>0</v>
          </cell>
          <cell r="BG201">
            <v>0</v>
          </cell>
          <cell r="BM201">
            <v>0</v>
          </cell>
        </row>
        <row r="203">
          <cell r="Q203">
            <v>1805.25</v>
          </cell>
          <cell r="S203">
            <v>0</v>
          </cell>
          <cell r="U203">
            <v>1397.02</v>
          </cell>
          <cell r="W203">
            <v>4883.08</v>
          </cell>
          <cell r="Y203">
            <v>7430.27</v>
          </cell>
          <cell r="AA203">
            <v>15614.51</v>
          </cell>
          <cell r="AC203">
            <v>12657.16</v>
          </cell>
          <cell r="AE203">
            <v>20604.310000000005</v>
          </cell>
          <cell r="AG203">
            <v>1219.95</v>
          </cell>
          <cell r="AI203">
            <v>3244.27</v>
          </cell>
          <cell r="AK203">
            <v>1324.73</v>
          </cell>
          <cell r="AM203">
            <v>0</v>
          </cell>
          <cell r="AO203">
            <v>0</v>
          </cell>
          <cell r="AQ203">
            <v>0</v>
          </cell>
          <cell r="AS203">
            <v>0</v>
          </cell>
          <cell r="AU203">
            <v>0</v>
          </cell>
          <cell r="AW203">
            <v>0</v>
          </cell>
          <cell r="AY203">
            <v>0</v>
          </cell>
          <cell r="BA203">
            <v>0</v>
          </cell>
          <cell r="BC203">
            <v>0</v>
          </cell>
          <cell r="BE203">
            <v>0</v>
          </cell>
          <cell r="BG203">
            <v>0</v>
          </cell>
          <cell r="BM203">
            <v>0</v>
          </cell>
        </row>
        <row r="206">
          <cell r="Q206">
            <v>21898.53</v>
          </cell>
          <cell r="S206">
            <v>6134.01</v>
          </cell>
          <cell r="U206">
            <v>9917.44</v>
          </cell>
          <cell r="W206">
            <v>0</v>
          </cell>
          <cell r="Y206">
            <v>0</v>
          </cell>
          <cell r="AA206">
            <v>43465.95</v>
          </cell>
          <cell r="AC206">
            <v>0</v>
          </cell>
          <cell r="AE206">
            <v>0</v>
          </cell>
          <cell r="AG206">
            <v>0</v>
          </cell>
          <cell r="AI206">
            <v>28510.25</v>
          </cell>
          <cell r="AK206">
            <v>0</v>
          </cell>
          <cell r="AM206">
            <v>0</v>
          </cell>
          <cell r="AO206">
            <v>0</v>
          </cell>
          <cell r="AQ206">
            <v>0</v>
          </cell>
          <cell r="AS206">
            <v>0</v>
          </cell>
          <cell r="AU206">
            <v>0</v>
          </cell>
          <cell r="AW206">
            <v>0</v>
          </cell>
          <cell r="AY206">
            <v>0</v>
          </cell>
          <cell r="BA206">
            <v>0</v>
          </cell>
          <cell r="BC206">
            <v>0</v>
          </cell>
          <cell r="BE206">
            <v>0</v>
          </cell>
          <cell r="BG206">
            <v>0</v>
          </cell>
          <cell r="BM206">
            <v>0</v>
          </cell>
        </row>
        <row r="207">
          <cell r="Q207">
            <v>31211.02</v>
          </cell>
          <cell r="S207">
            <v>0</v>
          </cell>
          <cell r="U207">
            <v>0</v>
          </cell>
          <cell r="W207">
            <v>0</v>
          </cell>
          <cell r="Y207">
            <v>0</v>
          </cell>
          <cell r="AA207">
            <v>0</v>
          </cell>
          <cell r="AC207">
            <v>0</v>
          </cell>
          <cell r="AE207">
            <v>2585.04</v>
          </cell>
          <cell r="AG207">
            <v>0</v>
          </cell>
          <cell r="AI207">
            <v>9442.619999999999</v>
          </cell>
          <cell r="AK207">
            <v>2771.63</v>
          </cell>
          <cell r="AM207">
            <v>0</v>
          </cell>
          <cell r="AO207">
            <v>0</v>
          </cell>
          <cell r="AQ207">
            <v>0</v>
          </cell>
          <cell r="AS207">
            <v>0</v>
          </cell>
          <cell r="AU207">
            <v>0</v>
          </cell>
          <cell r="AW207">
            <v>0</v>
          </cell>
          <cell r="AY207">
            <v>0</v>
          </cell>
          <cell r="BA207">
            <v>0</v>
          </cell>
          <cell r="BC207">
            <v>0</v>
          </cell>
          <cell r="BE207">
            <v>0</v>
          </cell>
          <cell r="BG207">
            <v>0</v>
          </cell>
          <cell r="BM207">
            <v>0</v>
          </cell>
        </row>
        <row r="208">
          <cell r="Q208">
            <v>2705</v>
          </cell>
          <cell r="U208">
            <v>934</v>
          </cell>
          <cell r="AA208">
            <v>0</v>
          </cell>
          <cell r="AC208">
            <v>-10271.200000000001</v>
          </cell>
          <cell r="BM208">
            <v>0</v>
          </cell>
        </row>
        <row r="209">
          <cell r="Q209">
            <v>0</v>
          </cell>
          <cell r="S209">
            <v>0</v>
          </cell>
          <cell r="W209">
            <v>0</v>
          </cell>
          <cell r="Y209">
            <v>0</v>
          </cell>
          <cell r="AA209">
            <v>0</v>
          </cell>
          <cell r="AC209">
            <v>0</v>
          </cell>
          <cell r="AE209">
            <v>0</v>
          </cell>
          <cell r="AG209">
            <v>0</v>
          </cell>
          <cell r="AI209">
            <v>0</v>
          </cell>
          <cell r="AK209">
            <v>0</v>
          </cell>
          <cell r="AM209">
            <v>0</v>
          </cell>
          <cell r="AO209">
            <v>0</v>
          </cell>
          <cell r="AQ209">
            <v>0</v>
          </cell>
          <cell r="AS209">
            <v>0</v>
          </cell>
          <cell r="AU209">
            <v>0</v>
          </cell>
          <cell r="AW209">
            <v>0</v>
          </cell>
          <cell r="AY209">
            <v>0</v>
          </cell>
          <cell r="BA209">
            <v>0</v>
          </cell>
          <cell r="BC209">
            <v>0</v>
          </cell>
          <cell r="BE209">
            <v>0</v>
          </cell>
          <cell r="BG209">
            <v>0</v>
          </cell>
          <cell r="BM209">
            <v>0</v>
          </cell>
        </row>
        <row r="211">
          <cell r="Q211">
            <v>55814.55</v>
          </cell>
          <cell r="S211">
            <v>6134.01</v>
          </cell>
          <cell r="U211">
            <v>10851.44</v>
          </cell>
          <cell r="W211">
            <v>0</v>
          </cell>
          <cell r="Y211">
            <v>0</v>
          </cell>
          <cell r="AA211">
            <v>43465.95</v>
          </cell>
          <cell r="AC211">
            <v>-10271.200000000001</v>
          </cell>
          <cell r="AE211">
            <v>2585.04</v>
          </cell>
          <cell r="AG211">
            <v>0</v>
          </cell>
          <cell r="AI211">
            <v>37952.869999999995</v>
          </cell>
          <cell r="AK211">
            <v>2771.63</v>
          </cell>
          <cell r="AM211">
            <v>0</v>
          </cell>
          <cell r="AO211">
            <v>0</v>
          </cell>
          <cell r="AQ211">
            <v>0</v>
          </cell>
          <cell r="AS211">
            <v>0</v>
          </cell>
          <cell r="AU211">
            <v>0</v>
          </cell>
          <cell r="AW211">
            <v>0</v>
          </cell>
          <cell r="AY211">
            <v>0</v>
          </cell>
          <cell r="BA211">
            <v>0</v>
          </cell>
          <cell r="BC211">
            <v>0</v>
          </cell>
          <cell r="BE211">
            <v>0</v>
          </cell>
          <cell r="BG211">
            <v>0</v>
          </cell>
          <cell r="BM211">
            <v>0</v>
          </cell>
        </row>
        <row r="213">
          <cell r="Q213">
            <v>0</v>
          </cell>
          <cell r="S213">
            <v>0</v>
          </cell>
          <cell r="U213">
            <v>0</v>
          </cell>
          <cell r="W213">
            <v>0</v>
          </cell>
          <cell r="Y213">
            <v>0</v>
          </cell>
          <cell r="AA213">
            <v>0</v>
          </cell>
          <cell r="AC213">
            <v>0</v>
          </cell>
          <cell r="AE213">
            <v>0</v>
          </cell>
          <cell r="AG213">
            <v>0</v>
          </cell>
          <cell r="AI213">
            <v>0</v>
          </cell>
          <cell r="AK213">
            <v>0</v>
          </cell>
          <cell r="AM213">
            <v>0</v>
          </cell>
          <cell r="AO213">
            <v>0</v>
          </cell>
          <cell r="AQ213">
            <v>0</v>
          </cell>
          <cell r="AS213">
            <v>0</v>
          </cell>
          <cell r="AU213">
            <v>0</v>
          </cell>
          <cell r="AW213">
            <v>0</v>
          </cell>
          <cell r="AY213">
            <v>0</v>
          </cell>
          <cell r="BA213">
            <v>0</v>
          </cell>
          <cell r="BC213">
            <v>0</v>
          </cell>
          <cell r="BE213">
            <v>0</v>
          </cell>
          <cell r="BG213">
            <v>0</v>
          </cell>
          <cell r="BM213">
            <v>0</v>
          </cell>
        </row>
        <row r="215">
          <cell r="Q215">
            <v>0</v>
          </cell>
          <cell r="S215">
            <v>0</v>
          </cell>
          <cell r="U215">
            <v>0</v>
          </cell>
          <cell r="W215">
            <v>0</v>
          </cell>
          <cell r="Y215">
            <v>0</v>
          </cell>
          <cell r="AA215">
            <v>0</v>
          </cell>
          <cell r="AC215">
            <v>0</v>
          </cell>
          <cell r="AE215">
            <v>0</v>
          </cell>
          <cell r="AG215">
            <v>0</v>
          </cell>
          <cell r="AI215">
            <v>0</v>
          </cell>
          <cell r="AK215">
            <v>0</v>
          </cell>
          <cell r="AM215">
            <v>0</v>
          </cell>
          <cell r="AO215">
            <v>0</v>
          </cell>
          <cell r="AQ215">
            <v>0</v>
          </cell>
          <cell r="AS215">
            <v>0</v>
          </cell>
          <cell r="AU215">
            <v>0</v>
          </cell>
          <cell r="AW215">
            <v>0</v>
          </cell>
          <cell r="AY215">
            <v>0</v>
          </cell>
          <cell r="BA215">
            <v>0</v>
          </cell>
          <cell r="BC215">
            <v>0</v>
          </cell>
          <cell r="BE215">
            <v>0</v>
          </cell>
          <cell r="BG215">
            <v>0</v>
          </cell>
          <cell r="BM215">
            <v>0</v>
          </cell>
        </row>
        <row r="217">
          <cell r="Q217">
            <v>0</v>
          </cell>
          <cell r="S217">
            <v>0</v>
          </cell>
          <cell r="U217">
            <v>0</v>
          </cell>
          <cell r="W217">
            <v>0</v>
          </cell>
          <cell r="Y217">
            <v>0</v>
          </cell>
          <cell r="AA217">
            <v>0</v>
          </cell>
          <cell r="AC217">
            <v>0</v>
          </cell>
          <cell r="AE217">
            <v>0</v>
          </cell>
          <cell r="AG217">
            <v>0</v>
          </cell>
          <cell r="AI217">
            <v>0</v>
          </cell>
          <cell r="AK217">
            <v>0</v>
          </cell>
          <cell r="AM217">
            <v>0</v>
          </cell>
          <cell r="AO217">
            <v>0</v>
          </cell>
          <cell r="AQ217">
            <v>0</v>
          </cell>
          <cell r="AS217">
            <v>0</v>
          </cell>
          <cell r="AU217">
            <v>0</v>
          </cell>
          <cell r="AW217">
            <v>0</v>
          </cell>
          <cell r="AY217">
            <v>0</v>
          </cell>
          <cell r="BA217">
            <v>0</v>
          </cell>
          <cell r="BC217">
            <v>0</v>
          </cell>
          <cell r="BE217">
            <v>0</v>
          </cell>
          <cell r="BG217">
            <v>0</v>
          </cell>
          <cell r="BM217">
            <v>0</v>
          </cell>
        </row>
        <row r="219">
          <cell r="Q219">
            <v>57619.8</v>
          </cell>
          <cell r="S219">
            <v>6134.01</v>
          </cell>
          <cell r="U219">
            <v>12248.460000000001</v>
          </cell>
          <cell r="W219">
            <v>4883.08</v>
          </cell>
          <cell r="Y219">
            <v>7430.27</v>
          </cell>
          <cell r="AA219">
            <v>59080.46</v>
          </cell>
          <cell r="AC219">
            <v>2385.9599999999991</v>
          </cell>
          <cell r="AE219">
            <v>23189.350000000006</v>
          </cell>
          <cell r="AG219">
            <v>1219.95</v>
          </cell>
          <cell r="AI219">
            <v>41197.139999999992</v>
          </cell>
          <cell r="AK219">
            <v>4096.3600000000006</v>
          </cell>
          <cell r="AM219">
            <v>0</v>
          </cell>
          <cell r="AO219">
            <v>0</v>
          </cell>
          <cell r="AQ219">
            <v>0</v>
          </cell>
          <cell r="AS219">
            <v>0</v>
          </cell>
          <cell r="AU219">
            <v>0</v>
          </cell>
          <cell r="AW219">
            <v>0</v>
          </cell>
          <cell r="AY219">
            <v>0</v>
          </cell>
          <cell r="BA219">
            <v>0</v>
          </cell>
          <cell r="BC219">
            <v>0</v>
          </cell>
          <cell r="BE219">
            <v>0</v>
          </cell>
          <cell r="BG219">
            <v>0</v>
          </cell>
          <cell r="BM219">
            <v>0</v>
          </cell>
        </row>
        <row r="221">
          <cell r="Q221">
            <v>21428869.800000001</v>
          </cell>
          <cell r="S221">
            <v>4411803.2</v>
          </cell>
          <cell r="U221">
            <v>3230174.65</v>
          </cell>
          <cell r="W221">
            <v>1861449.0900000003</v>
          </cell>
          <cell r="Y221">
            <v>3030974.38</v>
          </cell>
          <cell r="AA221">
            <v>4609976.2</v>
          </cell>
          <cell r="AC221">
            <v>2900713.4799999995</v>
          </cell>
          <cell r="AE221">
            <v>1888966.6900000002</v>
          </cell>
          <cell r="AG221">
            <v>3340374.04</v>
          </cell>
          <cell r="AI221">
            <v>3343727.46</v>
          </cell>
          <cell r="AK221">
            <v>7253666.2000000011</v>
          </cell>
          <cell r="AM221">
            <v>0</v>
          </cell>
          <cell r="AO221">
            <v>0</v>
          </cell>
          <cell r="AQ221">
            <v>0</v>
          </cell>
          <cell r="AS221">
            <v>0</v>
          </cell>
          <cell r="AU221">
            <v>0</v>
          </cell>
          <cell r="AW221">
            <v>0</v>
          </cell>
          <cell r="AY221">
            <v>0</v>
          </cell>
          <cell r="BA221">
            <v>0</v>
          </cell>
          <cell r="BC221">
            <v>0</v>
          </cell>
          <cell r="BE221">
            <v>0</v>
          </cell>
          <cell r="BG221">
            <v>0</v>
          </cell>
          <cell r="BM221" t="e">
            <v>#REF!</v>
          </cell>
        </row>
        <row r="225">
          <cell r="AC225">
            <v>-5000000</v>
          </cell>
        </row>
        <row r="227">
          <cell r="Q227">
            <v>21428869.800000001</v>
          </cell>
          <cell r="S227">
            <v>4411803.2</v>
          </cell>
          <cell r="U227">
            <v>3230174.65</v>
          </cell>
          <cell r="W227">
            <v>1861449.0900000003</v>
          </cell>
          <cell r="Y227">
            <v>3030974.38</v>
          </cell>
          <cell r="AA227">
            <v>4609976.2</v>
          </cell>
          <cell r="AC227">
            <v>-2099286.5200000005</v>
          </cell>
          <cell r="AE227">
            <v>1888966.6900000002</v>
          </cell>
          <cell r="AG227">
            <v>3340374.04</v>
          </cell>
          <cell r="AI227">
            <v>3343727.46</v>
          </cell>
          <cell r="AK227">
            <v>7253666.2000000011</v>
          </cell>
          <cell r="AM227">
            <v>0</v>
          </cell>
          <cell r="AO227">
            <v>0</v>
          </cell>
          <cell r="AQ227">
            <v>0</v>
          </cell>
          <cell r="AS227">
            <v>0</v>
          </cell>
          <cell r="AU227">
            <v>0</v>
          </cell>
          <cell r="AW227">
            <v>0</v>
          </cell>
          <cell r="AY227">
            <v>0</v>
          </cell>
          <cell r="BA227">
            <v>0</v>
          </cell>
          <cell r="BC227">
            <v>0</v>
          </cell>
          <cell r="BE227">
            <v>0</v>
          </cell>
          <cell r="BG227">
            <v>0</v>
          </cell>
          <cell r="BM227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RCOMP"/>
      <sheetName val="FUNDS FLOW"/>
      <sheetName val="PRMA"/>
      <sheetName val="OBLIGATIONS"/>
      <sheetName val="OTHER OBLIGATION"/>
      <sheetName val="Cap Exp"/>
      <sheetName val="Investing"/>
      <sheetName val="Investing Support"/>
      <sheetName val="ASSET SALES"/>
      <sheetName val="MAJASSUM"/>
      <sheetName val="CAP CHARGE"/>
      <sheetName val="STAFFING"/>
      <sheetName val="SYSPLN99"/>
    </sheetNames>
    <sheetDataSet>
      <sheetData sheetId="0" refreshError="1">
        <row r="1">
          <cell r="A1" t="str">
            <v>ECT - NORTH AMERICA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 "/>
      <sheetName val="Forecasted Cost"/>
      <sheetName val="Actual Cost"/>
      <sheetName val="Revenue"/>
      <sheetName val="Tables"/>
      <sheetName val="Billing Curve"/>
    </sheetNames>
    <sheetDataSet>
      <sheetData sheetId="0"/>
      <sheetData sheetId="1"/>
      <sheetData sheetId="2"/>
      <sheetData sheetId="3"/>
      <sheetData sheetId="4">
        <row r="3">
          <cell r="I3">
            <v>1</v>
          </cell>
          <cell r="J3">
            <v>1</v>
          </cell>
          <cell r="R3">
            <v>1</v>
          </cell>
          <cell r="S3">
            <v>1</v>
          </cell>
        </row>
        <row r="4">
          <cell r="I4">
            <v>2</v>
          </cell>
          <cell r="J4">
            <v>0.79383080063506462</v>
          </cell>
          <cell r="K4">
            <v>0.20616919936493536</v>
          </cell>
        </row>
        <row r="5">
          <cell r="I5">
            <v>3</v>
          </cell>
          <cell r="J5">
            <v>0.1182</v>
          </cell>
          <cell r="K5">
            <v>0.7</v>
          </cell>
          <cell r="L5">
            <v>0.18179999999999999</v>
          </cell>
        </row>
        <row r="6">
          <cell r="A6">
            <v>1</v>
          </cell>
          <cell r="B6">
            <v>1</v>
          </cell>
          <cell r="R6">
            <v>1</v>
          </cell>
          <cell r="S6">
            <v>1</v>
          </cell>
        </row>
        <row r="7">
          <cell r="A7">
            <v>2</v>
          </cell>
          <cell r="B7">
            <v>0.5</v>
          </cell>
          <cell r="C7">
            <v>0.5</v>
          </cell>
          <cell r="I7">
            <v>1</v>
          </cell>
          <cell r="J7">
            <v>1</v>
          </cell>
          <cell r="R7">
            <v>2</v>
          </cell>
          <cell r="S7">
            <v>0.5</v>
          </cell>
          <cell r="T7">
            <v>0.5</v>
          </cell>
        </row>
        <row r="8">
          <cell r="I8">
            <v>2</v>
          </cell>
          <cell r="J8">
            <v>0.66666666666666663</v>
          </cell>
          <cell r="K8">
            <v>0.33333333333333331</v>
          </cell>
        </row>
        <row r="9">
          <cell r="I9">
            <v>3</v>
          </cell>
          <cell r="J9">
            <v>0.56140000000000001</v>
          </cell>
          <cell r="K9">
            <v>0.29239999999999999</v>
          </cell>
          <cell r="L9">
            <v>0.1462</v>
          </cell>
        </row>
        <row r="10">
          <cell r="A10">
            <v>1</v>
          </cell>
          <cell r="B10">
            <v>1</v>
          </cell>
          <cell r="I10">
            <v>4</v>
          </cell>
          <cell r="J10">
            <v>0.31880108991825618</v>
          </cell>
          <cell r="K10">
            <v>0.38242506811989102</v>
          </cell>
          <cell r="L10">
            <v>0.19918256130790188</v>
          </cell>
          <cell r="M10">
            <v>9.9591280653950939E-2</v>
          </cell>
          <cell r="R10">
            <v>1</v>
          </cell>
          <cell r="S10">
            <v>1</v>
          </cell>
        </row>
        <row r="11">
          <cell r="A11">
            <v>2</v>
          </cell>
          <cell r="B11">
            <v>0.5</v>
          </cell>
          <cell r="C11">
            <v>0.5</v>
          </cell>
          <cell r="I11">
            <v>5</v>
          </cell>
          <cell r="J11">
            <v>0.2346193952033368</v>
          </cell>
          <cell r="K11">
            <v>0.24400417101147029</v>
          </cell>
          <cell r="L11">
            <v>0.2927007299270073</v>
          </cell>
          <cell r="M11">
            <v>0.15245046923879038</v>
          </cell>
          <cell r="N11">
            <v>7.6225234619395191E-2</v>
          </cell>
          <cell r="R11">
            <v>2</v>
          </cell>
          <cell r="S11">
            <v>0.5</v>
          </cell>
          <cell r="T11">
            <v>0.5</v>
          </cell>
        </row>
        <row r="12">
          <cell r="A12">
            <v>3</v>
          </cell>
          <cell r="B12">
            <v>0.17499999999999999</v>
          </cell>
          <cell r="C12">
            <v>0.65</v>
          </cell>
          <cell r="D12">
            <v>0.17499999999999999</v>
          </cell>
          <cell r="I12">
            <v>6</v>
          </cell>
          <cell r="J12">
            <v>4.1000000000000002E-2</v>
          </cell>
          <cell r="K12">
            <v>0.22500000000000001</v>
          </cell>
          <cell r="L12">
            <v>0.23400000000000001</v>
          </cell>
          <cell r="M12">
            <v>0.28070000000000001</v>
          </cell>
          <cell r="N12">
            <v>0.1462</v>
          </cell>
          <cell r="O12">
            <v>7.3099999999999998E-2</v>
          </cell>
          <cell r="R12">
            <v>3</v>
          </cell>
          <cell r="S12">
            <v>0.33333333333333331</v>
          </cell>
          <cell r="T12">
            <v>0.33333333333333331</v>
          </cell>
          <cell r="U12">
            <v>0.33333333333333331</v>
          </cell>
        </row>
        <row r="15">
          <cell r="A15">
            <v>1</v>
          </cell>
          <cell r="B15">
            <v>1</v>
          </cell>
          <cell r="I15">
            <v>1</v>
          </cell>
          <cell r="J15">
            <v>1</v>
          </cell>
          <cell r="R15">
            <v>1</v>
          </cell>
          <cell r="S15">
            <v>1</v>
          </cell>
        </row>
        <row r="16">
          <cell r="A16">
            <v>2</v>
          </cell>
          <cell r="B16">
            <v>0.5</v>
          </cell>
          <cell r="C16">
            <v>0.5</v>
          </cell>
          <cell r="I16">
            <v>2</v>
          </cell>
          <cell r="J16">
            <v>0.5</v>
          </cell>
          <cell r="K16">
            <v>0.5</v>
          </cell>
          <cell r="R16">
            <v>2</v>
          </cell>
          <cell r="S16">
            <v>0.5</v>
          </cell>
          <cell r="T16">
            <v>0.5</v>
          </cell>
        </row>
        <row r="17">
          <cell r="A17">
            <v>3</v>
          </cell>
          <cell r="B17">
            <v>0.44500000000000001</v>
          </cell>
          <cell r="C17">
            <v>0.44500000000000001</v>
          </cell>
          <cell r="D17">
            <v>0.11</v>
          </cell>
          <cell r="I17">
            <v>3</v>
          </cell>
          <cell r="J17">
            <v>0.33333333333333337</v>
          </cell>
          <cell r="K17">
            <v>0.33333333333333337</v>
          </cell>
          <cell r="L17">
            <v>0.33333333333333337</v>
          </cell>
          <cell r="R17">
            <v>3</v>
          </cell>
          <cell r="S17">
            <v>0.33333333333333331</v>
          </cell>
          <cell r="T17">
            <v>0.33333333333333331</v>
          </cell>
          <cell r="U17">
            <v>0.33333333333333331</v>
          </cell>
        </row>
        <row r="18">
          <cell r="A18">
            <v>4</v>
          </cell>
          <cell r="B18">
            <v>8.2000000000000003E-2</v>
          </cell>
          <cell r="C18">
            <v>0.41799999999999998</v>
          </cell>
          <cell r="D18">
            <v>0.41799999999999998</v>
          </cell>
          <cell r="E18">
            <v>8.2000000000000003E-2</v>
          </cell>
          <cell r="I18">
            <v>4</v>
          </cell>
          <cell r="J18">
            <v>0.27737226277372268</v>
          </cell>
          <cell r="K18">
            <v>0.24087591240875914</v>
          </cell>
          <cell r="L18">
            <v>0.24087591240875914</v>
          </cell>
          <cell r="M18">
            <v>0.24087591240875914</v>
          </cell>
          <cell r="R18">
            <v>4</v>
          </cell>
          <cell r="S18">
            <v>0.25</v>
          </cell>
          <cell r="T18">
            <v>0.25</v>
          </cell>
          <cell r="U18">
            <v>0.25</v>
          </cell>
          <cell r="V18">
            <v>0.25</v>
          </cell>
        </row>
        <row r="19">
          <cell r="I19">
            <v>5</v>
          </cell>
          <cell r="J19">
            <v>4.1000000000000002E-2</v>
          </cell>
          <cell r="K19">
            <v>0.26600000000000001</v>
          </cell>
          <cell r="L19">
            <v>0.23100000000000001</v>
          </cell>
          <cell r="M19">
            <v>0.23100000000000001</v>
          </cell>
          <cell r="N19">
            <v>0.23100000000000001</v>
          </cell>
        </row>
        <row r="21">
          <cell r="A21">
            <v>1</v>
          </cell>
          <cell r="B21">
            <v>1</v>
          </cell>
          <cell r="I21">
            <v>1</v>
          </cell>
          <cell r="J21">
            <v>1</v>
          </cell>
        </row>
        <row r="22">
          <cell r="A22">
            <v>2</v>
          </cell>
          <cell r="B22">
            <v>0.5</v>
          </cell>
          <cell r="C22">
            <v>0.5</v>
          </cell>
          <cell r="I22">
            <v>2</v>
          </cell>
          <cell r="J22">
            <v>0.66690391459074727</v>
          </cell>
          <cell r="K22">
            <v>0.33309608540925262</v>
          </cell>
        </row>
        <row r="23">
          <cell r="A23">
            <v>3</v>
          </cell>
          <cell r="B23">
            <v>0.55600000000000005</v>
          </cell>
          <cell r="C23">
            <v>0.313</v>
          </cell>
          <cell r="D23">
            <v>0.13100000000000001</v>
          </cell>
          <cell r="I23">
            <v>3</v>
          </cell>
          <cell r="J23">
            <v>0.71084585305618431</v>
          </cell>
          <cell r="K23">
            <v>0.19283803251697879</v>
          </cell>
          <cell r="L23">
            <v>9.6316114426836782E-2</v>
          </cell>
        </row>
        <row r="24">
          <cell r="A24">
            <v>4</v>
          </cell>
          <cell r="B24">
            <v>0.23499999999999999</v>
          </cell>
          <cell r="C24">
            <v>0.47799999999999998</v>
          </cell>
          <cell r="D24">
            <v>0.23499999999999999</v>
          </cell>
          <cell r="E24">
            <v>5.1999999999999998E-2</v>
          </cell>
          <cell r="I24">
            <v>4</v>
          </cell>
          <cell r="J24">
            <v>0.4154938048839168</v>
          </cell>
          <cell r="K24">
            <v>0.4154938048839168</v>
          </cell>
          <cell r="L24">
            <v>0.11271502466017083</v>
          </cell>
          <cell r="M24">
            <v>5.6297365571995675E-2</v>
          </cell>
        </row>
        <row r="25">
          <cell r="A25">
            <v>5</v>
          </cell>
          <cell r="B25">
            <v>4.1000000000000002E-2</v>
          </cell>
          <cell r="C25">
            <v>0.22500000000000001</v>
          </cell>
          <cell r="D25">
            <v>0.46800000000000003</v>
          </cell>
          <cell r="E25">
            <v>0.22500000000000001</v>
          </cell>
          <cell r="F25">
            <v>4.1000000000000002E-2</v>
          </cell>
          <cell r="I25">
            <v>5</v>
          </cell>
          <cell r="J25">
            <v>0.16869999999999999</v>
          </cell>
          <cell r="K25">
            <v>0.34539999999999998</v>
          </cell>
          <cell r="L25">
            <v>0.34539999999999998</v>
          </cell>
          <cell r="M25">
            <v>9.3700000000000006E-2</v>
          </cell>
          <cell r="N25">
            <v>4.6800000000000001E-2</v>
          </cell>
        </row>
        <row r="28">
          <cell r="J28">
            <v>1</v>
          </cell>
          <cell r="K28">
            <v>1</v>
          </cell>
        </row>
        <row r="29">
          <cell r="J29">
            <v>2</v>
          </cell>
          <cell r="K29">
            <v>0.7578125</v>
          </cell>
          <cell r="L29">
            <v>0.2421875</v>
          </cell>
        </row>
        <row r="30">
          <cell r="J30">
            <v>3</v>
          </cell>
          <cell r="K30">
            <v>0.72354211663066947</v>
          </cell>
          <cell r="L30">
            <v>0.20950323974082072</v>
          </cell>
          <cell r="M30">
            <v>6.6954643628509711E-2</v>
          </cell>
        </row>
        <row r="31">
          <cell r="J31">
            <v>4</v>
          </cell>
          <cell r="K31">
            <v>0.41979949874686723</v>
          </cell>
          <cell r="L31">
            <v>0.41979949874686723</v>
          </cell>
          <cell r="M31">
            <v>0.12155388471177946</v>
          </cell>
          <cell r="N31">
            <v>3.884711779448622E-2</v>
          </cell>
        </row>
        <row r="32">
          <cell r="J32">
            <v>5</v>
          </cell>
          <cell r="K32">
            <v>0.14377682403433475</v>
          </cell>
          <cell r="L32">
            <v>0.3594420600858369</v>
          </cell>
          <cell r="M32">
            <v>0.3594420600858369</v>
          </cell>
          <cell r="N32">
            <v>0.10407725321888411</v>
          </cell>
          <cell r="O32">
            <v>3.3261802575107295E-2</v>
          </cell>
        </row>
        <row r="33">
          <cell r="J33">
            <v>6</v>
          </cell>
          <cell r="K33">
            <v>6.8000000000000005E-2</v>
          </cell>
          <cell r="L33">
            <v>0.13400000000000001</v>
          </cell>
          <cell r="M33">
            <v>0.33500000000000002</v>
          </cell>
          <cell r="N33">
            <v>0.33500000000000002</v>
          </cell>
          <cell r="O33">
            <v>9.7000000000000003E-2</v>
          </cell>
          <cell r="P33">
            <v>3.1E-2</v>
          </cell>
        </row>
        <row r="36">
          <cell r="J36">
            <v>1</v>
          </cell>
          <cell r="K36">
            <v>1</v>
          </cell>
        </row>
        <row r="37">
          <cell r="J37">
            <v>2</v>
          </cell>
          <cell r="K37">
            <v>0.73954642097802981</v>
          </cell>
          <cell r="L37">
            <v>0.26045357902197019</v>
          </cell>
        </row>
        <row r="38">
          <cell r="J38">
            <v>3</v>
          </cell>
          <cell r="K38">
            <v>0.44361198738170343</v>
          </cell>
          <cell r="L38">
            <v>0.41147476340694006</v>
          </cell>
          <cell r="M38">
            <v>0.14491324921135645</v>
          </cell>
        </row>
        <row r="39">
          <cell r="J39">
            <v>4</v>
          </cell>
          <cell r="K39">
            <v>0.30899182561307903</v>
          </cell>
          <cell r="L39">
            <v>0.30653950953678472</v>
          </cell>
          <cell r="M39">
            <v>0.2843324250681199</v>
          </cell>
          <cell r="N39">
            <v>0.10013623978201634</v>
          </cell>
        </row>
        <row r="40">
          <cell r="J40">
            <v>5</v>
          </cell>
          <cell r="K40">
            <v>0.23461939520333683</v>
          </cell>
          <cell r="L40">
            <v>0.23649635036496353</v>
          </cell>
          <cell r="M40">
            <v>0.23461939520333683</v>
          </cell>
          <cell r="N40">
            <v>0.21762252346193953</v>
          </cell>
          <cell r="O40">
            <v>7.6642335766423361E-2</v>
          </cell>
        </row>
        <row r="41">
          <cell r="J41">
            <v>6</v>
          </cell>
          <cell r="K41">
            <v>4.1000000000000002E-2</v>
          </cell>
          <cell r="L41">
            <v>0.22500000000000001</v>
          </cell>
          <cell r="M41">
            <v>0.2268</v>
          </cell>
          <cell r="N41">
            <v>0.22500000000000001</v>
          </cell>
          <cell r="O41">
            <v>0.2087</v>
          </cell>
          <cell r="P41">
            <v>7.3499999999999996E-2</v>
          </cell>
        </row>
        <row r="66">
          <cell r="A66">
            <v>1</v>
          </cell>
          <cell r="B66">
            <v>1</v>
          </cell>
        </row>
        <row r="67">
          <cell r="A67">
            <v>2</v>
          </cell>
          <cell r="B67">
            <v>0.5</v>
          </cell>
          <cell r="C67">
            <v>0.5</v>
          </cell>
        </row>
        <row r="68">
          <cell r="A68">
            <v>3</v>
          </cell>
          <cell r="B68">
            <v>0.373</v>
          </cell>
          <cell r="C68">
            <v>0.32300000000000001</v>
          </cell>
          <cell r="D68">
            <v>0.30399999999999999</v>
          </cell>
        </row>
        <row r="69">
          <cell r="A69">
            <v>4</v>
          </cell>
          <cell r="B69">
            <v>0.33200000000000002</v>
          </cell>
          <cell r="C69">
            <v>0.26200000000000001</v>
          </cell>
          <cell r="D69">
            <v>0.21199999999999999</v>
          </cell>
          <cell r="E69">
            <v>0.19400000000000001</v>
          </cell>
        </row>
        <row r="70">
          <cell r="A70">
            <v>5</v>
          </cell>
          <cell r="B70">
            <v>0.32500000000000001</v>
          </cell>
          <cell r="C70">
            <v>0.251</v>
          </cell>
          <cell r="D70">
            <v>0.18099999999999999</v>
          </cell>
          <cell r="E70">
            <v>0.13100000000000001</v>
          </cell>
          <cell r="F70">
            <v>0.112</v>
          </cell>
        </row>
        <row r="71">
          <cell r="A71">
            <v>6</v>
          </cell>
          <cell r="B71">
            <v>0.27100000000000002</v>
          </cell>
          <cell r="C71">
            <v>0.27100000000000002</v>
          </cell>
          <cell r="D71">
            <v>0.19700000000000001</v>
          </cell>
          <cell r="E71">
            <v>0.127</v>
          </cell>
          <cell r="F71">
            <v>7.5999999999999998E-2</v>
          </cell>
          <cell r="G71">
            <v>5.8000000000000003E-2</v>
          </cell>
        </row>
        <row r="72">
          <cell r="A72">
            <v>7</v>
          </cell>
          <cell r="B72">
            <v>0.16900000000000001</v>
          </cell>
          <cell r="C72">
            <v>0.24299999999999999</v>
          </cell>
          <cell r="D72">
            <v>0.24299999999999999</v>
          </cell>
          <cell r="E72">
            <v>0.16900000000000001</v>
          </cell>
          <cell r="F72">
            <v>9.9000000000000005E-2</v>
          </cell>
          <cell r="G72">
            <v>4.8000000000000001E-2</v>
          </cell>
          <cell r="H72">
            <v>2.9000000000000001E-2</v>
          </cell>
        </row>
        <row r="73">
          <cell r="A73">
            <v>8</v>
          </cell>
          <cell r="B73">
            <v>8.6999999999999994E-2</v>
          </cell>
          <cell r="C73">
            <v>0.157</v>
          </cell>
          <cell r="D73">
            <v>0.23100000000000001</v>
          </cell>
          <cell r="E73">
            <v>0.23100000000000001</v>
          </cell>
          <cell r="F73">
            <v>0.157</v>
          </cell>
          <cell r="G73">
            <v>8.6999999999999994E-2</v>
          </cell>
          <cell r="H73">
            <v>3.5000000000000003E-2</v>
          </cell>
          <cell r="I73">
            <v>1.4999999999999999E-2</v>
          </cell>
        </row>
        <row r="74">
          <cell r="A74">
            <v>9</v>
          </cell>
          <cell r="B74">
            <v>3.1E-2</v>
          </cell>
          <cell r="C74">
            <v>8.3000000000000004E-2</v>
          </cell>
          <cell r="D74">
            <v>0.153</v>
          </cell>
          <cell r="E74">
            <v>0.22700000000000001</v>
          </cell>
          <cell r="F74">
            <v>0.22700000000000001</v>
          </cell>
          <cell r="G74">
            <v>0.153</v>
          </cell>
          <cell r="H74">
            <v>8.3000000000000004E-2</v>
          </cell>
          <cell r="I74">
            <v>3.1E-2</v>
          </cell>
          <cell r="J74">
            <v>1.2E-2</v>
          </cell>
        </row>
        <row r="75">
          <cell r="A75">
            <v>10</v>
          </cell>
          <cell r="B75">
            <v>0.01</v>
          </cell>
          <cell r="C75">
            <v>0.03</v>
          </cell>
          <cell r="D75">
            <v>8.2000000000000003E-2</v>
          </cell>
          <cell r="E75">
            <v>0.152</v>
          </cell>
          <cell r="F75">
            <v>0.22600000000000001</v>
          </cell>
          <cell r="G75">
            <v>0.22600000000000001</v>
          </cell>
          <cell r="H75">
            <v>0.152</v>
          </cell>
          <cell r="I75">
            <v>8.2000000000000003E-2</v>
          </cell>
          <cell r="J75">
            <v>0.03</v>
          </cell>
          <cell r="K75">
            <v>0.01</v>
          </cell>
        </row>
        <row r="78">
          <cell r="A78">
            <v>1</v>
          </cell>
          <cell r="B78">
            <v>1</v>
          </cell>
        </row>
        <row r="79">
          <cell r="A79">
            <v>2</v>
          </cell>
          <cell r="B79">
            <v>0.5</v>
          </cell>
          <cell r="C79">
            <v>0.5</v>
          </cell>
        </row>
        <row r="80">
          <cell r="A80">
            <v>3</v>
          </cell>
          <cell r="B80">
            <v>0.36399999999999999</v>
          </cell>
          <cell r="C80">
            <v>0.32800000000000001</v>
          </cell>
          <cell r="D80">
            <v>0.308</v>
          </cell>
        </row>
        <row r="81">
          <cell r="A81">
            <v>4</v>
          </cell>
          <cell r="B81">
            <v>0.315</v>
          </cell>
          <cell r="C81">
            <v>0.25900000000000001</v>
          </cell>
          <cell r="D81">
            <v>0.223</v>
          </cell>
          <cell r="E81">
            <v>0.20300000000000001</v>
          </cell>
        </row>
        <row r="82">
          <cell r="A82">
            <v>5</v>
          </cell>
          <cell r="B82">
            <v>0.29499999999999998</v>
          </cell>
          <cell r="C82">
            <v>0.24099999999999999</v>
          </cell>
          <cell r="D82">
            <v>0.185</v>
          </cell>
          <cell r="E82">
            <v>0.14899999999999999</v>
          </cell>
          <cell r="F82">
            <v>0.13</v>
          </cell>
        </row>
        <row r="83">
          <cell r="A83">
            <v>6</v>
          </cell>
          <cell r="B83">
            <v>0.28399999999999997</v>
          </cell>
          <cell r="C83">
            <v>0.23799999999999999</v>
          </cell>
          <cell r="D83">
            <v>0.184</v>
          </cell>
          <cell r="E83">
            <v>0.128</v>
          </cell>
          <cell r="F83">
            <v>9.1999999999999998E-2</v>
          </cell>
          <cell r="G83">
            <v>7.3999999999999996E-2</v>
          </cell>
        </row>
        <row r="84">
          <cell r="A84">
            <v>7</v>
          </cell>
          <cell r="B84">
            <v>0.20399999999999999</v>
          </cell>
          <cell r="C84">
            <v>0.25</v>
          </cell>
          <cell r="D84">
            <v>0.20399999999999999</v>
          </cell>
          <cell r="E84">
            <v>0.15</v>
          </cell>
          <cell r="F84">
            <v>9.4E-2</v>
          </cell>
          <cell r="G84">
            <v>5.8000000000000003E-2</v>
          </cell>
          <cell r="H84">
            <v>0.04</v>
          </cell>
        </row>
        <row r="85">
          <cell r="A85">
            <v>8</v>
          </cell>
          <cell r="B85">
            <v>0.13100000000000001</v>
          </cell>
          <cell r="C85">
            <v>0.186</v>
          </cell>
          <cell r="D85">
            <v>0.23200000000000001</v>
          </cell>
          <cell r="E85">
            <v>0.186</v>
          </cell>
          <cell r="F85">
            <v>0.13100000000000001</v>
          </cell>
          <cell r="G85">
            <v>7.4999999999999997E-2</v>
          </cell>
          <cell r="H85">
            <v>3.9E-2</v>
          </cell>
          <cell r="I85">
            <v>0.02</v>
          </cell>
        </row>
        <row r="86">
          <cell r="A86">
            <v>9</v>
          </cell>
          <cell r="B86">
            <v>6.6000000000000003E-2</v>
          </cell>
          <cell r="C86">
            <v>0.123</v>
          </cell>
          <cell r="D86">
            <v>0.17799999999999999</v>
          </cell>
          <cell r="E86">
            <v>0.224</v>
          </cell>
          <cell r="F86">
            <v>0.17799999999999999</v>
          </cell>
          <cell r="G86">
            <v>0.123</v>
          </cell>
          <cell r="H86">
            <v>6.6000000000000003E-2</v>
          </cell>
          <cell r="I86">
            <v>0.03</v>
          </cell>
          <cell r="J86">
            <v>1.2E-2</v>
          </cell>
        </row>
        <row r="87">
          <cell r="A87">
            <v>10</v>
          </cell>
          <cell r="B87">
            <v>2.7E-2</v>
          </cell>
          <cell r="C87">
            <v>6.3E-2</v>
          </cell>
          <cell r="D87">
            <v>0.12</v>
          </cell>
          <cell r="E87">
            <v>0.17499999999999999</v>
          </cell>
          <cell r="F87">
            <v>0.221</v>
          </cell>
          <cell r="G87">
            <v>0.17499999999999999</v>
          </cell>
          <cell r="H87">
            <v>0.12</v>
          </cell>
          <cell r="I87">
            <v>6.3E-2</v>
          </cell>
          <cell r="J87">
            <v>2.7E-2</v>
          </cell>
          <cell r="K87">
            <v>8.9999999999999993E-3</v>
          </cell>
        </row>
        <row r="88">
          <cell r="A88">
            <v>11</v>
          </cell>
          <cell r="B88">
            <v>8.9999999999999993E-3</v>
          </cell>
          <cell r="C88">
            <v>2.5999999999999999E-2</v>
          </cell>
          <cell r="D88">
            <v>6.2E-2</v>
          </cell>
          <cell r="E88">
            <v>0.11899999999999999</v>
          </cell>
          <cell r="F88">
            <v>0.17399999999999999</v>
          </cell>
          <cell r="G88">
            <v>0.22</v>
          </cell>
          <cell r="H88">
            <v>0.17399999999999999</v>
          </cell>
          <cell r="I88">
            <v>0.11899999999999999</v>
          </cell>
          <cell r="J88">
            <v>6.2E-2</v>
          </cell>
          <cell r="K88">
            <v>2.5999999999999999E-2</v>
          </cell>
          <cell r="L88">
            <v>8.9999999999999993E-3</v>
          </cell>
        </row>
        <row r="91">
          <cell r="A91">
            <v>1</v>
          </cell>
          <cell r="B91">
            <v>1</v>
          </cell>
        </row>
        <row r="92">
          <cell r="A92">
            <v>2</v>
          </cell>
          <cell r="B92">
            <v>0.5</v>
          </cell>
          <cell r="C92">
            <v>0.5</v>
          </cell>
        </row>
        <row r="93">
          <cell r="A93">
            <v>3</v>
          </cell>
          <cell r="B93">
            <v>0.36</v>
          </cell>
          <cell r="C93">
            <v>0.33</v>
          </cell>
          <cell r="D93">
            <v>0.31</v>
          </cell>
        </row>
        <row r="94">
          <cell r="A94">
            <v>4</v>
          </cell>
          <cell r="B94">
            <v>0.3</v>
          </cell>
          <cell r="C94">
            <v>0.26</v>
          </cell>
          <cell r="D94">
            <v>0.23</v>
          </cell>
          <cell r="E94">
            <v>0.21</v>
          </cell>
        </row>
        <row r="95">
          <cell r="A95">
            <v>5</v>
          </cell>
          <cell r="B95">
            <v>0.27600000000000002</v>
          </cell>
          <cell r="C95">
            <v>0.23100000000000001</v>
          </cell>
          <cell r="D95">
            <v>0.191</v>
          </cell>
          <cell r="E95">
            <v>0.161</v>
          </cell>
          <cell r="F95">
            <v>0.14099999999999999</v>
          </cell>
        </row>
        <row r="96">
          <cell r="A96">
            <v>6</v>
          </cell>
          <cell r="B96">
            <v>0.27300000000000002</v>
          </cell>
          <cell r="C96">
            <v>0.221</v>
          </cell>
          <cell r="D96">
            <v>0.17599999999999999</v>
          </cell>
          <cell r="E96">
            <v>0.13600000000000001</v>
          </cell>
          <cell r="F96">
            <v>0.106</v>
          </cell>
          <cell r="G96">
            <v>8.7999999999999995E-2</v>
          </cell>
        </row>
        <row r="97">
          <cell r="A97">
            <v>7</v>
          </cell>
          <cell r="B97">
            <v>0.23400000000000001</v>
          </cell>
          <cell r="C97">
            <v>0.23400000000000001</v>
          </cell>
          <cell r="D97">
            <v>0.182</v>
          </cell>
          <cell r="E97">
            <v>0.13700000000000001</v>
          </cell>
          <cell r="F97">
            <v>9.7000000000000003E-2</v>
          </cell>
          <cell r="G97">
            <v>6.7000000000000004E-2</v>
          </cell>
          <cell r="H97">
            <v>4.9000000000000002E-2</v>
          </cell>
        </row>
        <row r="98">
          <cell r="A98">
            <v>8</v>
          </cell>
          <cell r="B98">
            <v>0.159</v>
          </cell>
          <cell r="C98">
            <v>0.21199999999999999</v>
          </cell>
          <cell r="D98">
            <v>0.21199999999999999</v>
          </cell>
          <cell r="E98">
            <v>0.159</v>
          </cell>
          <cell r="F98">
            <v>0.114</v>
          </cell>
          <cell r="G98">
            <v>7.3999999999999996E-2</v>
          </cell>
          <cell r="H98">
            <v>4.3999999999999997E-2</v>
          </cell>
          <cell r="I98">
            <v>2.5999999999999999E-2</v>
          </cell>
        </row>
        <row r="99">
          <cell r="A99">
            <v>9</v>
          </cell>
          <cell r="B99">
            <v>0.10100000000000001</v>
          </cell>
          <cell r="C99">
            <v>0.14599999999999999</v>
          </cell>
          <cell r="D99">
            <v>0.2</v>
          </cell>
          <cell r="E99">
            <v>0.2</v>
          </cell>
          <cell r="F99">
            <v>0.14599999999999999</v>
          </cell>
          <cell r="G99">
            <v>0.10100000000000001</v>
          </cell>
          <cell r="H99">
            <v>6.0999999999999999E-2</v>
          </cell>
          <cell r="I99">
            <v>3.1E-2</v>
          </cell>
          <cell r="J99">
            <v>1.4E-2</v>
          </cell>
        </row>
        <row r="100">
          <cell r="A100">
            <v>10</v>
          </cell>
          <cell r="B100">
            <v>5.5E-2</v>
          </cell>
          <cell r="C100">
            <v>9.5000000000000001E-2</v>
          </cell>
          <cell r="D100">
            <v>0.14000000000000001</v>
          </cell>
          <cell r="E100">
            <v>0.19400000000000001</v>
          </cell>
          <cell r="F100">
            <v>0.19400000000000001</v>
          </cell>
          <cell r="G100">
            <v>0.14000000000000001</v>
          </cell>
          <cell r="H100">
            <v>9.5000000000000001E-2</v>
          </cell>
          <cell r="I100">
            <v>5.5E-2</v>
          </cell>
          <cell r="J100">
            <v>2.4E-2</v>
          </cell>
          <cell r="K100">
            <v>8.0000000000000002E-3</v>
          </cell>
        </row>
        <row r="101">
          <cell r="A101">
            <v>11</v>
          </cell>
          <cell r="B101">
            <v>2.3E-2</v>
          </cell>
          <cell r="C101">
            <v>5.2999999999999999E-2</v>
          </cell>
          <cell r="D101">
            <v>9.1999999999999998E-2</v>
          </cell>
          <cell r="E101">
            <v>0.13700000000000001</v>
          </cell>
          <cell r="F101">
            <v>0.191</v>
          </cell>
          <cell r="G101">
            <v>0.191</v>
          </cell>
          <cell r="H101">
            <v>0.13700000000000001</v>
          </cell>
          <cell r="I101">
            <v>9.1999999999999998E-2</v>
          </cell>
          <cell r="J101">
            <v>5.2999999999999999E-2</v>
          </cell>
          <cell r="K101">
            <v>2.3E-2</v>
          </cell>
          <cell r="L101">
            <v>8.0000000000000002E-3</v>
          </cell>
        </row>
        <row r="102">
          <cell r="A102">
            <v>12</v>
          </cell>
          <cell r="B102">
            <v>8.0000000000000002E-3</v>
          </cell>
          <cell r="C102">
            <v>2.1999999999999999E-2</v>
          </cell>
          <cell r="D102">
            <v>5.1999999999999998E-2</v>
          </cell>
          <cell r="E102">
            <v>9.0999999999999998E-2</v>
          </cell>
          <cell r="F102">
            <v>0.13600000000000001</v>
          </cell>
          <cell r="G102">
            <v>0.191</v>
          </cell>
          <cell r="H102">
            <v>0.191</v>
          </cell>
          <cell r="I102">
            <v>0.13600000000000001</v>
          </cell>
          <cell r="J102">
            <v>9.0999999999999998E-2</v>
          </cell>
          <cell r="K102">
            <v>5.1999999999999998E-2</v>
          </cell>
          <cell r="L102">
            <v>2.1999999999999999E-2</v>
          </cell>
          <cell r="M102">
            <v>8.0000000000000002E-3</v>
          </cell>
        </row>
        <row r="105">
          <cell r="A105">
            <v>1</v>
          </cell>
          <cell r="B105">
            <v>1</v>
          </cell>
          <cell r="R105">
            <v>1</v>
          </cell>
          <cell r="S105">
            <v>1</v>
          </cell>
        </row>
        <row r="106">
          <cell r="A106">
            <v>2</v>
          </cell>
          <cell r="B106">
            <v>0.5</v>
          </cell>
          <cell r="C106">
            <v>0.5</v>
          </cell>
          <cell r="R106">
            <v>2</v>
          </cell>
          <cell r="S106">
            <v>0.5</v>
          </cell>
          <cell r="T106">
            <v>0.5</v>
          </cell>
        </row>
        <row r="107">
          <cell r="A107">
            <v>3</v>
          </cell>
          <cell r="B107">
            <v>0.38</v>
          </cell>
          <cell r="C107">
            <v>0.33</v>
          </cell>
          <cell r="D107">
            <v>0.28999999999999998</v>
          </cell>
          <cell r="R107">
            <v>3</v>
          </cell>
          <cell r="S107">
            <v>0.33333333333333331</v>
          </cell>
          <cell r="T107">
            <v>0.33333333333333331</v>
          </cell>
          <cell r="U107">
            <v>0.33333333333333331</v>
          </cell>
        </row>
        <row r="108">
          <cell r="A108">
            <v>4</v>
          </cell>
          <cell r="B108">
            <v>0.3</v>
          </cell>
          <cell r="C108">
            <v>0.26</v>
          </cell>
          <cell r="D108">
            <v>0.23</v>
          </cell>
          <cell r="E108">
            <v>0.21</v>
          </cell>
          <cell r="R108">
            <v>4</v>
          </cell>
          <cell r="S108">
            <v>0.25</v>
          </cell>
          <cell r="T108">
            <v>0.25</v>
          </cell>
          <cell r="U108">
            <v>0.25</v>
          </cell>
          <cell r="V108">
            <v>0.25</v>
          </cell>
        </row>
        <row r="109">
          <cell r="A109">
            <v>5</v>
          </cell>
          <cell r="B109">
            <v>0.27</v>
          </cell>
          <cell r="C109">
            <v>0.23</v>
          </cell>
          <cell r="D109">
            <v>0.19</v>
          </cell>
          <cell r="E109">
            <v>0.16</v>
          </cell>
          <cell r="F109">
            <v>0.15</v>
          </cell>
          <cell r="R109">
            <v>5</v>
          </cell>
          <cell r="S109">
            <v>0.2</v>
          </cell>
          <cell r="T109">
            <v>0.2</v>
          </cell>
          <cell r="U109">
            <v>0.2</v>
          </cell>
          <cell r="V109">
            <v>0.2</v>
          </cell>
          <cell r="W109">
            <v>0.2</v>
          </cell>
        </row>
        <row r="110">
          <cell r="A110">
            <v>6</v>
          </cell>
          <cell r="B110">
            <v>0.25</v>
          </cell>
          <cell r="C110">
            <v>0.21</v>
          </cell>
          <cell r="D110">
            <v>0.17</v>
          </cell>
          <cell r="E110">
            <v>0.14000000000000001</v>
          </cell>
          <cell r="F110">
            <v>0.12</v>
          </cell>
          <cell r="G110">
            <v>0.11</v>
          </cell>
          <cell r="R110">
            <v>6</v>
          </cell>
          <cell r="S110">
            <v>0.16666666666666666</v>
          </cell>
          <cell r="T110">
            <v>0.16666666666666666</v>
          </cell>
          <cell r="U110">
            <v>0.16666666666666666</v>
          </cell>
          <cell r="V110">
            <v>0.16666666666666666</v>
          </cell>
          <cell r="W110">
            <v>0.16666666666666666</v>
          </cell>
          <cell r="X110">
            <v>0.16666666666666666</v>
          </cell>
        </row>
        <row r="111">
          <cell r="A111">
            <v>7</v>
          </cell>
          <cell r="B111">
            <v>0.21</v>
          </cell>
          <cell r="C111">
            <v>0.20499999999999999</v>
          </cell>
          <cell r="D111">
            <v>0.17</v>
          </cell>
          <cell r="E111">
            <v>0.14000000000000001</v>
          </cell>
          <cell r="F111">
            <v>0.11</v>
          </cell>
          <cell r="G111">
            <v>0.09</v>
          </cell>
          <cell r="H111">
            <v>7.4999999999999997E-2</v>
          </cell>
          <cell r="R111">
            <v>7</v>
          </cell>
          <cell r="S111">
            <v>0.14285714285714285</v>
          </cell>
          <cell r="T111">
            <v>0.14285714285714285</v>
          </cell>
          <cell r="U111">
            <v>0.14285714285714285</v>
          </cell>
          <cell r="V111">
            <v>0.14285714285714285</v>
          </cell>
          <cell r="W111">
            <v>0.14285714285714285</v>
          </cell>
          <cell r="X111">
            <v>0.14285714285714285</v>
          </cell>
          <cell r="Y111">
            <v>0.14285714285714285</v>
          </cell>
        </row>
        <row r="112">
          <cell r="A112">
            <v>8</v>
          </cell>
          <cell r="B112">
            <v>0.18</v>
          </cell>
          <cell r="C112">
            <v>0.185</v>
          </cell>
          <cell r="D112">
            <v>0.18</v>
          </cell>
          <cell r="E112">
            <v>0.15</v>
          </cell>
          <cell r="F112">
            <v>0.115</v>
          </cell>
          <cell r="G112">
            <v>0.08</v>
          </cell>
          <cell r="H112">
            <v>0.06</v>
          </cell>
          <cell r="I112">
            <v>0.05</v>
          </cell>
          <cell r="R112">
            <v>8</v>
          </cell>
          <cell r="S112">
            <v>0.125</v>
          </cell>
          <cell r="T112">
            <v>0.125</v>
          </cell>
          <cell r="U112">
            <v>0.125</v>
          </cell>
          <cell r="V112">
            <v>0.125</v>
          </cell>
          <cell r="W112">
            <v>0.125</v>
          </cell>
          <cell r="X112">
            <v>0.125</v>
          </cell>
          <cell r="Y112">
            <v>0.125</v>
          </cell>
          <cell r="Z112">
            <v>0.125</v>
          </cell>
        </row>
        <row r="113">
          <cell r="A113">
            <v>9</v>
          </cell>
          <cell r="B113">
            <v>0.13</v>
          </cell>
          <cell r="C113">
            <v>0.17499999999999999</v>
          </cell>
          <cell r="D113">
            <v>0.18</v>
          </cell>
          <cell r="E113">
            <v>0.17499999999999999</v>
          </cell>
          <cell r="F113">
            <v>0.13</v>
          </cell>
          <cell r="G113">
            <v>0.09</v>
          </cell>
          <cell r="H113">
            <v>0.06</v>
          </cell>
          <cell r="I113">
            <v>0.04</v>
          </cell>
          <cell r="J113">
            <v>0.02</v>
          </cell>
          <cell r="R113">
            <v>9</v>
          </cell>
          <cell r="S113">
            <v>0.1111111111111111</v>
          </cell>
          <cell r="T113">
            <v>0.1111111111111111</v>
          </cell>
          <cell r="U113">
            <v>0.1111111111111111</v>
          </cell>
          <cell r="V113">
            <v>0.1111111111111111</v>
          </cell>
          <cell r="W113">
            <v>0.1111111111111111</v>
          </cell>
          <cell r="X113">
            <v>0.1111111111111111</v>
          </cell>
          <cell r="Y113">
            <v>0.1111111111111111</v>
          </cell>
          <cell r="Z113">
            <v>0.1111111111111111</v>
          </cell>
          <cell r="AA113">
            <v>0.1111111111111111</v>
          </cell>
        </row>
        <row r="114">
          <cell r="A114">
            <v>10</v>
          </cell>
          <cell r="B114">
            <v>0.08</v>
          </cell>
          <cell r="C114">
            <v>0.12</v>
          </cell>
          <cell r="D114">
            <v>0.17</v>
          </cell>
          <cell r="E114">
            <v>0.17499999999999999</v>
          </cell>
          <cell r="F114">
            <v>0.17</v>
          </cell>
          <cell r="G114">
            <v>0.12</v>
          </cell>
          <cell r="H114">
            <v>0.08</v>
          </cell>
          <cell r="I114">
            <v>0.05</v>
          </cell>
          <cell r="J114">
            <v>2.5000000000000001E-2</v>
          </cell>
          <cell r="K114">
            <v>0.01</v>
          </cell>
          <cell r="R114">
            <v>10</v>
          </cell>
          <cell r="S114">
            <v>0.1</v>
          </cell>
          <cell r="T114">
            <v>0.1</v>
          </cell>
          <cell r="U114">
            <v>0.1</v>
          </cell>
          <cell r="V114">
            <v>0.1</v>
          </cell>
          <cell r="W114">
            <v>0.1</v>
          </cell>
          <cell r="X114">
            <v>0.1</v>
          </cell>
          <cell r="Y114">
            <v>0.1</v>
          </cell>
          <cell r="Z114">
            <v>0.1</v>
          </cell>
          <cell r="AA114">
            <v>0.1</v>
          </cell>
          <cell r="AB114">
            <v>0.1</v>
          </cell>
        </row>
        <row r="115">
          <cell r="A115">
            <v>11</v>
          </cell>
          <cell r="B115">
            <v>4.1000000000000002E-2</v>
          </cell>
          <cell r="C115">
            <v>7.3999999999999996E-2</v>
          </cell>
          <cell r="D115">
            <v>0.11600000000000001</v>
          </cell>
          <cell r="E115">
            <v>0.16800000000000001</v>
          </cell>
          <cell r="F115">
            <v>0.17399999999999999</v>
          </cell>
          <cell r="G115">
            <v>0.16800000000000001</v>
          </cell>
          <cell r="H115">
            <v>0.11600000000000001</v>
          </cell>
          <cell r="I115">
            <v>7.3999999999999996E-2</v>
          </cell>
          <cell r="J115">
            <v>4.1000000000000002E-2</v>
          </cell>
          <cell r="K115">
            <v>0.02</v>
          </cell>
          <cell r="L115">
            <v>8.0000000000000002E-3</v>
          </cell>
          <cell r="R115">
            <v>11</v>
          </cell>
          <cell r="S115">
            <v>9.0909090909090912E-2</v>
          </cell>
          <cell r="T115">
            <v>9.0909090909090912E-2</v>
          </cell>
          <cell r="U115">
            <v>9.0909090909090912E-2</v>
          </cell>
          <cell r="V115">
            <v>9.0909090909090912E-2</v>
          </cell>
          <cell r="W115">
            <v>9.0909090909090912E-2</v>
          </cell>
          <cell r="X115">
            <v>9.0909090909090912E-2</v>
          </cell>
          <cell r="Y115">
            <v>9.0909090909090912E-2</v>
          </cell>
          <cell r="Z115">
            <v>9.0909090909090912E-2</v>
          </cell>
          <cell r="AA115">
            <v>9.0909090909090912E-2</v>
          </cell>
          <cell r="AB115">
            <v>9.0909090909090912E-2</v>
          </cell>
          <cell r="AC115">
            <v>9.0909090909090912E-2</v>
          </cell>
        </row>
        <row r="116">
          <cell r="A116">
            <v>12</v>
          </cell>
          <cell r="B116">
            <v>1.9E-2</v>
          </cell>
          <cell r="C116">
            <v>0.04</v>
          </cell>
          <cell r="D116">
            <v>7.0000000000000007E-2</v>
          </cell>
          <cell r="E116">
            <v>0.113</v>
          </cell>
          <cell r="F116">
            <v>0.16700000000000001</v>
          </cell>
          <cell r="G116">
            <v>0.17399999999999999</v>
          </cell>
          <cell r="H116">
            <v>0.16700000000000001</v>
          </cell>
          <cell r="I116">
            <v>0.113</v>
          </cell>
          <cell r="J116">
            <v>7.0000000000000007E-2</v>
          </cell>
          <cell r="K116">
            <v>0.04</v>
          </cell>
          <cell r="L116">
            <v>1.9E-2</v>
          </cell>
          <cell r="M116">
            <v>8.0000000000000002E-3</v>
          </cell>
          <cell r="R116">
            <v>12</v>
          </cell>
          <cell r="S116">
            <v>8.3333333333333329E-2</v>
          </cell>
          <cell r="T116">
            <v>8.3333333333333329E-2</v>
          </cell>
          <cell r="U116">
            <v>8.3333333333333329E-2</v>
          </cell>
          <cell r="V116">
            <v>8.3333333333333329E-2</v>
          </cell>
          <cell r="W116">
            <v>8.3333333333333329E-2</v>
          </cell>
          <cell r="X116">
            <v>8.3333333333333329E-2</v>
          </cell>
          <cell r="Y116">
            <v>8.3333333333333329E-2</v>
          </cell>
          <cell r="Z116">
            <v>8.3333333333333329E-2</v>
          </cell>
          <cell r="AA116">
            <v>8.3333333333333329E-2</v>
          </cell>
          <cell r="AB116">
            <v>8.3333333333333329E-2</v>
          </cell>
          <cell r="AC116">
            <v>8.3333333333333329E-2</v>
          </cell>
          <cell r="AD116">
            <v>8.3333333333333329E-2</v>
          </cell>
        </row>
        <row r="117">
          <cell r="A117">
            <v>13</v>
          </cell>
          <cell r="B117">
            <v>8.0000000000000002E-3</v>
          </cell>
          <cell r="C117">
            <v>1.7999999999999999E-2</v>
          </cell>
          <cell r="D117">
            <v>3.9E-2</v>
          </cell>
          <cell r="E117">
            <v>6.9000000000000006E-2</v>
          </cell>
          <cell r="F117">
            <v>0.112</v>
          </cell>
          <cell r="G117">
            <v>0.16700000000000001</v>
          </cell>
          <cell r="H117">
            <v>0.17399999999999999</v>
          </cell>
          <cell r="I117">
            <v>0.16700000000000001</v>
          </cell>
          <cell r="J117">
            <v>0.112</v>
          </cell>
          <cell r="K117">
            <v>6.9000000000000006E-2</v>
          </cell>
          <cell r="L117">
            <v>3.9E-2</v>
          </cell>
          <cell r="M117">
            <v>1.7999999999999999E-2</v>
          </cell>
          <cell r="N117">
            <v>8.0000000000000002E-3</v>
          </cell>
          <cell r="R117">
            <v>13</v>
          </cell>
          <cell r="S117">
            <v>7.6923076923076927E-2</v>
          </cell>
          <cell r="T117">
            <v>7.6923076923076927E-2</v>
          </cell>
          <cell r="U117">
            <v>7.6923076923076927E-2</v>
          </cell>
          <cell r="V117">
            <v>7.6923076923076927E-2</v>
          </cell>
          <cell r="W117">
            <v>7.6923076923076927E-2</v>
          </cell>
          <cell r="X117">
            <v>7.6923076923076927E-2</v>
          </cell>
          <cell r="Y117">
            <v>7.6923076923076927E-2</v>
          </cell>
          <cell r="Z117">
            <v>7.6923076923076927E-2</v>
          </cell>
          <cell r="AA117">
            <v>7.6923076923076927E-2</v>
          </cell>
          <cell r="AB117">
            <v>7.6923076923076927E-2</v>
          </cell>
          <cell r="AC117">
            <v>7.6923076923076927E-2</v>
          </cell>
          <cell r="AD117">
            <v>7.6923076923076927E-2</v>
          </cell>
          <cell r="AE117">
            <v>7.6923076923076927E-2</v>
          </cell>
        </row>
        <row r="140">
          <cell r="I140">
            <v>1</v>
          </cell>
          <cell r="J140">
            <v>1</v>
          </cell>
          <cell r="AH140">
            <v>1</v>
          </cell>
          <cell r="AI140">
            <v>1</v>
          </cell>
          <cell r="AP140">
            <v>1</v>
          </cell>
          <cell r="AQ140">
            <v>1</v>
          </cell>
          <cell r="AZ140">
            <v>1</v>
          </cell>
          <cell r="BA140">
            <v>1</v>
          </cell>
        </row>
        <row r="141">
          <cell r="I141">
            <v>2</v>
          </cell>
          <cell r="J141">
            <v>0</v>
          </cell>
          <cell r="K141">
            <v>1</v>
          </cell>
          <cell r="AH141">
            <v>2</v>
          </cell>
          <cell r="AI141">
            <v>0</v>
          </cell>
          <cell r="AJ141">
            <v>1</v>
          </cell>
          <cell r="AP141">
            <v>2</v>
          </cell>
          <cell r="AQ141">
            <v>0</v>
          </cell>
          <cell r="AR141">
            <v>1</v>
          </cell>
          <cell r="AZ141">
            <v>2</v>
          </cell>
          <cell r="BA141">
            <v>0</v>
          </cell>
          <cell r="BB141">
            <v>1</v>
          </cell>
        </row>
        <row r="142">
          <cell r="I142">
            <v>3</v>
          </cell>
          <cell r="J142">
            <v>0</v>
          </cell>
          <cell r="K142">
            <v>0</v>
          </cell>
          <cell r="L142">
            <v>1</v>
          </cell>
          <cell r="AH142">
            <v>3</v>
          </cell>
          <cell r="AI142">
            <v>0</v>
          </cell>
          <cell r="AJ142">
            <v>0</v>
          </cell>
          <cell r="AK142">
            <v>1</v>
          </cell>
          <cell r="AP142">
            <v>3</v>
          </cell>
          <cell r="AQ142">
            <v>0</v>
          </cell>
          <cell r="AR142">
            <v>0</v>
          </cell>
          <cell r="AS142">
            <v>1</v>
          </cell>
          <cell r="AZ142">
            <v>3</v>
          </cell>
          <cell r="BA142">
            <v>0</v>
          </cell>
          <cell r="BB142">
            <v>0</v>
          </cell>
          <cell r="BC142">
            <v>1</v>
          </cell>
        </row>
        <row r="143">
          <cell r="I143">
            <v>4</v>
          </cell>
          <cell r="J143">
            <v>0</v>
          </cell>
          <cell r="K143">
            <v>0</v>
          </cell>
          <cell r="L143">
            <v>0</v>
          </cell>
          <cell r="M143">
            <v>1</v>
          </cell>
          <cell r="AH143">
            <v>4</v>
          </cell>
          <cell r="AI143">
            <v>0</v>
          </cell>
          <cell r="AJ143">
            <v>0</v>
          </cell>
          <cell r="AK143">
            <v>0</v>
          </cell>
          <cell r="AL143">
            <v>1</v>
          </cell>
          <cell r="AP143">
            <v>4</v>
          </cell>
          <cell r="AQ143">
            <v>0</v>
          </cell>
          <cell r="AR143">
            <v>0</v>
          </cell>
          <cell r="AS143">
            <v>0</v>
          </cell>
          <cell r="AT143">
            <v>1</v>
          </cell>
          <cell r="AZ143">
            <v>4</v>
          </cell>
          <cell r="BA143">
            <v>0.88888888888888895</v>
          </cell>
          <cell r="BB143">
            <v>0</v>
          </cell>
          <cell r="BC143">
            <v>0</v>
          </cell>
          <cell r="BD143">
            <v>0.11111111111111112</v>
          </cell>
        </row>
        <row r="144">
          <cell r="I144">
            <v>5</v>
          </cell>
          <cell r="J144">
            <v>0.1</v>
          </cell>
          <cell r="K144">
            <v>0</v>
          </cell>
          <cell r="L144">
            <v>0</v>
          </cell>
          <cell r="M144">
            <v>0.8</v>
          </cell>
          <cell r="N144">
            <v>0.1</v>
          </cell>
          <cell r="AH144">
            <v>5</v>
          </cell>
          <cell r="AI144">
            <v>0</v>
          </cell>
          <cell r="AJ144">
            <v>0.1</v>
          </cell>
          <cell r="AK144">
            <v>0.8</v>
          </cell>
          <cell r="AL144">
            <v>0</v>
          </cell>
          <cell r="AM144">
            <v>0.1</v>
          </cell>
          <cell r="AP144">
            <v>5</v>
          </cell>
          <cell r="AQ144">
            <v>0.88890000000000002</v>
          </cell>
          <cell r="AR144">
            <v>0</v>
          </cell>
          <cell r="AS144">
            <v>0</v>
          </cell>
          <cell r="AT144">
            <v>0</v>
          </cell>
          <cell r="AU144">
            <v>0.1111</v>
          </cell>
          <cell r="AZ144">
            <v>5</v>
          </cell>
          <cell r="BA144">
            <v>0.1</v>
          </cell>
          <cell r="BB144">
            <v>0.8</v>
          </cell>
          <cell r="BC144">
            <v>0</v>
          </cell>
          <cell r="BD144">
            <v>0</v>
          </cell>
          <cell r="BE144">
            <v>0.1</v>
          </cell>
        </row>
        <row r="145">
          <cell r="AP145">
            <v>6</v>
          </cell>
          <cell r="AR145">
            <v>0.88890000000000002</v>
          </cell>
          <cell r="AS145">
            <v>0</v>
          </cell>
          <cell r="AT145">
            <v>0</v>
          </cell>
          <cell r="AU145">
            <v>0</v>
          </cell>
          <cell r="AV145">
            <v>0.1111</v>
          </cell>
        </row>
        <row r="146">
          <cell r="AP146">
            <v>7</v>
          </cell>
          <cell r="AQ146">
            <v>0.1</v>
          </cell>
          <cell r="AR146">
            <v>0</v>
          </cell>
          <cell r="AS146">
            <v>0.8</v>
          </cell>
          <cell r="AT146">
            <v>0</v>
          </cell>
          <cell r="AU146">
            <v>0</v>
          </cell>
          <cell r="AV146">
            <v>0</v>
          </cell>
          <cell r="AW146">
            <v>0.1</v>
          </cell>
        </row>
        <row r="158">
          <cell r="A158">
            <v>1</v>
          </cell>
          <cell r="B158">
            <v>1</v>
          </cell>
        </row>
        <row r="159">
          <cell r="A159">
            <v>2</v>
          </cell>
          <cell r="B159">
            <v>0.5</v>
          </cell>
          <cell r="C159">
            <v>0.5</v>
          </cell>
          <cell r="N159">
            <v>1</v>
          </cell>
          <cell r="O159">
            <v>1</v>
          </cell>
        </row>
        <row r="160">
          <cell r="A160">
            <v>3</v>
          </cell>
          <cell r="B160">
            <v>0.33333333333333331</v>
          </cell>
          <cell r="C160">
            <v>0.33333333333333331</v>
          </cell>
          <cell r="D160">
            <v>0.33333333333333331</v>
          </cell>
          <cell r="N160">
            <v>2</v>
          </cell>
          <cell r="O160">
            <v>0.66666666666666663</v>
          </cell>
          <cell r="P160">
            <v>0.33333333333333331</v>
          </cell>
        </row>
        <row r="161">
          <cell r="A161">
            <v>4</v>
          </cell>
          <cell r="B161">
            <v>0</v>
          </cell>
          <cell r="C161">
            <v>0.33333333333333331</v>
          </cell>
          <cell r="D161">
            <v>0.33333333333333331</v>
          </cell>
          <cell r="E161">
            <v>0.33333333333333331</v>
          </cell>
          <cell r="N161">
            <v>3</v>
          </cell>
          <cell r="O161">
            <v>0.9002217294900221</v>
          </cell>
          <cell r="P161">
            <v>6.6518847006651893E-2</v>
          </cell>
          <cell r="Q161">
            <v>3.3259423503325947E-2</v>
          </cell>
        </row>
        <row r="162">
          <cell r="A162">
            <v>5</v>
          </cell>
          <cell r="B162">
            <v>0</v>
          </cell>
          <cell r="C162">
            <v>0</v>
          </cell>
          <cell r="D162">
            <v>0.33333333333333331</v>
          </cell>
          <cell r="E162">
            <v>0.33333333333333331</v>
          </cell>
          <cell r="F162">
            <v>0.33333333333333331</v>
          </cell>
          <cell r="N162">
            <v>4</v>
          </cell>
          <cell r="O162">
            <v>0.56467181467181471</v>
          </cell>
          <cell r="P162">
            <v>0.39189189189189189</v>
          </cell>
          <cell r="Q162">
            <v>2.8957528957528962E-2</v>
          </cell>
          <cell r="R162">
            <v>1.4478764478764481E-2</v>
          </cell>
        </row>
        <row r="163">
          <cell r="A163">
            <v>6</v>
          </cell>
          <cell r="B163">
            <v>0.25</v>
          </cell>
          <cell r="C163">
            <v>0</v>
          </cell>
          <cell r="D163">
            <v>0</v>
          </cell>
          <cell r="E163">
            <v>0.25</v>
          </cell>
          <cell r="F163">
            <v>0.25</v>
          </cell>
          <cell r="G163">
            <v>0.25</v>
          </cell>
          <cell r="N163">
            <v>5</v>
          </cell>
          <cell r="O163">
            <v>0.35851393188854491</v>
          </cell>
          <cell r="P163">
            <v>0.36222910216718268</v>
          </cell>
          <cell r="Q163">
            <v>0.25139318885448919</v>
          </cell>
          <cell r="R163">
            <v>1.8575851393188857E-2</v>
          </cell>
          <cell r="S163">
            <v>9.2879256965944287E-3</v>
          </cell>
        </row>
        <row r="164">
          <cell r="A164">
            <v>7</v>
          </cell>
          <cell r="B164">
            <v>0.33333333333333331</v>
          </cell>
          <cell r="C164">
            <v>0.16666666666666666</v>
          </cell>
          <cell r="D164">
            <v>0</v>
          </cell>
          <cell r="E164">
            <v>0</v>
          </cell>
          <cell r="F164">
            <v>0.16666666666666666</v>
          </cell>
          <cell r="G164">
            <v>0.16666666666666666</v>
          </cell>
          <cell r="H164">
            <v>0.16666666666666666</v>
          </cell>
          <cell r="N164">
            <v>6</v>
          </cell>
          <cell r="O164">
            <v>0.1925</v>
          </cell>
          <cell r="P164">
            <v>0.28949999999999998</v>
          </cell>
          <cell r="Q164">
            <v>0.29249999999999998</v>
          </cell>
          <cell r="R164">
            <v>0.20300000000000001</v>
          </cell>
          <cell r="S164">
            <v>1.4999999999999999E-2</v>
          </cell>
          <cell r="T164">
            <v>7.4999999999999997E-3</v>
          </cell>
        </row>
        <row r="165">
          <cell r="A165">
            <v>8</v>
          </cell>
          <cell r="B165">
            <v>0.33333333333333337</v>
          </cell>
          <cell r="C165">
            <v>0.22222222222222227</v>
          </cell>
          <cell r="D165">
            <v>0.11111111111111113</v>
          </cell>
          <cell r="E165">
            <v>0</v>
          </cell>
          <cell r="F165">
            <v>0</v>
          </cell>
          <cell r="G165">
            <v>0.11111111111111113</v>
          </cell>
          <cell r="H165">
            <v>0.11111111111111113</v>
          </cell>
          <cell r="I165">
            <v>0.11111111111111113</v>
          </cell>
        </row>
        <row r="166">
          <cell r="A166">
            <v>9</v>
          </cell>
          <cell r="B166">
            <v>0.1</v>
          </cell>
          <cell r="C166">
            <v>0.3</v>
          </cell>
          <cell r="D166">
            <v>0.2</v>
          </cell>
          <cell r="E166">
            <v>0.1</v>
          </cell>
          <cell r="F166">
            <v>0</v>
          </cell>
          <cell r="G166">
            <v>0</v>
          </cell>
          <cell r="H166">
            <v>0.1</v>
          </cell>
          <cell r="I166">
            <v>0.1</v>
          </cell>
          <cell r="J166">
            <v>0.1</v>
          </cell>
        </row>
        <row r="167">
          <cell r="A167">
            <v>10</v>
          </cell>
        </row>
        <row r="169">
          <cell r="N169">
            <v>1</v>
          </cell>
          <cell r="O169">
            <v>1</v>
          </cell>
        </row>
        <row r="170">
          <cell r="N170">
            <v>2</v>
          </cell>
          <cell r="O170">
            <v>0.65</v>
          </cell>
          <cell r="P170">
            <v>0.35</v>
          </cell>
        </row>
        <row r="171">
          <cell r="N171">
            <v>3</v>
          </cell>
          <cell r="O171">
            <v>0.79990471653168171</v>
          </cell>
          <cell r="P171">
            <v>0.13006193425440687</v>
          </cell>
          <cell r="Q171">
            <v>7.0033349213911383E-2</v>
          </cell>
        </row>
        <row r="172">
          <cell r="N172">
            <v>4</v>
          </cell>
          <cell r="O172">
            <v>0.57792077216971649</v>
          </cell>
          <cell r="P172">
            <v>0.33762316509149404</v>
          </cell>
          <cell r="Q172">
            <v>5.4896440780213149E-2</v>
          </cell>
          <cell r="R172">
            <v>2.955962195857631E-2</v>
          </cell>
        </row>
        <row r="173">
          <cell r="N173">
            <v>5</v>
          </cell>
          <cell r="O173">
            <v>0.35939714028081932</v>
          </cell>
          <cell r="P173">
            <v>0.3702176993430375</v>
          </cell>
          <cell r="Q173">
            <v>0.21628236506505216</v>
          </cell>
          <cell r="R173">
            <v>3.5166816952209197E-2</v>
          </cell>
          <cell r="S173">
            <v>1.8935978358881875E-2</v>
          </cell>
        </row>
        <row r="174">
          <cell r="N174">
            <v>6</v>
          </cell>
          <cell r="O174">
            <v>0.22370000000000001</v>
          </cell>
          <cell r="P174">
            <v>0.27900000000000003</v>
          </cell>
          <cell r="Q174">
            <v>0.28739999999999999</v>
          </cell>
          <cell r="R174">
            <v>0.16789999999999999</v>
          </cell>
          <cell r="S174">
            <v>2.7300000000000001E-2</v>
          </cell>
          <cell r="T174">
            <v>1.47E-2</v>
          </cell>
        </row>
        <row r="176">
          <cell r="U176">
            <v>1</v>
          </cell>
          <cell r="V176">
            <v>1</v>
          </cell>
        </row>
        <row r="177">
          <cell r="U177">
            <v>2</v>
          </cell>
          <cell r="V177">
            <v>0.68633333333333324</v>
          </cell>
          <cell r="W177">
            <v>0.31366666666666665</v>
          </cell>
        </row>
        <row r="178">
          <cell r="U178">
            <v>3</v>
          </cell>
          <cell r="V178">
            <v>0.46313528990694341</v>
          </cell>
          <cell r="W178">
            <v>0.36846814602720113</v>
          </cell>
          <cell r="X178">
            <v>0.1683965640658554</v>
          </cell>
        </row>
        <row r="179">
          <cell r="U179">
            <v>4</v>
          </cell>
          <cell r="V179">
            <v>0.34932463903120636</v>
          </cell>
          <cell r="W179">
            <v>0.30135072193758733</v>
          </cell>
          <cell r="X179">
            <v>0.23975314392175132</v>
          </cell>
          <cell r="Y179">
            <v>0.10957149510945507</v>
          </cell>
        </row>
        <row r="180">
          <cell r="U180">
            <v>5</v>
          </cell>
          <cell r="V180">
            <v>0.14119999999999999</v>
          </cell>
          <cell r="W180">
            <v>0.3</v>
          </cell>
          <cell r="X180">
            <v>0.25879999999999997</v>
          </cell>
          <cell r="Y180">
            <v>0.2059</v>
          </cell>
          <cell r="Z180">
            <v>9.4100000000000003E-2</v>
          </cell>
        </row>
        <row r="188">
          <cell r="N188">
            <v>1</v>
          </cell>
          <cell r="O188">
            <v>1</v>
          </cell>
        </row>
        <row r="189">
          <cell r="N189">
            <v>2</v>
          </cell>
          <cell r="O189">
            <v>0.6809954751131222</v>
          </cell>
          <cell r="P189">
            <v>0.31900452488687775</v>
          </cell>
        </row>
        <row r="190">
          <cell r="N190">
            <v>3</v>
          </cell>
          <cell r="O190">
            <v>0.69305555555555554</v>
          </cell>
          <cell r="P190">
            <v>0.20902777777777778</v>
          </cell>
          <cell r="Q190">
            <v>9.7916666666666652E-2</v>
          </cell>
        </row>
        <row r="191">
          <cell r="N191">
            <v>4</v>
          </cell>
          <cell r="O191">
            <v>0.44301186178442492</v>
          </cell>
          <cell r="P191">
            <v>0.3860237235688499</v>
          </cell>
          <cell r="Q191">
            <v>0.1164259927797834</v>
          </cell>
          <cell r="R191">
            <v>5.4538421866941716E-2</v>
          </cell>
        </row>
        <row r="192">
          <cell r="N192">
            <v>5</v>
          </cell>
          <cell r="O192">
            <v>0.22439999999999999</v>
          </cell>
          <cell r="P192">
            <v>0.34360000000000002</v>
          </cell>
          <cell r="Q192">
            <v>0.2994</v>
          </cell>
          <cell r="R192">
            <v>9.0300000000000005E-2</v>
          </cell>
          <cell r="S192">
            <v>4.2299999999999997E-2</v>
          </cell>
        </row>
        <row r="199">
          <cell r="N199">
            <v>1</v>
          </cell>
          <cell r="O199">
            <v>1</v>
          </cell>
        </row>
        <row r="200">
          <cell r="N200">
            <v>2</v>
          </cell>
          <cell r="O200">
            <v>0</v>
          </cell>
          <cell r="P200">
            <v>1</v>
          </cell>
        </row>
        <row r="201">
          <cell r="N201">
            <v>3</v>
          </cell>
          <cell r="O201">
            <v>0</v>
          </cell>
          <cell r="P201">
            <v>0</v>
          </cell>
          <cell r="Q201">
            <v>1</v>
          </cell>
        </row>
        <row r="202">
          <cell r="N202">
            <v>4</v>
          </cell>
          <cell r="O202">
            <v>0.8</v>
          </cell>
          <cell r="P202">
            <v>0</v>
          </cell>
          <cell r="Q202">
            <v>0</v>
          </cell>
          <cell r="R202">
            <v>0.2</v>
          </cell>
        </row>
        <row r="203">
          <cell r="N203">
            <v>5</v>
          </cell>
          <cell r="O203">
            <v>0.44450000000000001</v>
          </cell>
          <cell r="P203">
            <v>0.44440000000000002</v>
          </cell>
          <cell r="Q203">
            <v>0</v>
          </cell>
          <cell r="R203">
            <v>0</v>
          </cell>
          <cell r="S203">
            <v>0.1111</v>
          </cell>
        </row>
        <row r="204">
          <cell r="N204">
            <v>6</v>
          </cell>
          <cell r="O204">
            <v>0.1716</v>
          </cell>
          <cell r="P204">
            <v>0.2586</v>
          </cell>
          <cell r="Q204">
            <v>0.28249999999999997</v>
          </cell>
          <cell r="R204">
            <v>0.2041</v>
          </cell>
          <cell r="S204">
            <v>5.4800000000000001E-2</v>
          </cell>
          <cell r="T204">
            <v>2.8400000000000002E-2</v>
          </cell>
        </row>
        <row r="211">
          <cell r="M211">
            <v>1</v>
          </cell>
          <cell r="N211">
            <v>1</v>
          </cell>
        </row>
        <row r="212">
          <cell r="M212">
            <v>2</v>
          </cell>
          <cell r="N212">
            <v>0.63083164300202843</v>
          </cell>
          <cell r="O212">
            <v>0.36916835699797168</v>
          </cell>
        </row>
        <row r="213">
          <cell r="M213">
            <v>3</v>
          </cell>
          <cell r="N213">
            <v>0.58431703204047225</v>
          </cell>
          <cell r="O213">
            <v>0.26222596964586842</v>
          </cell>
          <cell r="P213">
            <v>0.15345699831365936</v>
          </cell>
        </row>
        <row r="214">
          <cell r="M214">
            <v>4</v>
          </cell>
          <cell r="N214">
            <v>0.58719108945353282</v>
          </cell>
          <cell r="O214">
            <v>0.24121127741037246</v>
          </cell>
          <cell r="P214">
            <v>0.10824921684650191</v>
          </cell>
          <cell r="Q214">
            <v>6.3348416289592757E-2</v>
          </cell>
        </row>
        <row r="215">
          <cell r="M215">
            <v>5</v>
          </cell>
          <cell r="N215">
            <v>0.44094181747421685</v>
          </cell>
          <cell r="O215">
            <v>0.32827398326522672</v>
          </cell>
          <cell r="P215">
            <v>0.13485113835376536</v>
          </cell>
          <cell r="Q215">
            <v>6.0517610430044763E-2</v>
          </cell>
          <cell r="R215">
            <v>3.5415450476746456E-2</v>
          </cell>
        </row>
        <row r="216">
          <cell r="M216">
            <v>6</v>
          </cell>
          <cell r="N216">
            <v>0.34309088584941844</v>
          </cell>
          <cell r="O216">
            <v>0.28965869870893518</v>
          </cell>
          <cell r="P216">
            <v>0.21564617154544291</v>
          </cell>
          <cell r="Q216">
            <v>8.8584941838169506E-2</v>
          </cell>
          <cell r="R216">
            <v>3.9754569858110697E-2</v>
          </cell>
          <cell r="S216">
            <v>2.3264732199923303E-2</v>
          </cell>
        </row>
        <row r="217">
          <cell r="M217">
            <v>7</v>
          </cell>
          <cell r="N217">
            <v>0.2177</v>
          </cell>
          <cell r="O217">
            <v>0.26840000000000003</v>
          </cell>
          <cell r="P217">
            <v>0.2266</v>
          </cell>
          <cell r="Q217">
            <v>0.16869999999999999</v>
          </cell>
          <cell r="R217">
            <v>6.93E-2</v>
          </cell>
          <cell r="S217">
            <v>3.1099999999999999E-2</v>
          </cell>
          <cell r="T217">
            <v>1.8200000000000001E-2</v>
          </cell>
        </row>
        <row r="223">
          <cell r="M223">
            <v>1</v>
          </cell>
          <cell r="N223">
            <v>1</v>
          </cell>
        </row>
        <row r="224">
          <cell r="M224">
            <v>2</v>
          </cell>
          <cell r="N224">
            <v>0.78042328042328046</v>
          </cell>
          <cell r="O224">
            <v>0.21957671957671954</v>
          </cell>
        </row>
        <row r="225">
          <cell r="M225">
            <v>3</v>
          </cell>
          <cell r="N225">
            <v>0.5776536312849162</v>
          </cell>
          <cell r="O225">
            <v>0.32960893854748607</v>
          </cell>
          <cell r="P225">
            <v>9.2737430167597765E-2</v>
          </cell>
        </row>
        <row r="226">
          <cell r="M226">
            <v>4</v>
          </cell>
          <cell r="N226">
            <v>0.37307369010927433</v>
          </cell>
          <cell r="O226">
            <v>0.36214625945643042</v>
          </cell>
          <cell r="P226">
            <v>0.20664051555057442</v>
          </cell>
          <cell r="Q226">
            <v>5.8139534883720936E-2</v>
          </cell>
        </row>
        <row r="227">
          <cell r="A227">
            <v>1</v>
          </cell>
          <cell r="B227">
            <v>1</v>
          </cell>
          <cell r="M227">
            <v>5</v>
          </cell>
          <cell r="N227">
            <v>0.22965680984243469</v>
          </cell>
          <cell r="O227">
            <v>0.2873947766026333</v>
          </cell>
          <cell r="P227">
            <v>0.27897690481329596</v>
          </cell>
          <cell r="Q227">
            <v>0.15918411396503346</v>
          </cell>
          <cell r="R227">
            <v>4.4787394776602638E-2</v>
          </cell>
        </row>
        <row r="228">
          <cell r="A228">
            <v>2</v>
          </cell>
          <cell r="B228">
            <v>0.66293103448275859</v>
          </cell>
          <cell r="C228">
            <v>0.33706896551724141</v>
          </cell>
          <cell r="M228">
            <v>6</v>
          </cell>
          <cell r="N228">
            <v>7.3400000000000007E-2</v>
          </cell>
          <cell r="O228">
            <v>0.21279999999999999</v>
          </cell>
          <cell r="P228">
            <v>0.26629999999999998</v>
          </cell>
          <cell r="Q228">
            <v>0.25850000000000001</v>
          </cell>
          <cell r="R228">
            <v>0.14749999999999999</v>
          </cell>
          <cell r="S228">
            <v>4.1500000000000002E-2</v>
          </cell>
        </row>
        <row r="229">
          <cell r="A229">
            <v>3</v>
          </cell>
          <cell r="B229">
            <v>0.54669792887846813</v>
          </cell>
          <cell r="C229">
            <v>0.30050801094177415</v>
          </cell>
          <cell r="D229">
            <v>0.15279406017975775</v>
          </cell>
        </row>
        <row r="230">
          <cell r="A230">
            <v>4</v>
          </cell>
          <cell r="B230">
            <v>0.50627049971059235</v>
          </cell>
          <cell r="C230">
            <v>0.2699208952344202</v>
          </cell>
          <cell r="D230">
            <v>0.14836967007524599</v>
          </cell>
          <cell r="E230">
            <v>7.5438934979741468E-2</v>
          </cell>
        </row>
        <row r="231">
          <cell r="A231">
            <v>5</v>
          </cell>
          <cell r="B231">
            <v>0.32389773023741197</v>
          </cell>
          <cell r="C231">
            <v>0.34229063396817122</v>
          </cell>
          <cell r="D231">
            <v>0.18249412992434125</v>
          </cell>
          <cell r="E231">
            <v>0.10031307070180016</v>
          </cell>
          <cell r="F231">
            <v>5.1004435168275512E-2</v>
          </cell>
        </row>
        <row r="232">
          <cell r="A232">
            <v>6</v>
          </cell>
          <cell r="B232">
            <v>0.19491703423650494</v>
          </cell>
          <cell r="C232">
            <v>0.2607645452636001</v>
          </cell>
          <cell r="D232">
            <v>0.27557235874816222</v>
          </cell>
          <cell r="E232">
            <v>0.14692291535391724</v>
          </cell>
          <cell r="F232">
            <v>8.0760344465448441E-2</v>
          </cell>
          <cell r="G232">
            <v>4.1062801932367159E-2</v>
          </cell>
        </row>
        <row r="233">
          <cell r="A233">
            <v>7</v>
          </cell>
          <cell r="B233">
            <v>4.7800000000000002E-2</v>
          </cell>
          <cell r="C233">
            <v>0.18559999999999999</v>
          </cell>
          <cell r="D233">
            <v>0.24829999999999999</v>
          </cell>
          <cell r="E233">
            <v>0.26240000000000002</v>
          </cell>
          <cell r="F233">
            <v>0.1399</v>
          </cell>
          <cell r="G233">
            <v>7.6899999999999996E-2</v>
          </cell>
          <cell r="H233">
            <v>3.9100000000000003E-2</v>
          </cell>
        </row>
        <row r="236">
          <cell r="M236">
            <v>1</v>
          </cell>
          <cell r="N236">
            <v>1</v>
          </cell>
        </row>
        <row r="237">
          <cell r="M237">
            <v>2</v>
          </cell>
          <cell r="N237">
            <v>0.5</v>
          </cell>
          <cell r="O237">
            <v>0.5</v>
          </cell>
        </row>
        <row r="238">
          <cell r="A238">
            <v>1</v>
          </cell>
          <cell r="B238">
            <v>1</v>
          </cell>
          <cell r="M238">
            <v>3</v>
          </cell>
          <cell r="N238">
            <v>0.33573429371748703</v>
          </cell>
          <cell r="O238">
            <v>0.33213285314125651</v>
          </cell>
          <cell r="P238">
            <v>0.33213285314125651</v>
          </cell>
        </row>
        <row r="239">
          <cell r="A239">
            <v>2</v>
          </cell>
          <cell r="B239">
            <v>0.5</v>
          </cell>
          <cell r="C239">
            <v>0.5</v>
          </cell>
          <cell r="M239">
            <v>4</v>
          </cell>
          <cell r="N239">
            <v>0.47378395451674032</v>
          </cell>
          <cell r="O239">
            <v>0.17666877237313119</v>
          </cell>
          <cell r="P239">
            <v>0.17477363655506423</v>
          </cell>
          <cell r="Q239">
            <v>0.17477363655506423</v>
          </cell>
        </row>
        <row r="240">
          <cell r="A240">
            <v>3</v>
          </cell>
          <cell r="B240">
            <v>0.2393980848153214</v>
          </cell>
          <cell r="C240">
            <v>0.38030095759233923</v>
          </cell>
          <cell r="D240">
            <v>0.38030095759233923</v>
          </cell>
          <cell r="M240">
            <v>5</v>
          </cell>
          <cell r="N240">
            <v>0.44430142756845309</v>
          </cell>
          <cell r="O240">
            <v>0.26328106716592559</v>
          </cell>
          <cell r="P240">
            <v>9.8174584600982925E-2</v>
          </cell>
          <cell r="Q240">
            <v>9.712146033231922E-2</v>
          </cell>
          <cell r="R240">
            <v>9.712146033231922E-2</v>
          </cell>
        </row>
        <row r="241">
          <cell r="A241">
            <v>4</v>
          </cell>
          <cell r="B241">
            <v>0.25064069707842129</v>
          </cell>
          <cell r="C241">
            <v>0.17939518195797025</v>
          </cell>
          <cell r="D241">
            <v>0.28498206048180424</v>
          </cell>
          <cell r="E241">
            <v>0.28498206048180424</v>
          </cell>
          <cell r="M241">
            <v>6</v>
          </cell>
          <cell r="N241">
            <v>0.1088633993743483</v>
          </cell>
          <cell r="O241">
            <v>0.39593326381647553</v>
          </cell>
          <cell r="P241">
            <v>0.23461939520333686</v>
          </cell>
          <cell r="Q241">
            <v>8.7486965589155391E-2</v>
          </cell>
          <cell r="R241">
            <v>8.6548488008342042E-2</v>
          </cell>
          <cell r="S241">
            <v>8.6548488008342042E-2</v>
          </cell>
        </row>
        <row r="242">
          <cell r="A242">
            <v>5</v>
          </cell>
          <cell r="B242">
            <v>2.4500000000000001E-2</v>
          </cell>
          <cell r="C242">
            <v>0.2445</v>
          </cell>
          <cell r="D242">
            <v>0.17499999999999999</v>
          </cell>
          <cell r="E242">
            <v>0.27800000000000002</v>
          </cell>
          <cell r="F242">
            <v>0.27800000000000002</v>
          </cell>
          <cell r="M242">
            <v>7</v>
          </cell>
          <cell r="N242">
            <v>4.1000000000000002E-2</v>
          </cell>
          <cell r="O242">
            <v>0.10440000000000001</v>
          </cell>
          <cell r="P242">
            <v>0.37969999999999998</v>
          </cell>
          <cell r="Q242">
            <v>0.22500000000000001</v>
          </cell>
          <cell r="R242">
            <v>8.3900000000000002E-2</v>
          </cell>
          <cell r="S242">
            <v>8.3000000000000004E-2</v>
          </cell>
          <cell r="T242">
            <v>8.3000000000000004E-2</v>
          </cell>
        </row>
      </sheetData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A Mquip"/>
      <sheetName val="EECC"/>
      <sheetName val="Summary"/>
      <sheetName val="Doyle"/>
      <sheetName val="Turbine Detail"/>
      <sheetName val="IDC"/>
      <sheetName val="Invoice Detail"/>
      <sheetName val="InvDetail_InceptiontoDate"/>
      <sheetName val="LEC Burners"/>
      <sheetName val="WO_Recon"/>
      <sheetName val="Non_WO_costs"/>
      <sheetName val="To Update"/>
    </sheetNames>
    <sheetDataSet>
      <sheetData sheetId="0"/>
      <sheetData sheetId="1"/>
      <sheetData sheetId="2"/>
      <sheetData sheetId="3">
        <row r="4">
          <cell r="Q4" t="str">
            <v>as of 02/11/00</v>
          </cell>
        </row>
      </sheetData>
      <sheetData sheetId="4"/>
      <sheetData sheetId="5"/>
      <sheetData sheetId="6">
        <row r="20">
          <cell r="J20">
            <v>176250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A Mquip"/>
      <sheetName val="EECC"/>
      <sheetName val="Summary"/>
      <sheetName val="Doyle"/>
      <sheetName val="Turbine Detail"/>
      <sheetName val="IDC"/>
      <sheetName val="Invoice Detail"/>
      <sheetName val="InvDetail_InceptiontoDate"/>
      <sheetName val="LEC Burners"/>
      <sheetName val="WO_Recon"/>
      <sheetName val="Non_WO_costs"/>
      <sheetName val="To Update"/>
    </sheetNames>
    <sheetDataSet>
      <sheetData sheetId="0"/>
      <sheetData sheetId="1"/>
      <sheetData sheetId="2"/>
      <sheetData sheetId="3"/>
      <sheetData sheetId="4">
        <row r="4">
          <cell r="M4" t="str">
            <v>Actuals</v>
          </cell>
          <cell r="O4" t="str">
            <v>Actuals</v>
          </cell>
          <cell r="Q4" t="str">
            <v>Actuals</v>
          </cell>
          <cell r="S4" t="str">
            <v>Actuals</v>
          </cell>
          <cell r="U4" t="str">
            <v>Actuals</v>
          </cell>
          <cell r="W4" t="str">
            <v>Actuals</v>
          </cell>
          <cell r="Y4" t="str">
            <v>Actuals</v>
          </cell>
          <cell r="AA4" t="str">
            <v>Actuals</v>
          </cell>
          <cell r="AC4" t="str">
            <v>Actuals</v>
          </cell>
          <cell r="AE4" t="str">
            <v>Actuals</v>
          </cell>
          <cell r="AM4" t="str">
            <v>Anticipated</v>
          </cell>
        </row>
        <row r="5">
          <cell r="K5" t="str">
            <v>Actuals to Date</v>
          </cell>
          <cell r="M5" t="str">
            <v>(Mo-to-date)</v>
          </cell>
          <cell r="O5" t="str">
            <v>(Mo-to-date)</v>
          </cell>
          <cell r="Q5" t="str">
            <v>(Mo-to-date)</v>
          </cell>
          <cell r="S5" t="str">
            <v>(Mo-to-date)</v>
          </cell>
          <cell r="U5" t="str">
            <v>(Mo-to-date)</v>
          </cell>
          <cell r="W5" t="str">
            <v>(Mo-to-date)</v>
          </cell>
          <cell r="Y5" t="str">
            <v>(Mo-to-date)</v>
          </cell>
          <cell r="AA5" t="str">
            <v>(Mo-to-date)</v>
          </cell>
          <cell r="AC5" t="str">
            <v>(Mo-to-date)</v>
          </cell>
          <cell r="AE5" t="str">
            <v>(Mo-to-date)</v>
          </cell>
          <cell r="AM5" t="str">
            <v>Increase /</v>
          </cell>
        </row>
        <row r="6">
          <cell r="K6" t="str">
            <v>12/31/98</v>
          </cell>
          <cell r="M6" t="str">
            <v>01/31/99</v>
          </cell>
          <cell r="O6" t="str">
            <v>02/28/99</v>
          </cell>
          <cell r="Q6" t="str">
            <v>03/31/99</v>
          </cell>
          <cell r="S6" t="str">
            <v>04/30/99</v>
          </cell>
          <cell r="U6" t="str">
            <v>05/31/99</v>
          </cell>
          <cell r="W6" t="str">
            <v>06/30/99</v>
          </cell>
          <cell r="Y6" t="str">
            <v>07/31/99</v>
          </cell>
          <cell r="AA6" t="str">
            <v>08/31/99</v>
          </cell>
          <cell r="AC6" t="str">
            <v>09/30/99</v>
          </cell>
          <cell r="AE6" t="str">
            <v>10/31/99</v>
          </cell>
          <cell r="AM6" t="str">
            <v>(Savings)</v>
          </cell>
        </row>
        <row r="7">
          <cell r="AM7" t="str">
            <v>as of 02/25/00</v>
          </cell>
        </row>
        <row r="9">
          <cell r="C9" t="str">
            <v>Kepco</v>
          </cell>
          <cell r="K9">
            <v>21150000</v>
          </cell>
          <cell r="M9">
            <v>2196801.2999999998</v>
          </cell>
          <cell r="O9">
            <v>0</v>
          </cell>
          <cell r="W9">
            <v>0</v>
          </cell>
          <cell r="Y9">
            <v>0</v>
          </cell>
          <cell r="AA9">
            <v>0</v>
          </cell>
          <cell r="AC9">
            <v>0</v>
          </cell>
          <cell r="AE9">
            <v>0</v>
          </cell>
        </row>
        <row r="10">
          <cell r="C10" t="str">
            <v>IBC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  <cell r="AA10">
            <v>0</v>
          </cell>
          <cell r="AC10">
            <v>0</v>
          </cell>
          <cell r="AE10">
            <v>0</v>
          </cell>
          <cell r="AM10">
            <v>0</v>
          </cell>
        </row>
        <row r="11">
          <cell r="C11" t="str">
            <v>IBC</v>
          </cell>
          <cell r="K11">
            <v>0</v>
          </cell>
          <cell r="M11">
            <v>2067105.1800000002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273433.65000000002</v>
          </cell>
          <cell r="Y11">
            <v>0</v>
          </cell>
          <cell r="AA11">
            <v>0</v>
          </cell>
          <cell r="AC11">
            <v>0</v>
          </cell>
          <cell r="AE11">
            <v>0</v>
          </cell>
          <cell r="AM11">
            <v>0</v>
          </cell>
        </row>
        <row r="12">
          <cell r="C12" t="str">
            <v>PS</v>
          </cell>
          <cell r="U12">
            <v>2257866.41</v>
          </cell>
          <cell r="W12">
            <v>256779.48999999993</v>
          </cell>
          <cell r="Y12">
            <v>-432926.73</v>
          </cell>
          <cell r="AA12">
            <v>1119216.99</v>
          </cell>
          <cell r="AC12">
            <v>907081.9600000002</v>
          </cell>
          <cell r="AE12">
            <v>3742746.9899999998</v>
          </cell>
        </row>
        <row r="13">
          <cell r="C13" t="str">
            <v>PS</v>
          </cell>
          <cell r="K13">
            <v>0</v>
          </cell>
          <cell r="M13">
            <v>0</v>
          </cell>
          <cell r="O13">
            <v>3055146.4</v>
          </cell>
          <cell r="Q13">
            <v>0</v>
          </cell>
          <cell r="S13">
            <v>2444117</v>
          </cell>
          <cell r="U13">
            <v>0</v>
          </cell>
          <cell r="W13">
            <v>0</v>
          </cell>
          <cell r="Y13">
            <v>-1531631.9</v>
          </cell>
          <cell r="AA13">
            <v>0</v>
          </cell>
          <cell r="AC13">
            <v>0</v>
          </cell>
          <cell r="AE13">
            <v>0</v>
          </cell>
          <cell r="AM13">
            <v>0</v>
          </cell>
        </row>
        <row r="14">
          <cell r="C14" t="str">
            <v>GE</v>
          </cell>
          <cell r="K14">
            <v>0</v>
          </cell>
          <cell r="M14">
            <v>0</v>
          </cell>
          <cell r="O14">
            <v>0</v>
          </cell>
          <cell r="Q14">
            <v>1650000</v>
          </cell>
          <cell r="S14">
            <v>370000</v>
          </cell>
          <cell r="U14">
            <v>2132000</v>
          </cell>
          <cell r="W14">
            <v>2132000</v>
          </cell>
          <cell r="Y14">
            <v>2132000</v>
          </cell>
          <cell r="AA14">
            <v>2132000</v>
          </cell>
          <cell r="AC14">
            <v>2132000</v>
          </cell>
          <cell r="AE14">
            <v>2132000</v>
          </cell>
          <cell r="AM14">
            <v>0</v>
          </cell>
        </row>
        <row r="15">
          <cell r="C15" t="str">
            <v>GE</v>
          </cell>
          <cell r="S15">
            <v>0</v>
          </cell>
        </row>
        <row r="16">
          <cell r="C16" t="str">
            <v>GE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  <cell r="AM16">
            <v>0</v>
          </cell>
        </row>
        <row r="18">
          <cell r="K18">
            <v>0</v>
          </cell>
          <cell r="M18">
            <v>0</v>
          </cell>
          <cell r="Q18">
            <v>0</v>
          </cell>
          <cell r="U18">
            <v>0</v>
          </cell>
          <cell r="W18">
            <v>0</v>
          </cell>
          <cell r="Y18">
            <v>0</v>
          </cell>
          <cell r="AC18">
            <v>10132</v>
          </cell>
          <cell r="AE18">
            <v>52750</v>
          </cell>
          <cell r="AM18">
            <v>0</v>
          </cell>
        </row>
        <row r="20">
          <cell r="K20">
            <v>21150000</v>
          </cell>
          <cell r="M20">
            <v>4263906.4800000004</v>
          </cell>
          <cell r="O20">
            <v>3055146.4</v>
          </cell>
          <cell r="Q20">
            <v>1650000</v>
          </cell>
          <cell r="S20">
            <v>2814117</v>
          </cell>
          <cell r="U20">
            <v>4389866.41</v>
          </cell>
          <cell r="W20">
            <v>2662213.1399999997</v>
          </cell>
          <cell r="Y20">
            <v>167441.37000000011</v>
          </cell>
          <cell r="AA20">
            <v>3251216.99</v>
          </cell>
          <cell r="AC20">
            <v>3049213.96</v>
          </cell>
          <cell r="AE20">
            <v>5927496.9900000002</v>
          </cell>
          <cell r="AM20">
            <v>0</v>
          </cell>
        </row>
        <row r="22"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M22">
            <v>0</v>
          </cell>
        </row>
        <row r="23"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  <cell r="AM23">
            <v>0</v>
          </cell>
        </row>
        <row r="24"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M24">
            <v>0</v>
          </cell>
        </row>
        <row r="25"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0</v>
          </cell>
          <cell r="AM25">
            <v>0</v>
          </cell>
        </row>
        <row r="26"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  <cell r="AM26">
            <v>0</v>
          </cell>
        </row>
        <row r="27"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  <cell r="AM27">
            <v>0</v>
          </cell>
        </row>
        <row r="28"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  <cell r="AM28">
            <v>0</v>
          </cell>
        </row>
        <row r="29"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  <cell r="AM29">
            <v>0</v>
          </cell>
        </row>
        <row r="30"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C30">
            <v>0</v>
          </cell>
          <cell r="AE30">
            <v>0</v>
          </cell>
          <cell r="AM30">
            <v>0</v>
          </cell>
        </row>
        <row r="32"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0</v>
          </cell>
          <cell r="AM32">
            <v>0</v>
          </cell>
        </row>
        <row r="34">
          <cell r="K34">
            <v>21150000</v>
          </cell>
          <cell r="M34">
            <v>4263906.4800000004</v>
          </cell>
          <cell r="O34">
            <v>3055146.4</v>
          </cell>
          <cell r="Q34">
            <v>1650000</v>
          </cell>
          <cell r="S34">
            <v>2814117</v>
          </cell>
          <cell r="U34">
            <v>4389866.41</v>
          </cell>
          <cell r="W34">
            <v>2662213.1399999997</v>
          </cell>
          <cell r="Y34">
            <v>167441.37000000011</v>
          </cell>
          <cell r="AA34">
            <v>3251216.99</v>
          </cell>
          <cell r="AC34">
            <v>3049213.96</v>
          </cell>
          <cell r="AE34">
            <v>5927496.9900000002</v>
          </cell>
          <cell r="AM34">
            <v>0</v>
          </cell>
        </row>
        <row r="37"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W37">
            <v>0</v>
          </cell>
          <cell r="Y37">
            <v>0</v>
          </cell>
          <cell r="AA37">
            <v>0</v>
          </cell>
          <cell r="AC37">
            <v>0</v>
          </cell>
          <cell r="AE37">
            <v>0</v>
          </cell>
          <cell r="AM37">
            <v>0</v>
          </cell>
        </row>
        <row r="38"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  <cell r="AM38">
            <v>0</v>
          </cell>
        </row>
        <row r="39"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  <cell r="AA39">
            <v>0</v>
          </cell>
          <cell r="AC39">
            <v>0</v>
          </cell>
          <cell r="AE39">
            <v>0</v>
          </cell>
          <cell r="AM39">
            <v>0</v>
          </cell>
        </row>
        <row r="40"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W40">
            <v>0</v>
          </cell>
          <cell r="Y40">
            <v>0</v>
          </cell>
          <cell r="AA40">
            <v>0</v>
          </cell>
          <cell r="AC40">
            <v>0</v>
          </cell>
          <cell r="AE40">
            <v>0</v>
          </cell>
          <cell r="AM40">
            <v>0</v>
          </cell>
        </row>
        <row r="41"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  <cell r="W41">
            <v>0</v>
          </cell>
          <cell r="Y41">
            <v>0</v>
          </cell>
          <cell r="AA41">
            <v>0</v>
          </cell>
          <cell r="AC41">
            <v>0</v>
          </cell>
          <cell r="AE41">
            <v>0</v>
          </cell>
          <cell r="AM41">
            <v>0</v>
          </cell>
        </row>
        <row r="42"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W42">
            <v>0</v>
          </cell>
          <cell r="Y42">
            <v>0</v>
          </cell>
          <cell r="AA42">
            <v>0</v>
          </cell>
          <cell r="AC42">
            <v>0</v>
          </cell>
          <cell r="AE42">
            <v>0</v>
          </cell>
          <cell r="AM42">
            <v>0</v>
          </cell>
        </row>
        <row r="44"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  <cell r="W44">
            <v>0</v>
          </cell>
          <cell r="Y44">
            <v>0</v>
          </cell>
          <cell r="AA44">
            <v>0</v>
          </cell>
          <cell r="AC44">
            <v>0</v>
          </cell>
          <cell r="AE44">
            <v>0</v>
          </cell>
          <cell r="AM44">
            <v>0</v>
          </cell>
        </row>
        <row r="48"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C48">
            <v>0</v>
          </cell>
          <cell r="AE48">
            <v>0</v>
          </cell>
        </row>
        <row r="49"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C49">
            <v>0</v>
          </cell>
          <cell r="AE49">
            <v>0</v>
          </cell>
        </row>
        <row r="50"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C50">
            <v>0</v>
          </cell>
          <cell r="AE50">
            <v>0</v>
          </cell>
        </row>
        <row r="51"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C51">
            <v>0</v>
          </cell>
          <cell r="AE51">
            <v>0</v>
          </cell>
        </row>
        <row r="52"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C52">
            <v>0</v>
          </cell>
          <cell r="AE52">
            <v>0</v>
          </cell>
        </row>
        <row r="53"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C53">
            <v>0</v>
          </cell>
          <cell r="AE53">
            <v>0</v>
          </cell>
        </row>
        <row r="54"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C54">
            <v>0</v>
          </cell>
          <cell r="AE54">
            <v>0</v>
          </cell>
        </row>
        <row r="55"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C55">
            <v>0</v>
          </cell>
          <cell r="AE55">
            <v>0</v>
          </cell>
        </row>
        <row r="56"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C56">
            <v>0</v>
          </cell>
          <cell r="AE56">
            <v>0</v>
          </cell>
        </row>
        <row r="57"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C57">
            <v>0</v>
          </cell>
          <cell r="AE57">
            <v>0</v>
          </cell>
        </row>
        <row r="58"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C58">
            <v>0</v>
          </cell>
          <cell r="AE58">
            <v>0</v>
          </cell>
        </row>
        <row r="59"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C59">
            <v>0</v>
          </cell>
          <cell r="AE59">
            <v>0</v>
          </cell>
        </row>
        <row r="60"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C60">
            <v>0</v>
          </cell>
          <cell r="AE60">
            <v>0</v>
          </cell>
        </row>
        <row r="61"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C61">
            <v>0</v>
          </cell>
          <cell r="AE61">
            <v>0</v>
          </cell>
        </row>
        <row r="62"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L62">
            <v>0</v>
          </cell>
          <cell r="AM62">
            <v>0</v>
          </cell>
        </row>
        <row r="65"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C65">
            <v>0</v>
          </cell>
          <cell r="AE65">
            <v>0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C66">
            <v>0</v>
          </cell>
          <cell r="AE66">
            <v>0</v>
          </cell>
        </row>
        <row r="67"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C67">
            <v>0</v>
          </cell>
          <cell r="AE67">
            <v>0</v>
          </cell>
        </row>
        <row r="68"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C68">
            <v>0</v>
          </cell>
          <cell r="AE68">
            <v>0</v>
          </cell>
        </row>
        <row r="69"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C69">
            <v>0</v>
          </cell>
          <cell r="AE69">
            <v>0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C70">
            <v>0</v>
          </cell>
          <cell r="AE70">
            <v>0</v>
          </cell>
        </row>
        <row r="71"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C71">
            <v>0</v>
          </cell>
          <cell r="AE71">
            <v>0</v>
          </cell>
        </row>
        <row r="72"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C72">
            <v>0</v>
          </cell>
          <cell r="AE72">
            <v>0</v>
          </cell>
        </row>
        <row r="73"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C73">
            <v>0</v>
          </cell>
          <cell r="AE73">
            <v>0</v>
          </cell>
        </row>
        <row r="74"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C74">
            <v>0</v>
          </cell>
          <cell r="AE74">
            <v>0</v>
          </cell>
        </row>
        <row r="75"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C75">
            <v>0</v>
          </cell>
          <cell r="AE75">
            <v>0</v>
          </cell>
        </row>
        <row r="76"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C76">
            <v>0</v>
          </cell>
          <cell r="AE76">
            <v>0</v>
          </cell>
        </row>
        <row r="77"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C77">
            <v>0</v>
          </cell>
          <cell r="AE77">
            <v>0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C78">
            <v>0</v>
          </cell>
          <cell r="AE78">
            <v>0</v>
          </cell>
        </row>
        <row r="79"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C79">
            <v>0</v>
          </cell>
          <cell r="AE79">
            <v>0</v>
          </cell>
        </row>
        <row r="80"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C80">
            <v>0</v>
          </cell>
          <cell r="AE80">
            <v>0</v>
          </cell>
        </row>
        <row r="81"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C81">
            <v>0</v>
          </cell>
          <cell r="AE81">
            <v>0</v>
          </cell>
        </row>
        <row r="82"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C82">
            <v>0</v>
          </cell>
          <cell r="AE82">
            <v>0</v>
          </cell>
        </row>
        <row r="83"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C83">
            <v>0</v>
          </cell>
          <cell r="AE83">
            <v>0</v>
          </cell>
        </row>
        <row r="84"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C84">
            <v>0</v>
          </cell>
          <cell r="AE84">
            <v>0</v>
          </cell>
        </row>
        <row r="85"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C85">
            <v>0</v>
          </cell>
          <cell r="AE85">
            <v>0</v>
          </cell>
        </row>
        <row r="86"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C86">
            <v>0</v>
          </cell>
          <cell r="AE86">
            <v>0</v>
          </cell>
        </row>
        <row r="87"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C87">
            <v>0</v>
          </cell>
          <cell r="AE87">
            <v>0</v>
          </cell>
        </row>
        <row r="88"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L88">
            <v>0</v>
          </cell>
          <cell r="AM88">
            <v>0</v>
          </cell>
        </row>
        <row r="91"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E91">
            <v>0</v>
          </cell>
        </row>
        <row r="92"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L92">
            <v>0</v>
          </cell>
          <cell r="AM92">
            <v>0</v>
          </cell>
        </row>
        <row r="95"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C95">
            <v>0</v>
          </cell>
          <cell r="AE95">
            <v>0</v>
          </cell>
        </row>
        <row r="96"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C96">
            <v>0</v>
          </cell>
          <cell r="AE96">
            <v>0</v>
          </cell>
        </row>
        <row r="97"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C97">
            <v>0</v>
          </cell>
          <cell r="AE97">
            <v>0</v>
          </cell>
        </row>
        <row r="98"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L98">
            <v>0</v>
          </cell>
          <cell r="AM98">
            <v>0</v>
          </cell>
        </row>
        <row r="101"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C101">
            <v>0</v>
          </cell>
          <cell r="AE101">
            <v>0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C102">
            <v>0</v>
          </cell>
          <cell r="AE102">
            <v>0</v>
          </cell>
        </row>
        <row r="103"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C103">
            <v>0</v>
          </cell>
          <cell r="AE103">
            <v>0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L104">
            <v>0</v>
          </cell>
          <cell r="AM104">
            <v>0</v>
          </cell>
        </row>
        <row r="107"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C107">
            <v>0</v>
          </cell>
          <cell r="AE107">
            <v>0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C108">
            <v>0</v>
          </cell>
          <cell r="AE108">
            <v>0</v>
          </cell>
        </row>
        <row r="109"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C109">
            <v>0</v>
          </cell>
          <cell r="AE109">
            <v>0</v>
          </cell>
        </row>
        <row r="110"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L110">
            <v>0</v>
          </cell>
          <cell r="AM110">
            <v>0</v>
          </cell>
        </row>
        <row r="113"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C113">
            <v>0</v>
          </cell>
          <cell r="AE113">
            <v>0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C114">
            <v>0</v>
          </cell>
          <cell r="AE114">
            <v>0</v>
          </cell>
        </row>
        <row r="115"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L115">
            <v>0</v>
          </cell>
          <cell r="AM115">
            <v>0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C118">
            <v>0</v>
          </cell>
          <cell r="AE118">
            <v>0</v>
          </cell>
        </row>
        <row r="119"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C119">
            <v>0</v>
          </cell>
          <cell r="AE119">
            <v>0</v>
          </cell>
        </row>
        <row r="120"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L120">
            <v>0</v>
          </cell>
          <cell r="AM120">
            <v>0</v>
          </cell>
        </row>
        <row r="122"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C122">
            <v>0</v>
          </cell>
          <cell r="AE122">
            <v>0</v>
          </cell>
        </row>
        <row r="124"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C124">
            <v>0</v>
          </cell>
          <cell r="AE124">
            <v>0</v>
          </cell>
        </row>
        <row r="127"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C127">
            <v>0</v>
          </cell>
          <cell r="AE127">
            <v>0</v>
          </cell>
        </row>
        <row r="128"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C128">
            <v>0</v>
          </cell>
          <cell r="AE128">
            <v>0</v>
          </cell>
        </row>
        <row r="129"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L129">
            <v>0</v>
          </cell>
          <cell r="AM129">
            <v>0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C132">
            <v>0</v>
          </cell>
          <cell r="AE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C133">
            <v>0</v>
          </cell>
          <cell r="AE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L134">
            <v>0</v>
          </cell>
          <cell r="AM134">
            <v>0</v>
          </cell>
        </row>
        <row r="136"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C136">
            <v>0</v>
          </cell>
          <cell r="AE136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</row>
        <row r="140"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</row>
        <row r="141"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L141">
            <v>0</v>
          </cell>
          <cell r="AM141">
            <v>0</v>
          </cell>
        </row>
        <row r="144"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C144">
            <v>0</v>
          </cell>
          <cell r="AE144">
            <v>0</v>
          </cell>
        </row>
        <row r="145"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C145">
            <v>0</v>
          </cell>
          <cell r="AE145">
            <v>0</v>
          </cell>
        </row>
        <row r="146"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L146">
            <v>0</v>
          </cell>
          <cell r="AM146">
            <v>0</v>
          </cell>
        </row>
        <row r="148"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C148">
            <v>0</v>
          </cell>
          <cell r="AE148">
            <v>0</v>
          </cell>
        </row>
        <row r="151"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C151">
            <v>0</v>
          </cell>
          <cell r="AE151">
            <v>0</v>
          </cell>
        </row>
        <row r="152"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C152">
            <v>0</v>
          </cell>
          <cell r="AE152">
            <v>0</v>
          </cell>
        </row>
        <row r="153"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C153">
            <v>0</v>
          </cell>
          <cell r="AE153">
            <v>0</v>
          </cell>
        </row>
        <row r="154"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L154">
            <v>0</v>
          </cell>
          <cell r="AM154">
            <v>0</v>
          </cell>
        </row>
        <row r="156"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J156">
            <v>0</v>
          </cell>
          <cell r="AL156">
            <v>0</v>
          </cell>
          <cell r="AM156">
            <v>0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</row>
        <row r="160"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</row>
        <row r="164"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</row>
        <row r="168"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J168">
            <v>0</v>
          </cell>
          <cell r="AL168">
            <v>0</v>
          </cell>
          <cell r="AM168">
            <v>0</v>
          </cell>
        </row>
        <row r="170">
          <cell r="K170">
            <v>21150000</v>
          </cell>
          <cell r="L170">
            <v>0</v>
          </cell>
          <cell r="M170">
            <v>4263906.4800000004</v>
          </cell>
          <cell r="N170">
            <v>0</v>
          </cell>
          <cell r="O170">
            <v>3055146.4</v>
          </cell>
          <cell r="P170">
            <v>0</v>
          </cell>
          <cell r="Q170">
            <v>1650000</v>
          </cell>
          <cell r="R170">
            <v>0</v>
          </cell>
          <cell r="S170">
            <v>2814117</v>
          </cell>
          <cell r="T170">
            <v>0</v>
          </cell>
          <cell r="U170">
            <v>4389866.41</v>
          </cell>
          <cell r="V170">
            <v>0</v>
          </cell>
          <cell r="W170">
            <v>2662213.1399999997</v>
          </cell>
          <cell r="X170">
            <v>0</v>
          </cell>
          <cell r="Y170">
            <v>167441.37000000011</v>
          </cell>
          <cell r="Z170">
            <v>0</v>
          </cell>
          <cell r="AA170">
            <v>3251216.99</v>
          </cell>
          <cell r="AB170">
            <v>0</v>
          </cell>
          <cell r="AC170">
            <v>3049213.96</v>
          </cell>
          <cell r="AD170">
            <v>0</v>
          </cell>
          <cell r="AE170">
            <v>5927496.9900000002</v>
          </cell>
          <cell r="AL170">
            <v>0</v>
          </cell>
          <cell r="AM170">
            <v>0</v>
          </cell>
        </row>
        <row r="172">
          <cell r="K172">
            <v>0</v>
          </cell>
          <cell r="M172">
            <v>0</v>
          </cell>
          <cell r="O172">
            <v>0</v>
          </cell>
          <cell r="Q172">
            <v>5000</v>
          </cell>
          <cell r="S172">
            <v>5000</v>
          </cell>
          <cell r="U172">
            <v>5000</v>
          </cell>
          <cell r="W172">
            <v>0</v>
          </cell>
          <cell r="Y172">
            <v>0</v>
          </cell>
          <cell r="AC172">
            <v>0</v>
          </cell>
          <cell r="AE172">
            <v>0</v>
          </cell>
          <cell r="AM172">
            <v>0</v>
          </cell>
        </row>
        <row r="175">
          <cell r="K175">
            <v>45000</v>
          </cell>
          <cell r="M175">
            <v>0</v>
          </cell>
          <cell r="O175">
            <v>0</v>
          </cell>
          <cell r="Q175">
            <v>0</v>
          </cell>
          <cell r="S175">
            <v>16000</v>
          </cell>
          <cell r="U175">
            <v>0</v>
          </cell>
          <cell r="W175">
            <v>0</v>
          </cell>
          <cell r="Y175">
            <v>322565.77</v>
          </cell>
          <cell r="AA175">
            <v>-156519.93</v>
          </cell>
          <cell r="AC175">
            <v>0</v>
          </cell>
          <cell r="AE175">
            <v>16000</v>
          </cell>
          <cell r="AM175">
            <v>0</v>
          </cell>
        </row>
        <row r="176">
          <cell r="K176">
            <v>0</v>
          </cell>
          <cell r="M176">
            <v>0</v>
          </cell>
          <cell r="O176">
            <v>0</v>
          </cell>
          <cell r="Q176">
            <v>0</v>
          </cell>
          <cell r="S176">
            <v>0</v>
          </cell>
          <cell r="U176">
            <v>0</v>
          </cell>
          <cell r="W176">
            <v>0</v>
          </cell>
          <cell r="Y176">
            <v>0</v>
          </cell>
          <cell r="AA176">
            <v>0</v>
          </cell>
          <cell r="AC176">
            <v>0</v>
          </cell>
          <cell r="AE176">
            <v>0</v>
          </cell>
          <cell r="AM176">
            <v>0</v>
          </cell>
        </row>
        <row r="177">
          <cell r="K177">
            <v>0</v>
          </cell>
          <cell r="M177">
            <v>0</v>
          </cell>
          <cell r="O177">
            <v>0</v>
          </cell>
          <cell r="Q177">
            <v>0</v>
          </cell>
          <cell r="S177">
            <v>0</v>
          </cell>
          <cell r="U177">
            <v>0</v>
          </cell>
          <cell r="W177">
            <v>0</v>
          </cell>
          <cell r="Y177">
            <v>0</v>
          </cell>
          <cell r="AA177">
            <v>0</v>
          </cell>
          <cell r="AC177">
            <v>0</v>
          </cell>
          <cell r="AE177">
            <v>0</v>
          </cell>
          <cell r="AM177">
            <v>0</v>
          </cell>
        </row>
        <row r="179">
          <cell r="K179">
            <v>45000</v>
          </cell>
          <cell r="M179">
            <v>0</v>
          </cell>
          <cell r="O179">
            <v>0</v>
          </cell>
          <cell r="Q179">
            <v>0</v>
          </cell>
          <cell r="S179">
            <v>16000</v>
          </cell>
          <cell r="U179">
            <v>0</v>
          </cell>
          <cell r="W179">
            <v>0</v>
          </cell>
          <cell r="Y179">
            <v>322565.77</v>
          </cell>
          <cell r="AA179">
            <v>-156519.93</v>
          </cell>
          <cell r="AC179">
            <v>0</v>
          </cell>
          <cell r="AE179">
            <v>16000</v>
          </cell>
          <cell r="AM179">
            <v>0</v>
          </cell>
        </row>
        <row r="182">
          <cell r="K182">
            <v>0</v>
          </cell>
          <cell r="M182">
            <v>0</v>
          </cell>
          <cell r="Q182">
            <v>7006.62</v>
          </cell>
          <cell r="S182">
            <v>0</v>
          </cell>
          <cell r="U182">
            <v>33128.17</v>
          </cell>
          <cell r="W182">
            <v>0</v>
          </cell>
          <cell r="Y182">
            <v>0</v>
          </cell>
          <cell r="AA182">
            <v>969.25</v>
          </cell>
          <cell r="AC182">
            <v>0</v>
          </cell>
          <cell r="AE182">
            <v>1848.15</v>
          </cell>
          <cell r="AM182">
            <v>0</v>
          </cell>
        </row>
        <row r="183">
          <cell r="K183">
            <v>0</v>
          </cell>
          <cell r="M183">
            <v>0</v>
          </cell>
          <cell r="O183">
            <v>3168.79</v>
          </cell>
          <cell r="Q183">
            <v>9937.5</v>
          </cell>
          <cell r="S183">
            <v>0</v>
          </cell>
          <cell r="U183">
            <v>10765.92</v>
          </cell>
          <cell r="W183">
            <v>10111.379999999999</v>
          </cell>
          <cell r="Y183">
            <v>0</v>
          </cell>
          <cell r="AA183">
            <v>12516.779999999999</v>
          </cell>
          <cell r="AC183">
            <v>3179.36</v>
          </cell>
          <cell r="AE183">
            <v>0</v>
          </cell>
          <cell r="AM183">
            <v>0</v>
          </cell>
        </row>
        <row r="184">
          <cell r="K184">
            <v>0</v>
          </cell>
          <cell r="M184">
            <v>0</v>
          </cell>
          <cell r="O184">
            <v>0</v>
          </cell>
          <cell r="Q184">
            <v>0</v>
          </cell>
          <cell r="S184">
            <v>0</v>
          </cell>
          <cell r="U184">
            <v>0</v>
          </cell>
          <cell r="W184">
            <v>0</v>
          </cell>
          <cell r="Y184">
            <v>0</v>
          </cell>
          <cell r="AA184">
            <v>0</v>
          </cell>
          <cell r="AC184">
            <v>0</v>
          </cell>
          <cell r="AE184">
            <v>0</v>
          </cell>
          <cell r="AM184">
            <v>0</v>
          </cell>
        </row>
        <row r="186">
          <cell r="K186">
            <v>0</v>
          </cell>
          <cell r="M186">
            <v>0</v>
          </cell>
          <cell r="O186">
            <v>3168.79</v>
          </cell>
          <cell r="Q186">
            <v>16944.12</v>
          </cell>
          <cell r="S186">
            <v>0</v>
          </cell>
          <cell r="U186">
            <v>43894.09</v>
          </cell>
          <cell r="W186">
            <v>10111.379999999999</v>
          </cell>
          <cell r="Y186">
            <v>0</v>
          </cell>
          <cell r="AA186">
            <v>13486.029999999999</v>
          </cell>
          <cell r="AC186">
            <v>3179.36</v>
          </cell>
          <cell r="AE186">
            <v>1848.15</v>
          </cell>
          <cell r="AM186">
            <v>0</v>
          </cell>
        </row>
        <row r="188">
          <cell r="K188">
            <v>0</v>
          </cell>
          <cell r="M188">
            <v>0</v>
          </cell>
          <cell r="O188">
            <v>0</v>
          </cell>
          <cell r="Q188">
            <v>0</v>
          </cell>
          <cell r="S188">
            <v>0</v>
          </cell>
          <cell r="U188">
            <v>0</v>
          </cell>
          <cell r="W188">
            <v>0</v>
          </cell>
          <cell r="Y188">
            <v>0</v>
          </cell>
          <cell r="AA188">
            <v>0</v>
          </cell>
          <cell r="AC188">
            <v>0</v>
          </cell>
          <cell r="AE188">
            <v>977990</v>
          </cell>
          <cell r="AM188">
            <v>0</v>
          </cell>
        </row>
        <row r="191">
          <cell r="K191">
            <v>0</v>
          </cell>
          <cell r="M191">
            <v>0</v>
          </cell>
          <cell r="O191">
            <v>0</v>
          </cell>
          <cell r="Q191">
            <v>0</v>
          </cell>
          <cell r="S191">
            <v>0</v>
          </cell>
          <cell r="U191">
            <v>0</v>
          </cell>
          <cell r="W191">
            <v>0</v>
          </cell>
          <cell r="Y191">
            <v>0</v>
          </cell>
          <cell r="AA191">
            <v>0</v>
          </cell>
          <cell r="AC191">
            <v>0</v>
          </cell>
          <cell r="AE191">
            <v>0</v>
          </cell>
          <cell r="AM191">
            <v>0</v>
          </cell>
        </row>
        <row r="192">
          <cell r="K192">
            <v>0</v>
          </cell>
          <cell r="M192">
            <v>0</v>
          </cell>
          <cell r="O192">
            <v>0</v>
          </cell>
          <cell r="Q192">
            <v>0</v>
          </cell>
          <cell r="S192">
            <v>0</v>
          </cell>
          <cell r="U192">
            <v>0</v>
          </cell>
          <cell r="W192">
            <v>0</v>
          </cell>
          <cell r="Y192">
            <v>0</v>
          </cell>
          <cell r="AA192">
            <v>0</v>
          </cell>
          <cell r="AC192">
            <v>0</v>
          </cell>
          <cell r="AE192">
            <v>0</v>
          </cell>
          <cell r="AM192">
            <v>0</v>
          </cell>
        </row>
        <row r="193">
          <cell r="K193">
            <v>0</v>
          </cell>
          <cell r="M193">
            <v>0</v>
          </cell>
          <cell r="O193">
            <v>0</v>
          </cell>
          <cell r="Q193">
            <v>0</v>
          </cell>
          <cell r="S193">
            <v>0</v>
          </cell>
          <cell r="U193">
            <v>0</v>
          </cell>
          <cell r="W193">
            <v>0</v>
          </cell>
          <cell r="Y193">
            <v>0</v>
          </cell>
          <cell r="AA193">
            <v>0</v>
          </cell>
          <cell r="AC193">
            <v>0</v>
          </cell>
          <cell r="AE193">
            <v>0</v>
          </cell>
          <cell r="AM193">
            <v>0</v>
          </cell>
        </row>
        <row r="194">
          <cell r="K194">
            <v>0</v>
          </cell>
          <cell r="M194">
            <v>0</v>
          </cell>
          <cell r="O194">
            <v>0</v>
          </cell>
          <cell r="Q194">
            <v>0</v>
          </cell>
          <cell r="S194">
            <v>0</v>
          </cell>
          <cell r="U194">
            <v>0</v>
          </cell>
          <cell r="W194">
            <v>0</v>
          </cell>
          <cell r="Y194">
            <v>0</v>
          </cell>
          <cell r="AA194">
            <v>0</v>
          </cell>
          <cell r="AC194">
            <v>0</v>
          </cell>
          <cell r="AE194">
            <v>0</v>
          </cell>
          <cell r="AM194">
            <v>0</v>
          </cell>
        </row>
        <row r="196">
          <cell r="K196">
            <v>0</v>
          </cell>
          <cell r="M196">
            <v>0</v>
          </cell>
          <cell r="O196">
            <v>0</v>
          </cell>
          <cell r="Q196">
            <v>0</v>
          </cell>
          <cell r="S196">
            <v>0</v>
          </cell>
          <cell r="U196">
            <v>0</v>
          </cell>
          <cell r="W196">
            <v>0</v>
          </cell>
          <cell r="Y196">
            <v>0</v>
          </cell>
          <cell r="AA196">
            <v>0</v>
          </cell>
          <cell r="AC196">
            <v>0</v>
          </cell>
          <cell r="AE196">
            <v>0</v>
          </cell>
          <cell r="AM196">
            <v>0</v>
          </cell>
        </row>
        <row r="200">
          <cell r="K200">
            <v>0</v>
          </cell>
          <cell r="M200">
            <v>0</v>
          </cell>
          <cell r="O200">
            <v>0</v>
          </cell>
          <cell r="Q200">
            <v>0</v>
          </cell>
          <cell r="S200">
            <v>0</v>
          </cell>
          <cell r="U200">
            <v>0</v>
          </cell>
          <cell r="W200">
            <v>0</v>
          </cell>
          <cell r="Y200">
            <v>0</v>
          </cell>
          <cell r="AA200">
            <v>0</v>
          </cell>
          <cell r="AC200">
            <v>0</v>
          </cell>
          <cell r="AE200">
            <v>0</v>
          </cell>
          <cell r="AM200">
            <v>0</v>
          </cell>
        </row>
        <row r="202">
          <cell r="K202">
            <v>0</v>
          </cell>
          <cell r="M202">
            <v>0</v>
          </cell>
          <cell r="O202">
            <v>0</v>
          </cell>
          <cell r="Q202">
            <v>0</v>
          </cell>
          <cell r="S202">
            <v>0</v>
          </cell>
          <cell r="U202">
            <v>0</v>
          </cell>
          <cell r="W202">
            <v>0</v>
          </cell>
          <cell r="Y202">
            <v>0</v>
          </cell>
          <cell r="AA202">
            <v>0</v>
          </cell>
          <cell r="AC202">
            <v>0</v>
          </cell>
          <cell r="AE202">
            <v>0</v>
          </cell>
          <cell r="AM202">
            <v>0</v>
          </cell>
        </row>
        <row r="204">
          <cell r="K204">
            <v>0</v>
          </cell>
          <cell r="M204">
            <v>0</v>
          </cell>
          <cell r="O204">
            <v>0</v>
          </cell>
          <cell r="Q204">
            <v>0</v>
          </cell>
          <cell r="S204">
            <v>0</v>
          </cell>
          <cell r="U204">
            <v>0</v>
          </cell>
          <cell r="W204">
            <v>0</v>
          </cell>
          <cell r="Y204">
            <v>0</v>
          </cell>
          <cell r="AA204">
            <v>0</v>
          </cell>
          <cell r="AC204">
            <v>0</v>
          </cell>
          <cell r="AE204">
            <v>0</v>
          </cell>
          <cell r="AM204">
            <v>0</v>
          </cell>
        </row>
        <row r="206">
          <cell r="K206">
            <v>0</v>
          </cell>
          <cell r="M206">
            <v>0</v>
          </cell>
          <cell r="O206">
            <v>0</v>
          </cell>
          <cell r="Q206">
            <v>0</v>
          </cell>
          <cell r="W206">
            <v>0</v>
          </cell>
          <cell r="Y206">
            <v>0</v>
          </cell>
          <cell r="AA206">
            <v>0</v>
          </cell>
          <cell r="AC206">
            <v>0</v>
          </cell>
          <cell r="AE206">
            <v>0</v>
          </cell>
          <cell r="AM206">
            <v>0</v>
          </cell>
        </row>
        <row r="208">
          <cell r="K208">
            <v>176250</v>
          </cell>
          <cell r="M208">
            <v>141763</v>
          </cell>
          <cell r="O208">
            <v>159611</v>
          </cell>
          <cell r="Q208">
            <v>184622</v>
          </cell>
          <cell r="S208">
            <v>187002</v>
          </cell>
          <cell r="U208">
            <v>112135</v>
          </cell>
          <cell r="W208">
            <v>226003</v>
          </cell>
          <cell r="Y208">
            <v>218114</v>
          </cell>
          <cell r="AA208">
            <v>230971</v>
          </cell>
          <cell r="AC208">
            <v>250137</v>
          </cell>
          <cell r="AE208">
            <v>268825</v>
          </cell>
          <cell r="AM208">
            <v>0</v>
          </cell>
        </row>
        <row r="210">
          <cell r="K210">
            <v>21371250</v>
          </cell>
          <cell r="L210">
            <v>0</v>
          </cell>
          <cell r="M210">
            <v>4405669.4800000004</v>
          </cell>
          <cell r="N210">
            <v>0</v>
          </cell>
          <cell r="O210">
            <v>3217926.19</v>
          </cell>
          <cell r="P210">
            <v>0</v>
          </cell>
          <cell r="Q210">
            <v>1856566.12</v>
          </cell>
          <cell r="R210">
            <v>0</v>
          </cell>
          <cell r="S210">
            <v>3022119</v>
          </cell>
          <cell r="T210">
            <v>0</v>
          </cell>
          <cell r="U210">
            <v>4550895.5</v>
          </cell>
          <cell r="V210">
            <v>0</v>
          </cell>
          <cell r="W210">
            <v>2898327.5199999996</v>
          </cell>
          <cell r="X210">
            <v>0</v>
          </cell>
          <cell r="Y210">
            <v>708121.14000000013</v>
          </cell>
          <cell r="Z210">
            <v>0</v>
          </cell>
          <cell r="AA210">
            <v>3339154.09</v>
          </cell>
          <cell r="AB210">
            <v>0</v>
          </cell>
          <cell r="AC210">
            <v>3302530.32</v>
          </cell>
          <cell r="AD210">
            <v>0</v>
          </cell>
          <cell r="AE210">
            <v>7192160.1400000006</v>
          </cell>
          <cell r="AF210">
            <v>0</v>
          </cell>
          <cell r="AJ210">
            <v>0</v>
          </cell>
          <cell r="AL210">
            <v>0</v>
          </cell>
          <cell r="AM210">
            <v>0</v>
          </cell>
        </row>
        <row r="214">
          <cell r="K214">
            <v>0</v>
          </cell>
          <cell r="M214">
            <v>0</v>
          </cell>
          <cell r="O214">
            <v>0</v>
          </cell>
          <cell r="Q214">
            <v>0</v>
          </cell>
          <cell r="S214">
            <v>0</v>
          </cell>
          <cell r="U214">
            <v>0</v>
          </cell>
          <cell r="W214">
            <v>0</v>
          </cell>
          <cell r="Y214">
            <v>0</v>
          </cell>
          <cell r="AA214">
            <v>0</v>
          </cell>
          <cell r="AC214">
            <v>0</v>
          </cell>
          <cell r="AE214">
            <v>0</v>
          </cell>
          <cell r="AM214">
            <v>0</v>
          </cell>
        </row>
        <row r="215">
          <cell r="K215">
            <v>0</v>
          </cell>
          <cell r="M215">
            <v>0</v>
          </cell>
          <cell r="O215">
            <v>0</v>
          </cell>
          <cell r="Q215">
            <v>0</v>
          </cell>
          <cell r="S215">
            <v>0</v>
          </cell>
          <cell r="U215">
            <v>0</v>
          </cell>
          <cell r="W215">
            <v>0</v>
          </cell>
          <cell r="Y215">
            <v>0</v>
          </cell>
          <cell r="AA215">
            <v>0</v>
          </cell>
          <cell r="AC215">
            <v>0</v>
          </cell>
          <cell r="AE215">
            <v>0</v>
          </cell>
          <cell r="AM215">
            <v>0</v>
          </cell>
        </row>
        <row r="216">
          <cell r="K216">
            <v>0</v>
          </cell>
          <cell r="M216">
            <v>0</v>
          </cell>
          <cell r="O216">
            <v>0</v>
          </cell>
          <cell r="Q216">
            <v>0</v>
          </cell>
          <cell r="S216">
            <v>0</v>
          </cell>
          <cell r="U216">
            <v>0</v>
          </cell>
          <cell r="W216">
            <v>0</v>
          </cell>
          <cell r="Y216">
            <v>0</v>
          </cell>
          <cell r="AA216">
            <v>0</v>
          </cell>
          <cell r="AC216">
            <v>0</v>
          </cell>
          <cell r="AE216">
            <v>0</v>
          </cell>
          <cell r="AM216">
            <v>0</v>
          </cell>
        </row>
        <row r="217">
          <cell r="K217">
            <v>0</v>
          </cell>
          <cell r="M217">
            <v>0</v>
          </cell>
          <cell r="O217">
            <v>0</v>
          </cell>
          <cell r="Q217">
            <v>0</v>
          </cell>
          <cell r="S217">
            <v>0</v>
          </cell>
          <cell r="U217">
            <v>0</v>
          </cell>
          <cell r="W217">
            <v>0</v>
          </cell>
          <cell r="Y217">
            <v>0</v>
          </cell>
          <cell r="AA217">
            <v>0</v>
          </cell>
          <cell r="AC217">
            <v>0</v>
          </cell>
          <cell r="AE217">
            <v>0</v>
          </cell>
          <cell r="AM217">
            <v>0</v>
          </cell>
        </row>
        <row r="219">
          <cell r="K219">
            <v>0</v>
          </cell>
          <cell r="M219">
            <v>0</v>
          </cell>
          <cell r="O219">
            <v>0</v>
          </cell>
          <cell r="Q219">
            <v>0</v>
          </cell>
          <cell r="S219">
            <v>0</v>
          </cell>
          <cell r="U219">
            <v>0</v>
          </cell>
          <cell r="W219">
            <v>0</v>
          </cell>
          <cell r="Y219">
            <v>0</v>
          </cell>
          <cell r="AA219">
            <v>0</v>
          </cell>
          <cell r="AC219">
            <v>0</v>
          </cell>
          <cell r="AE219">
            <v>0</v>
          </cell>
          <cell r="AM219">
            <v>0</v>
          </cell>
        </row>
        <row r="221">
          <cell r="K221">
            <v>0</v>
          </cell>
          <cell r="M221">
            <v>0</v>
          </cell>
          <cell r="O221">
            <v>0</v>
          </cell>
          <cell r="Q221">
            <v>0</v>
          </cell>
          <cell r="S221">
            <v>0</v>
          </cell>
          <cell r="U221">
            <v>0</v>
          </cell>
          <cell r="W221">
            <v>0</v>
          </cell>
          <cell r="Y221">
            <v>0</v>
          </cell>
          <cell r="AA221">
            <v>0</v>
          </cell>
          <cell r="AC221">
            <v>0</v>
          </cell>
          <cell r="AE221">
            <v>0</v>
          </cell>
          <cell r="AM221">
            <v>0</v>
          </cell>
        </row>
        <row r="224">
          <cell r="K224">
            <v>0</v>
          </cell>
          <cell r="M224">
            <v>0</v>
          </cell>
          <cell r="O224">
            <v>0</v>
          </cell>
          <cell r="Q224">
            <v>0</v>
          </cell>
          <cell r="S224">
            <v>0</v>
          </cell>
          <cell r="U224">
            <v>0</v>
          </cell>
          <cell r="W224">
            <v>0</v>
          </cell>
          <cell r="Y224">
            <v>0</v>
          </cell>
          <cell r="AA224">
            <v>0</v>
          </cell>
          <cell r="AC224">
            <v>0</v>
          </cell>
          <cell r="AE224">
            <v>0</v>
          </cell>
          <cell r="AM224">
            <v>0</v>
          </cell>
        </row>
        <row r="225">
          <cell r="K225">
            <v>0</v>
          </cell>
          <cell r="M225">
            <v>0</v>
          </cell>
          <cell r="O225">
            <v>0</v>
          </cell>
          <cell r="Q225">
            <v>0</v>
          </cell>
          <cell r="S225">
            <v>0</v>
          </cell>
          <cell r="U225">
            <v>0</v>
          </cell>
          <cell r="W225">
            <v>0</v>
          </cell>
          <cell r="Y225">
            <v>0</v>
          </cell>
          <cell r="AA225">
            <v>0</v>
          </cell>
          <cell r="AC225">
            <v>0</v>
          </cell>
          <cell r="AE225">
            <v>0</v>
          </cell>
          <cell r="AM225">
            <v>0</v>
          </cell>
        </row>
        <row r="226">
          <cell r="K226">
            <v>0</v>
          </cell>
          <cell r="M226">
            <v>0</v>
          </cell>
          <cell r="O226">
            <v>0</v>
          </cell>
          <cell r="Q226">
            <v>0</v>
          </cell>
          <cell r="S226">
            <v>0</v>
          </cell>
          <cell r="U226">
            <v>0</v>
          </cell>
          <cell r="W226">
            <v>0</v>
          </cell>
          <cell r="Y226">
            <v>0</v>
          </cell>
          <cell r="AA226">
            <v>0</v>
          </cell>
          <cell r="AC226">
            <v>0</v>
          </cell>
          <cell r="AE226">
            <v>0</v>
          </cell>
          <cell r="AM226">
            <v>0</v>
          </cell>
        </row>
        <row r="227">
          <cell r="K227">
            <v>0</v>
          </cell>
          <cell r="M227">
            <v>0</v>
          </cell>
          <cell r="O227">
            <v>0</v>
          </cell>
          <cell r="Q227">
            <v>0</v>
          </cell>
          <cell r="S227">
            <v>0</v>
          </cell>
          <cell r="U227">
            <v>0</v>
          </cell>
          <cell r="W227">
            <v>0</v>
          </cell>
          <cell r="Y227">
            <v>0</v>
          </cell>
          <cell r="AA227">
            <v>0</v>
          </cell>
          <cell r="AC227">
            <v>0</v>
          </cell>
          <cell r="AE227">
            <v>0</v>
          </cell>
          <cell r="AM227">
            <v>0</v>
          </cell>
        </row>
        <row r="228">
          <cell r="K228">
            <v>0</v>
          </cell>
          <cell r="M228">
            <v>0</v>
          </cell>
          <cell r="O228">
            <v>0</v>
          </cell>
          <cell r="Q228">
            <v>0</v>
          </cell>
          <cell r="S228">
            <v>0</v>
          </cell>
          <cell r="U228">
            <v>0</v>
          </cell>
          <cell r="W228">
            <v>0</v>
          </cell>
          <cell r="Y228">
            <v>0</v>
          </cell>
          <cell r="AA228">
            <v>0</v>
          </cell>
          <cell r="AC228">
            <v>0</v>
          </cell>
          <cell r="AE228">
            <v>0</v>
          </cell>
          <cell r="AM228">
            <v>0</v>
          </cell>
        </row>
        <row r="229">
          <cell r="K229">
            <v>0</v>
          </cell>
          <cell r="M229">
            <v>0</v>
          </cell>
          <cell r="O229">
            <v>0</v>
          </cell>
          <cell r="Q229">
            <v>0</v>
          </cell>
          <cell r="S229">
            <v>0</v>
          </cell>
          <cell r="U229">
            <v>0</v>
          </cell>
          <cell r="W229">
            <v>0</v>
          </cell>
          <cell r="Y229">
            <v>0</v>
          </cell>
          <cell r="AA229">
            <v>0</v>
          </cell>
          <cell r="AC229">
            <v>0</v>
          </cell>
          <cell r="AE229">
            <v>0</v>
          </cell>
          <cell r="AM229">
            <v>0</v>
          </cell>
        </row>
        <row r="230">
          <cell r="K230">
            <v>0</v>
          </cell>
          <cell r="M230">
            <v>0</v>
          </cell>
          <cell r="O230">
            <v>0</v>
          </cell>
          <cell r="Q230">
            <v>0</v>
          </cell>
          <cell r="S230">
            <v>0</v>
          </cell>
          <cell r="U230">
            <v>0</v>
          </cell>
          <cell r="W230">
            <v>0</v>
          </cell>
          <cell r="Y230">
            <v>0</v>
          </cell>
          <cell r="AA230">
            <v>0</v>
          </cell>
          <cell r="AC230">
            <v>0</v>
          </cell>
          <cell r="AE230">
            <v>0</v>
          </cell>
          <cell r="AM230">
            <v>0</v>
          </cell>
        </row>
        <row r="231">
          <cell r="K231">
            <v>0</v>
          </cell>
          <cell r="M231">
            <v>0</v>
          </cell>
          <cell r="O231">
            <v>0</v>
          </cell>
          <cell r="Q231">
            <v>0</v>
          </cell>
          <cell r="S231">
            <v>0</v>
          </cell>
          <cell r="U231">
            <v>0</v>
          </cell>
          <cell r="W231">
            <v>0</v>
          </cell>
          <cell r="Y231">
            <v>0</v>
          </cell>
          <cell r="AA231">
            <v>0</v>
          </cell>
          <cell r="AC231">
            <v>0</v>
          </cell>
          <cell r="AE231">
            <v>0</v>
          </cell>
          <cell r="AM231">
            <v>0</v>
          </cell>
        </row>
        <row r="232">
          <cell r="K232">
            <v>1805.25</v>
          </cell>
          <cell r="M232">
            <v>0</v>
          </cell>
          <cell r="O232">
            <v>1397.02</v>
          </cell>
          <cell r="Q232">
            <v>4883.08</v>
          </cell>
          <cell r="S232">
            <v>7430.27</v>
          </cell>
          <cell r="U232">
            <v>15614.51</v>
          </cell>
          <cell r="W232">
            <v>12657.16</v>
          </cell>
          <cell r="Y232">
            <v>20604.309999999998</v>
          </cell>
          <cell r="AA232">
            <v>1219.95</v>
          </cell>
          <cell r="AC232">
            <v>3244.27</v>
          </cell>
          <cell r="AE232">
            <v>1324.73</v>
          </cell>
          <cell r="AM232">
            <v>0</v>
          </cell>
        </row>
        <row r="234">
          <cell r="K234">
            <v>1805.25</v>
          </cell>
          <cell r="M234">
            <v>0</v>
          </cell>
          <cell r="O234">
            <v>1397.02</v>
          </cell>
          <cell r="Q234">
            <v>4883.08</v>
          </cell>
          <cell r="S234">
            <v>7430.27</v>
          </cell>
          <cell r="U234">
            <v>15614.51</v>
          </cell>
          <cell r="W234">
            <v>12657.16</v>
          </cell>
          <cell r="Y234">
            <v>20604.309999999998</v>
          </cell>
          <cell r="AA234">
            <v>1219.95</v>
          </cell>
          <cell r="AC234">
            <v>3244.27</v>
          </cell>
          <cell r="AE234">
            <v>1324.73</v>
          </cell>
          <cell r="AM234">
            <v>0</v>
          </cell>
        </row>
        <row r="237">
          <cell r="K237">
            <v>21898.53</v>
          </cell>
          <cell r="M237">
            <v>6134.01</v>
          </cell>
          <cell r="O237">
            <v>9917.44</v>
          </cell>
          <cell r="Q237">
            <v>0</v>
          </cell>
          <cell r="S237">
            <v>0</v>
          </cell>
          <cell r="U237">
            <v>43465.95</v>
          </cell>
          <cell r="W237">
            <v>0</v>
          </cell>
          <cell r="Y237">
            <v>0</v>
          </cell>
          <cell r="AA237">
            <v>0</v>
          </cell>
          <cell r="AC237">
            <v>28510.25</v>
          </cell>
          <cell r="AE237">
            <v>0</v>
          </cell>
          <cell r="AM237">
            <v>0</v>
          </cell>
        </row>
        <row r="238">
          <cell r="K238">
            <v>31211.02</v>
          </cell>
          <cell r="M238">
            <v>0</v>
          </cell>
          <cell r="O238">
            <v>0</v>
          </cell>
          <cell r="Q238">
            <v>0</v>
          </cell>
          <cell r="S238">
            <v>0</v>
          </cell>
          <cell r="U238">
            <v>0</v>
          </cell>
          <cell r="W238">
            <v>0</v>
          </cell>
          <cell r="Y238">
            <v>2585.04</v>
          </cell>
          <cell r="AA238">
            <v>0</v>
          </cell>
          <cell r="AC238">
            <v>9442.619999999999</v>
          </cell>
          <cell r="AE238">
            <v>2771.63</v>
          </cell>
          <cell r="AM238">
            <v>0</v>
          </cell>
        </row>
        <row r="239">
          <cell r="K239">
            <v>2705</v>
          </cell>
          <cell r="O239">
            <v>934</v>
          </cell>
          <cell r="U239">
            <v>0</v>
          </cell>
          <cell r="W239">
            <v>-10271.200000000001</v>
          </cell>
          <cell r="AE239">
            <v>0</v>
          </cell>
          <cell r="AM239">
            <v>0</v>
          </cell>
        </row>
        <row r="240">
          <cell r="K240">
            <v>0</v>
          </cell>
          <cell r="M240">
            <v>0</v>
          </cell>
          <cell r="Q240">
            <v>0</v>
          </cell>
          <cell r="S240">
            <v>0</v>
          </cell>
          <cell r="U240">
            <v>0</v>
          </cell>
          <cell r="W240">
            <v>0</v>
          </cell>
          <cell r="Y240">
            <v>0</v>
          </cell>
          <cell r="AA240">
            <v>0</v>
          </cell>
          <cell r="AC240">
            <v>0</v>
          </cell>
          <cell r="AE240">
            <v>0</v>
          </cell>
          <cell r="AM240">
            <v>0</v>
          </cell>
        </row>
        <row r="242">
          <cell r="K242">
            <v>55814.55</v>
          </cell>
          <cell r="M242">
            <v>6134.01</v>
          </cell>
          <cell r="O242">
            <v>10851.44</v>
          </cell>
          <cell r="Q242">
            <v>0</v>
          </cell>
          <cell r="S242">
            <v>0</v>
          </cell>
          <cell r="U242">
            <v>43465.95</v>
          </cell>
          <cell r="W242">
            <v>-10271.200000000001</v>
          </cell>
          <cell r="Y242">
            <v>2585.04</v>
          </cell>
          <cell r="AA242">
            <v>0</v>
          </cell>
          <cell r="AC242">
            <v>37952.869999999995</v>
          </cell>
          <cell r="AE242">
            <v>2771.63</v>
          </cell>
          <cell r="AM242">
            <v>0</v>
          </cell>
        </row>
        <row r="244">
          <cell r="K244">
            <v>0</v>
          </cell>
          <cell r="M244">
            <v>0</v>
          </cell>
          <cell r="O244">
            <v>0</v>
          </cell>
          <cell r="Q244">
            <v>0</v>
          </cell>
          <cell r="S244">
            <v>0</v>
          </cell>
          <cell r="U244">
            <v>0</v>
          </cell>
          <cell r="W244">
            <v>0</v>
          </cell>
          <cell r="Y244">
            <v>0</v>
          </cell>
          <cell r="AA244">
            <v>0</v>
          </cell>
          <cell r="AC244">
            <v>0</v>
          </cell>
          <cell r="AE244">
            <v>0</v>
          </cell>
          <cell r="AM244">
            <v>0</v>
          </cell>
        </row>
        <row r="246">
          <cell r="K246">
            <v>0</v>
          </cell>
          <cell r="M246">
            <v>0</v>
          </cell>
          <cell r="O246">
            <v>0</v>
          </cell>
          <cell r="Q246">
            <v>0</v>
          </cell>
          <cell r="S246">
            <v>0</v>
          </cell>
          <cell r="U246">
            <v>0</v>
          </cell>
          <cell r="W246">
            <v>0</v>
          </cell>
          <cell r="Y246">
            <v>0</v>
          </cell>
          <cell r="AA246">
            <v>0</v>
          </cell>
          <cell r="AC246">
            <v>0</v>
          </cell>
          <cell r="AE246">
            <v>0</v>
          </cell>
          <cell r="AM246">
            <v>0</v>
          </cell>
        </row>
        <row r="248">
          <cell r="K248">
            <v>0</v>
          </cell>
          <cell r="M248">
            <v>0</v>
          </cell>
          <cell r="O248">
            <v>0</v>
          </cell>
          <cell r="Q248">
            <v>0</v>
          </cell>
          <cell r="S248">
            <v>0</v>
          </cell>
          <cell r="U248">
            <v>0</v>
          </cell>
          <cell r="W248">
            <v>0</v>
          </cell>
          <cell r="Y248">
            <v>0</v>
          </cell>
          <cell r="AA248">
            <v>0</v>
          </cell>
          <cell r="AC248">
            <v>0</v>
          </cell>
          <cell r="AE248">
            <v>0</v>
          </cell>
          <cell r="AM248">
            <v>0</v>
          </cell>
        </row>
        <row r="250">
          <cell r="K250">
            <v>57619.8</v>
          </cell>
          <cell r="M250">
            <v>6134.01</v>
          </cell>
          <cell r="O250">
            <v>12248.460000000001</v>
          </cell>
          <cell r="Q250">
            <v>4883.08</v>
          </cell>
          <cell r="S250">
            <v>7430.27</v>
          </cell>
          <cell r="U250">
            <v>59080.46</v>
          </cell>
          <cell r="W250">
            <v>2385.9599999999991</v>
          </cell>
          <cell r="Y250">
            <v>23189.35</v>
          </cell>
          <cell r="AA250">
            <v>1219.95</v>
          </cell>
          <cell r="AC250">
            <v>41197.139999999992</v>
          </cell>
          <cell r="AE250">
            <v>4096.3600000000006</v>
          </cell>
          <cell r="AM250">
            <v>0</v>
          </cell>
        </row>
        <row r="252">
          <cell r="K252">
            <v>21428869.800000001</v>
          </cell>
          <cell r="M252">
            <v>4411803.49</v>
          </cell>
          <cell r="O252">
            <v>3230174.65</v>
          </cell>
          <cell r="Q252">
            <v>1861449.2000000002</v>
          </cell>
          <cell r="S252">
            <v>3029549.27</v>
          </cell>
          <cell r="U252">
            <v>4609975.96</v>
          </cell>
          <cell r="W252">
            <v>2900713.4799999995</v>
          </cell>
          <cell r="Y252">
            <v>731310.49000000011</v>
          </cell>
          <cell r="AA252">
            <v>3340374.04</v>
          </cell>
          <cell r="AC252">
            <v>3343727.46</v>
          </cell>
          <cell r="AE252">
            <v>7196256.5000000009</v>
          </cell>
          <cell r="AM252">
            <v>0</v>
          </cell>
        </row>
        <row r="258">
          <cell r="W258">
            <v>-5000000</v>
          </cell>
        </row>
        <row r="260">
          <cell r="K260">
            <v>21428869.800000001</v>
          </cell>
          <cell r="L260">
            <v>0</v>
          </cell>
          <cell r="M260">
            <v>4411803.49</v>
          </cell>
          <cell r="N260">
            <v>0</v>
          </cell>
          <cell r="O260">
            <v>3230174.65</v>
          </cell>
          <cell r="P260">
            <v>0</v>
          </cell>
          <cell r="Q260">
            <v>1861449.2000000002</v>
          </cell>
          <cell r="R260">
            <v>0</v>
          </cell>
          <cell r="S260">
            <v>3029549.27</v>
          </cell>
          <cell r="T260">
            <v>0</v>
          </cell>
          <cell r="U260">
            <v>4609975.96</v>
          </cell>
          <cell r="V260">
            <v>0</v>
          </cell>
          <cell r="W260">
            <v>-2099286.5200000005</v>
          </cell>
          <cell r="X260">
            <v>0</v>
          </cell>
          <cell r="Y260">
            <v>731310.49000000011</v>
          </cell>
          <cell r="Z260">
            <v>0</v>
          </cell>
          <cell r="AA260">
            <v>3340374.04</v>
          </cell>
          <cell r="AB260">
            <v>0</v>
          </cell>
          <cell r="AC260">
            <v>3343727.46</v>
          </cell>
          <cell r="AD260">
            <v>0</v>
          </cell>
          <cell r="AE260">
            <v>7196256.5000000009</v>
          </cell>
          <cell r="AF260">
            <v>0</v>
          </cell>
          <cell r="AJ260">
            <v>0</v>
          </cell>
          <cell r="AL260">
            <v>0</v>
          </cell>
          <cell r="AM260">
            <v>0</v>
          </cell>
        </row>
        <row r="263"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J263">
            <v>0</v>
          </cell>
          <cell r="AL263">
            <v>0</v>
          </cell>
          <cell r="AM263">
            <v>0</v>
          </cell>
        </row>
        <row r="266">
          <cell r="C266" t="str">
            <v>Mobilization Fee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</row>
        <row r="267">
          <cell r="C267" t="str">
            <v>EI Hourly billing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1425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</row>
        <row r="268">
          <cell r="C268" t="str">
            <v>Other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</row>
        <row r="269"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1425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J269">
            <v>0</v>
          </cell>
          <cell r="AL269">
            <v>0</v>
          </cell>
          <cell r="AM269">
            <v>0</v>
          </cell>
        </row>
        <row r="270">
          <cell r="C270" t="str">
            <v>Subtotal Mobilization of O&amp;M</v>
          </cell>
        </row>
        <row r="271"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</row>
        <row r="273"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</row>
        <row r="275">
          <cell r="K275">
            <v>0</v>
          </cell>
          <cell r="M275">
            <v>0</v>
          </cell>
          <cell r="O275">
            <v>0</v>
          </cell>
          <cell r="Q275">
            <v>0</v>
          </cell>
          <cell r="S275">
            <v>0</v>
          </cell>
          <cell r="U275">
            <v>0</v>
          </cell>
          <cell r="W275">
            <v>0</v>
          </cell>
          <cell r="Y275">
            <v>0</v>
          </cell>
          <cell r="AA275">
            <v>0</v>
          </cell>
          <cell r="AC275">
            <v>0</v>
          </cell>
          <cell r="AE275">
            <v>57410.7</v>
          </cell>
          <cell r="AM275">
            <v>0</v>
          </cell>
        </row>
        <row r="277">
          <cell r="K277">
            <v>0</v>
          </cell>
          <cell r="M277">
            <v>0</v>
          </cell>
          <cell r="O277">
            <v>0</v>
          </cell>
          <cell r="Q277">
            <v>0</v>
          </cell>
          <cell r="S277">
            <v>0</v>
          </cell>
          <cell r="U277">
            <v>0</v>
          </cell>
          <cell r="W277">
            <v>0</v>
          </cell>
          <cell r="Y277">
            <v>0</v>
          </cell>
          <cell r="AA277">
            <v>0</v>
          </cell>
          <cell r="AC277">
            <v>0</v>
          </cell>
          <cell r="AE277">
            <v>0</v>
          </cell>
          <cell r="AM277">
            <v>0</v>
          </cell>
        </row>
        <row r="279">
          <cell r="K279">
            <v>21428869.800000001</v>
          </cell>
          <cell r="L279">
            <v>0</v>
          </cell>
          <cell r="M279">
            <v>4411803.49</v>
          </cell>
          <cell r="N279">
            <v>0</v>
          </cell>
          <cell r="O279">
            <v>3230174.65</v>
          </cell>
          <cell r="P279">
            <v>0</v>
          </cell>
          <cell r="Q279">
            <v>1861449.2000000002</v>
          </cell>
          <cell r="R279">
            <v>0</v>
          </cell>
          <cell r="S279">
            <v>3030974.27</v>
          </cell>
          <cell r="T279">
            <v>0</v>
          </cell>
          <cell r="U279">
            <v>4609975.96</v>
          </cell>
          <cell r="V279">
            <v>0</v>
          </cell>
          <cell r="W279">
            <v>-2099286.5200000005</v>
          </cell>
          <cell r="X279">
            <v>0</v>
          </cell>
          <cell r="Y279">
            <v>731310.49000000011</v>
          </cell>
          <cell r="Z279">
            <v>0</v>
          </cell>
          <cell r="AA279">
            <v>3340374.04</v>
          </cell>
          <cell r="AB279">
            <v>0</v>
          </cell>
          <cell r="AC279">
            <v>3343727.46</v>
          </cell>
          <cell r="AD279">
            <v>0</v>
          </cell>
          <cell r="AE279">
            <v>7253667.2000000011</v>
          </cell>
          <cell r="AF279">
            <v>0</v>
          </cell>
          <cell r="AJ279">
            <v>0</v>
          </cell>
          <cell r="AL279">
            <v>0</v>
          </cell>
          <cell r="AM279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A Mquip"/>
      <sheetName val="EECC"/>
      <sheetName val="Summary"/>
      <sheetName val="Doyle-ENA"/>
      <sheetName val="Turbine Detail"/>
      <sheetName val="IDC"/>
      <sheetName val="Invoice Detail"/>
      <sheetName val="InvDetail_InceptiontoDate"/>
      <sheetName val="LEC Burners"/>
      <sheetName val="WO_Recon"/>
      <sheetName val="Non_WO_costs"/>
      <sheetName val="To Upd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26" sqref="G26"/>
    </sheetView>
  </sheetViews>
  <sheetFormatPr defaultRowHeight="13.2"/>
  <cols>
    <col min="4" max="4" width="3.109375" customWidth="1"/>
    <col min="5" max="5" width="11.88671875" bestFit="1" customWidth="1"/>
    <col min="6" max="6" width="2.5546875" customWidth="1"/>
    <col min="7" max="7" width="11.88671875" bestFit="1" customWidth="1"/>
    <col min="8" max="8" width="2.5546875" customWidth="1"/>
    <col min="9" max="9" width="11.88671875" bestFit="1" customWidth="1"/>
    <col min="10" max="10" width="2.5546875" customWidth="1"/>
    <col min="11" max="11" width="10.88671875" bestFit="1" customWidth="1"/>
  </cols>
  <sheetData>
    <row r="1" spans="1:11" ht="15.6">
      <c r="A1" s="7" t="s">
        <v>352</v>
      </c>
    </row>
    <row r="2" spans="1:11" ht="15.6">
      <c r="A2" s="7" t="s">
        <v>351</v>
      </c>
    </row>
    <row r="4" spans="1:11">
      <c r="A4" s="6" t="s">
        <v>346</v>
      </c>
    </row>
    <row r="6" spans="1:11">
      <c r="A6" t="s">
        <v>343</v>
      </c>
    </row>
    <row r="7" spans="1:11">
      <c r="A7" t="s">
        <v>349</v>
      </c>
    </row>
    <row r="8" spans="1:11">
      <c r="A8" t="s">
        <v>348</v>
      </c>
    </row>
    <row r="11" spans="1:11">
      <c r="A11" s="6" t="s">
        <v>354</v>
      </c>
    </row>
    <row r="12" spans="1:11">
      <c r="A12" s="6"/>
      <c r="E12" s="2" t="s">
        <v>304</v>
      </c>
      <c r="F12" s="31"/>
      <c r="G12" s="2" t="s">
        <v>305</v>
      </c>
      <c r="H12" s="31"/>
      <c r="I12" s="2" t="s">
        <v>303</v>
      </c>
      <c r="K12" s="2" t="s">
        <v>306</v>
      </c>
    </row>
    <row r="13" spans="1:11">
      <c r="A13" s="6"/>
    </row>
    <row r="14" spans="1:11">
      <c r="A14" t="s">
        <v>344</v>
      </c>
      <c r="E14" s="17">
        <v>-310000</v>
      </c>
      <c r="F14" s="17"/>
      <c r="G14" s="17">
        <v>-300000</v>
      </c>
      <c r="H14" s="17"/>
      <c r="I14" s="17">
        <v>-233000</v>
      </c>
      <c r="K14" s="20">
        <f>SUM(E14:I14)</f>
        <v>-843000</v>
      </c>
    </row>
    <row r="15" spans="1:11">
      <c r="A15" t="s">
        <v>345</v>
      </c>
      <c r="E15" s="17">
        <v>-550000</v>
      </c>
      <c r="F15" s="17"/>
      <c r="G15" s="17">
        <v>-550000</v>
      </c>
      <c r="H15" s="17"/>
      <c r="I15" s="17">
        <v>-350000</v>
      </c>
      <c r="K15" s="20">
        <f>SUM(E15:I15)</f>
        <v>-1450000</v>
      </c>
    </row>
    <row r="16" spans="1:11">
      <c r="A16" t="s">
        <v>350</v>
      </c>
      <c r="E16" s="18">
        <v>-200000</v>
      </c>
      <c r="F16" s="17"/>
      <c r="G16" s="18">
        <v>-200000</v>
      </c>
      <c r="H16" s="17"/>
      <c r="I16" s="18">
        <v>-200000</v>
      </c>
      <c r="K16" s="32">
        <f>SUM(E16:I16)</f>
        <v>-600000</v>
      </c>
    </row>
    <row r="17" spans="1:11">
      <c r="E17" s="33"/>
      <c r="F17" s="17"/>
      <c r="G17" s="33"/>
      <c r="H17" s="17"/>
      <c r="I17" s="33"/>
      <c r="K17" s="34"/>
    </row>
    <row r="18" spans="1:11">
      <c r="A18" s="6" t="s">
        <v>347</v>
      </c>
      <c r="E18" s="21">
        <f>SUM(E14:E16)</f>
        <v>-1060000</v>
      </c>
      <c r="F18" s="6"/>
      <c r="G18" s="21">
        <f>SUM(G14:G16)</f>
        <v>-1050000</v>
      </c>
      <c r="H18" s="6"/>
      <c r="I18" s="21">
        <f>SUM(I14:I16)</f>
        <v>-783000</v>
      </c>
      <c r="J18" s="6"/>
      <c r="K18" s="21">
        <f>SUM(K14:K16)</f>
        <v>-2893000</v>
      </c>
    </row>
  </sheetData>
  <phoneticPr fontId="5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6:BF33"/>
  <sheetViews>
    <sheetView topLeftCell="B1" workbookViewId="0">
      <pane xSplit="3" ySplit="9" topLeftCell="G10" activePane="bottomRight" state="frozen"/>
      <selection activeCell="B1" sqref="B1"/>
      <selection pane="topRight" activeCell="E1" sqref="E1"/>
      <selection pane="bottomLeft" activeCell="B10" sqref="B10"/>
      <selection pane="bottomRight" activeCell="BD21" sqref="BD21"/>
    </sheetView>
  </sheetViews>
  <sheetFormatPr defaultRowHeight="13.2"/>
  <cols>
    <col min="4" max="4" width="25.6640625" customWidth="1"/>
    <col min="5" max="5" width="1.5546875" customWidth="1"/>
    <col min="6" max="6" width="18.6640625" style="45" customWidth="1"/>
    <col min="7" max="7" width="3.5546875" style="45" customWidth="1"/>
    <col min="8" max="8" width="15.88671875" style="45" hidden="1" customWidth="1"/>
    <col min="9" max="9" width="2.5546875" style="45" hidden="1" customWidth="1"/>
    <col min="10" max="10" width="15.88671875" style="45" hidden="1" customWidth="1"/>
    <col min="11" max="11" width="2.44140625" style="45" hidden="1" customWidth="1"/>
    <col min="12" max="12" width="15.88671875" style="45" hidden="1" customWidth="1"/>
    <col min="13" max="13" width="2.6640625" style="45" hidden="1" customWidth="1"/>
    <col min="14" max="14" width="15.88671875" style="45" hidden="1" customWidth="1"/>
    <col min="15" max="15" width="3.5546875" style="45" hidden="1" customWidth="1"/>
    <col min="16" max="16" width="15.88671875" style="45" hidden="1" customWidth="1"/>
    <col min="17" max="17" width="4.33203125" hidden="1" customWidth="1"/>
    <col min="18" max="18" width="15.88671875" style="45" hidden="1" customWidth="1"/>
    <col min="19" max="19" width="2.5546875" hidden="1" customWidth="1"/>
    <col min="20" max="20" width="16" hidden="1" customWidth="1"/>
    <col min="21" max="21" width="2.109375" hidden="1" customWidth="1"/>
    <col min="22" max="22" width="16" hidden="1" customWidth="1"/>
    <col min="23" max="23" width="1.6640625" hidden="1" customWidth="1"/>
    <col min="24" max="24" width="14.109375" hidden="1" customWidth="1"/>
    <col min="25" max="25" width="1.88671875" hidden="1" customWidth="1"/>
    <col min="26" max="26" width="16.88671875" hidden="1" customWidth="1"/>
    <col min="27" max="27" width="2.109375" hidden="1" customWidth="1"/>
    <col min="28" max="28" width="16.33203125" hidden="1" customWidth="1"/>
    <col min="29" max="29" width="2.44140625" hidden="1" customWidth="1"/>
    <col min="30" max="30" width="17.109375" hidden="1" customWidth="1"/>
    <col min="31" max="31" width="2.33203125" hidden="1" customWidth="1"/>
    <col min="32" max="32" width="18" hidden="1" customWidth="1"/>
    <col min="33" max="33" width="2.44140625" hidden="1" customWidth="1"/>
    <col min="34" max="34" width="18" hidden="1" customWidth="1"/>
    <col min="35" max="35" width="2" hidden="1" customWidth="1"/>
    <col min="36" max="36" width="18" hidden="1" customWidth="1"/>
    <col min="37" max="37" width="2.33203125" hidden="1" customWidth="1"/>
    <col min="38" max="38" width="18" hidden="1" customWidth="1"/>
    <col min="39" max="39" width="2.44140625" hidden="1" customWidth="1"/>
    <col min="40" max="40" width="18" hidden="1" customWidth="1"/>
    <col min="41" max="41" width="2.6640625" hidden="1" customWidth="1"/>
    <col min="42" max="42" width="18" hidden="1" customWidth="1"/>
    <col min="43" max="43" width="3.33203125" hidden="1" customWidth="1"/>
    <col min="44" max="44" width="18" hidden="1" customWidth="1"/>
    <col min="45" max="45" width="1.33203125" hidden="1" customWidth="1"/>
    <col min="46" max="46" width="18" hidden="1" customWidth="1"/>
    <col min="47" max="47" width="1.33203125" hidden="1" customWidth="1"/>
    <col min="48" max="48" width="18" hidden="1" customWidth="1"/>
    <col min="49" max="49" width="1.44140625" hidden="1" customWidth="1"/>
    <col min="50" max="50" width="18" hidden="1" customWidth="1"/>
    <col min="51" max="51" width="2.44140625" customWidth="1"/>
    <col min="52" max="52" width="18" customWidth="1"/>
    <col min="53" max="53" width="3" customWidth="1"/>
    <col min="54" max="54" width="18" customWidth="1"/>
    <col min="55" max="55" width="2.44140625" customWidth="1"/>
    <col min="56" max="56" width="18" customWidth="1"/>
    <col min="57" max="57" width="2.44140625" customWidth="1"/>
    <col min="58" max="58" width="12.6640625" customWidth="1"/>
  </cols>
  <sheetData>
    <row r="6" spans="2:58">
      <c r="B6" t="s">
        <v>479</v>
      </c>
    </row>
    <row r="7" spans="2:58">
      <c r="B7" t="s">
        <v>448</v>
      </c>
    </row>
    <row r="8" spans="2:58">
      <c r="H8" s="506" t="s">
        <v>897</v>
      </c>
      <c r="J8" s="60" t="s">
        <v>141</v>
      </c>
      <c r="L8" s="60" t="s">
        <v>140</v>
      </c>
      <c r="N8" s="60" t="s">
        <v>139</v>
      </c>
      <c r="P8" s="60" t="s">
        <v>138</v>
      </c>
      <c r="R8" s="60" t="s">
        <v>477</v>
      </c>
      <c r="T8" s="54" t="s">
        <v>478</v>
      </c>
      <c r="V8" s="54" t="s">
        <v>480</v>
      </c>
      <c r="X8" s="54" t="s">
        <v>543</v>
      </c>
      <c r="Z8" s="50" t="s">
        <v>577</v>
      </c>
      <c r="AB8" s="2" t="s">
        <v>921</v>
      </c>
      <c r="AC8" s="2"/>
      <c r="AD8" s="2" t="s">
        <v>1383</v>
      </c>
      <c r="AF8" s="2" t="s">
        <v>1572</v>
      </c>
      <c r="AH8" s="2" t="s">
        <v>27</v>
      </c>
      <c r="AJ8" s="2" t="s">
        <v>137</v>
      </c>
      <c r="AL8" s="2" t="s">
        <v>1675</v>
      </c>
      <c r="AN8" s="2" t="s">
        <v>462</v>
      </c>
      <c r="AP8" s="2" t="s">
        <v>33</v>
      </c>
      <c r="AR8" s="2" t="s">
        <v>744</v>
      </c>
      <c r="AT8" s="2" t="s">
        <v>1303</v>
      </c>
      <c r="AV8" s="2" t="s">
        <v>84</v>
      </c>
      <c r="AX8" s="505">
        <v>36770</v>
      </c>
      <c r="AZ8" s="505">
        <v>36800</v>
      </c>
      <c r="BA8" s="505"/>
      <c r="BB8" s="505">
        <v>36831</v>
      </c>
      <c r="BD8" s="505">
        <v>36861</v>
      </c>
    </row>
    <row r="9" spans="2:58">
      <c r="F9" s="46" t="s">
        <v>445</v>
      </c>
      <c r="G9" s="46"/>
      <c r="H9" s="46" t="s">
        <v>142</v>
      </c>
      <c r="I9" s="46"/>
      <c r="J9" s="46" t="s">
        <v>452</v>
      </c>
      <c r="K9" s="46"/>
      <c r="L9" s="46" t="s">
        <v>452</v>
      </c>
      <c r="M9" s="46"/>
      <c r="N9" s="46" t="s">
        <v>452</v>
      </c>
      <c r="O9" s="46"/>
      <c r="P9" s="46" t="s">
        <v>452</v>
      </c>
      <c r="R9" s="46" t="s">
        <v>452</v>
      </c>
      <c r="T9" s="46" t="s">
        <v>452</v>
      </c>
      <c r="V9" s="46" t="s">
        <v>452</v>
      </c>
      <c r="X9" s="46" t="s">
        <v>452</v>
      </c>
      <c r="Z9" s="46" t="s">
        <v>452</v>
      </c>
      <c r="AB9" s="46" t="s">
        <v>452</v>
      </c>
      <c r="AC9" s="46"/>
      <c r="AD9" s="46" t="s">
        <v>452</v>
      </c>
      <c r="AF9" s="369" t="s">
        <v>452</v>
      </c>
      <c r="AH9" s="369" t="s">
        <v>452</v>
      </c>
      <c r="AJ9" s="369" t="s">
        <v>452</v>
      </c>
      <c r="AL9" s="369" t="s">
        <v>452</v>
      </c>
      <c r="AN9" s="369" t="s">
        <v>452</v>
      </c>
      <c r="AP9" s="369" t="s">
        <v>452</v>
      </c>
      <c r="AR9" s="369" t="s">
        <v>452</v>
      </c>
      <c r="AT9" s="369" t="s">
        <v>452</v>
      </c>
      <c r="AV9" s="369" t="s">
        <v>452</v>
      </c>
      <c r="AX9" s="369" t="s">
        <v>452</v>
      </c>
      <c r="AZ9" s="369" t="s">
        <v>452</v>
      </c>
      <c r="BA9" s="369"/>
      <c r="BB9" s="369" t="s">
        <v>452</v>
      </c>
      <c r="BD9" s="369" t="s">
        <v>452</v>
      </c>
    </row>
    <row r="11" spans="2:58">
      <c r="B11" t="s">
        <v>443</v>
      </c>
      <c r="D11" t="s">
        <v>444</v>
      </c>
      <c r="F11" s="45">
        <v>242537.65</v>
      </c>
      <c r="H11" s="45">
        <v>0</v>
      </c>
      <c r="J11" s="45">
        <v>50885.83</v>
      </c>
      <c r="L11" s="45">
        <v>89235.65</v>
      </c>
      <c r="N11" s="45">
        <v>24496.32</v>
      </c>
      <c r="P11" s="45">
        <v>23145.27</v>
      </c>
      <c r="Q11" s="45"/>
      <c r="R11" s="45">
        <v>50885.83</v>
      </c>
      <c r="S11" s="45"/>
      <c r="T11" s="45">
        <v>2011.79</v>
      </c>
      <c r="U11" s="45"/>
      <c r="V11" s="45">
        <v>1794.59</v>
      </c>
      <c r="W11" s="45"/>
      <c r="X11" s="45">
        <v>33136.99</v>
      </c>
      <c r="Y11" s="45"/>
      <c r="Z11" s="45">
        <v>5000</v>
      </c>
      <c r="AA11" s="45"/>
      <c r="AB11" s="45">
        <v>16000</v>
      </c>
      <c r="AC11" s="45"/>
      <c r="AD11" s="45">
        <v>0</v>
      </c>
      <c r="AE11" s="45"/>
      <c r="AF11" s="45">
        <v>0</v>
      </c>
      <c r="AG11" s="45"/>
      <c r="AH11" s="45">
        <v>0</v>
      </c>
      <c r="AJ11" s="45">
        <v>0</v>
      </c>
      <c r="AL11" s="45">
        <v>0</v>
      </c>
      <c r="AN11" s="45">
        <v>0</v>
      </c>
      <c r="AP11" s="45">
        <v>0</v>
      </c>
      <c r="AR11" s="45">
        <v>0</v>
      </c>
      <c r="AT11" s="45">
        <v>0</v>
      </c>
      <c r="AV11" s="45">
        <v>0</v>
      </c>
      <c r="AX11" s="45">
        <v>0</v>
      </c>
      <c r="AZ11" s="45">
        <v>0</v>
      </c>
      <c r="BA11" s="45"/>
      <c r="BB11" s="45">
        <v>0</v>
      </c>
      <c r="BD11" s="45">
        <v>0</v>
      </c>
      <c r="BF11" s="45">
        <f>SUM(H11:BC11)</f>
        <v>296592.26999999996</v>
      </c>
    </row>
    <row r="12" spans="2:58">
      <c r="B12" t="s">
        <v>443</v>
      </c>
      <c r="D12" t="s">
        <v>446</v>
      </c>
      <c r="F12" s="45">
        <v>0</v>
      </c>
      <c r="H12" s="45">
        <v>0</v>
      </c>
      <c r="J12" s="45">
        <f>5072.96+4935.11+1074.93</f>
        <v>11083</v>
      </c>
      <c r="L12" s="45">
        <v>0</v>
      </c>
      <c r="N12" s="45">
        <v>0</v>
      </c>
      <c r="P12" s="45">
        <v>5284.62</v>
      </c>
      <c r="Q12" s="45"/>
      <c r="R12" s="45">
        <f>5072.96+4935.11+1074.93</f>
        <v>11083</v>
      </c>
      <c r="S12" s="45"/>
      <c r="T12" s="45">
        <f>4948.92+4164.95</f>
        <v>9113.869999999999</v>
      </c>
      <c r="U12" s="45"/>
      <c r="V12" s="45">
        <v>5936.81</v>
      </c>
      <c r="W12" s="45"/>
      <c r="X12" s="45">
        <v>793.07</v>
      </c>
      <c r="Y12" s="45"/>
      <c r="Z12" s="45">
        <v>0</v>
      </c>
      <c r="AA12" s="45"/>
      <c r="AB12" s="45">
        <v>0</v>
      </c>
      <c r="AC12" s="45"/>
      <c r="AD12" s="45">
        <v>0</v>
      </c>
      <c r="AE12" s="45"/>
      <c r="AF12" s="45">
        <v>0</v>
      </c>
      <c r="AG12" s="45"/>
      <c r="AH12" s="45">
        <v>0</v>
      </c>
      <c r="AJ12" s="45">
        <v>0</v>
      </c>
      <c r="AL12" s="45">
        <v>0</v>
      </c>
      <c r="AN12" s="45">
        <v>0</v>
      </c>
      <c r="AP12" s="45">
        <v>0</v>
      </c>
      <c r="AR12" s="45">
        <v>0</v>
      </c>
      <c r="AT12" s="45">
        <v>0</v>
      </c>
      <c r="AV12" s="45">
        <v>0</v>
      </c>
      <c r="AX12" s="45">
        <v>0</v>
      </c>
      <c r="AZ12" s="45">
        <v>0</v>
      </c>
      <c r="BA12" s="45"/>
      <c r="BB12" s="45">
        <v>0</v>
      </c>
      <c r="BD12" s="45">
        <v>-43294</v>
      </c>
      <c r="BF12" s="45">
        <f>SUM(H12:BC12)</f>
        <v>43294.369999999995</v>
      </c>
    </row>
    <row r="13" spans="2:58">
      <c r="B13" t="s">
        <v>443</v>
      </c>
      <c r="D13" t="s">
        <v>447</v>
      </c>
      <c r="F13" s="45">
        <f>SUM(G13:AT13)</f>
        <v>-5393556.2600000054</v>
      </c>
      <c r="H13" s="45">
        <v>78236.31</v>
      </c>
      <c r="J13" s="45">
        <v>1200000</v>
      </c>
      <c r="L13" s="45">
        <v>27666109</v>
      </c>
      <c r="N13" s="45">
        <v>1836952.77</v>
      </c>
      <c r="P13" s="45">
        <v>3002544.18</v>
      </c>
      <c r="Q13" s="45"/>
      <c r="R13" s="45">
        <f>4504040.6+500.82</f>
        <v>4504541.42</v>
      </c>
      <c r="S13" s="45"/>
      <c r="T13" s="45">
        <v>-2110412.1800000002</v>
      </c>
      <c r="U13" s="45"/>
      <c r="V13" s="45">
        <f>953.02+1880282.17</f>
        <v>1881235.19</v>
      </c>
      <c r="W13" s="45"/>
      <c r="X13" s="45">
        <v>3075472.98</v>
      </c>
      <c r="Y13" s="45"/>
      <c r="Z13" s="45">
        <v>3569698.46</v>
      </c>
      <c r="AA13" s="45"/>
      <c r="AB13" s="45">
        <v>7824421</v>
      </c>
      <c r="AC13" s="45"/>
      <c r="AD13" s="45">
        <f>2320852+4862387</f>
        <v>7183239</v>
      </c>
      <c r="AE13" s="45"/>
      <c r="AF13" s="45">
        <f>6016691+3394+5195240</f>
        <v>11215325</v>
      </c>
      <c r="AG13" s="45"/>
      <c r="AH13" s="45">
        <f>9076735-26831721</f>
        <v>-17754986</v>
      </c>
      <c r="AJ13" s="45">
        <f>5659475+3624-59654104</f>
        <v>-53991005</v>
      </c>
      <c r="AL13" s="45">
        <f>9163928-14883136</f>
        <v>-5719208</v>
      </c>
      <c r="AN13" s="45">
        <f>6207414-11551497</f>
        <v>-5344083</v>
      </c>
      <c r="AP13" s="45">
        <f>3219456.5+573861.63</f>
        <v>3793318.13</v>
      </c>
      <c r="AR13" s="45">
        <f>-1861943.78+4556988.26</f>
        <v>2695044.4799999995</v>
      </c>
      <c r="AT13" s="45">
        <v>0</v>
      </c>
      <c r="AV13" s="45">
        <v>0</v>
      </c>
      <c r="AX13" s="45">
        <v>0</v>
      </c>
      <c r="AZ13" s="45">
        <v>0</v>
      </c>
      <c r="BA13" s="45"/>
      <c r="BB13" s="45">
        <v>0</v>
      </c>
      <c r="BD13" s="45">
        <v>0</v>
      </c>
      <c r="BF13" s="45">
        <f>SUM(H13:BD13)</f>
        <v>-5393556.2600000054</v>
      </c>
    </row>
    <row r="14" spans="2:58">
      <c r="D14" t="s">
        <v>1407</v>
      </c>
      <c r="F14" s="45">
        <f>AV14+AT14+AX14</f>
        <v>8227169.1500000004</v>
      </c>
      <c r="Q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394"/>
      <c r="AG14" s="45"/>
      <c r="AH14" s="394"/>
      <c r="AJ14" s="394"/>
      <c r="AL14" s="394"/>
      <c r="AN14" s="394"/>
      <c r="AP14" s="394"/>
      <c r="AR14" s="394"/>
      <c r="AT14" s="394">
        <v>3848215</v>
      </c>
      <c r="AV14" s="394">
        <v>2599222</v>
      </c>
      <c r="AX14" s="394">
        <v>1779732.15</v>
      </c>
      <c r="AZ14" s="394">
        <v>923102</v>
      </c>
      <c r="BA14" s="49"/>
      <c r="BB14" s="394">
        <v>1254974</v>
      </c>
      <c r="BD14" s="394">
        <v>-31282</v>
      </c>
      <c r="BF14" s="394">
        <f>SUM(H14:BD14)</f>
        <v>10373963.15</v>
      </c>
    </row>
    <row r="15" spans="2:58">
      <c r="C15" t="s">
        <v>449</v>
      </c>
      <c r="F15" s="47">
        <f>SUM(F11:F14)</f>
        <v>3076150.5399999954</v>
      </c>
      <c r="G15" s="49"/>
      <c r="H15" s="47">
        <f>SUM(H11:H14)</f>
        <v>78236.31</v>
      </c>
      <c r="I15" s="49"/>
      <c r="J15" s="47">
        <f>SUM(J11:J14)</f>
        <v>1261968.83</v>
      </c>
      <c r="K15" s="49"/>
      <c r="L15" s="47">
        <f>SUM(L11:L14)</f>
        <v>27755344.649999999</v>
      </c>
      <c r="M15" s="49"/>
      <c r="N15" s="47">
        <f>SUM(N11:N14)</f>
        <v>1861449.09</v>
      </c>
      <c r="O15" s="49"/>
      <c r="P15" s="47">
        <f>SUM(P11:P14)</f>
        <v>3030974.0700000003</v>
      </c>
      <c r="Q15" s="45"/>
      <c r="R15" s="47">
        <f>SUM(R11:R14)</f>
        <v>4566510.25</v>
      </c>
      <c r="S15" s="45"/>
      <c r="T15" s="47">
        <f>SUM(T11:T14)</f>
        <v>-2099286.52</v>
      </c>
      <c r="U15" s="45"/>
      <c r="V15" s="47">
        <f>SUM(V11:V14)</f>
        <v>1888966.5899999999</v>
      </c>
      <c r="W15" s="45"/>
      <c r="X15" s="47">
        <f>SUM(X11:X14)</f>
        <v>3109403.04</v>
      </c>
      <c r="Y15" s="45"/>
      <c r="Z15" s="47">
        <f>SUM(Z11:Z14)</f>
        <v>3574698.46</v>
      </c>
      <c r="AA15" s="45"/>
      <c r="AB15" s="47">
        <f>SUM(AB11:AB14)</f>
        <v>7840421</v>
      </c>
      <c r="AC15" s="47"/>
      <c r="AD15" s="47">
        <f>SUM(AD11:AD14)</f>
        <v>7183239</v>
      </c>
      <c r="AE15" s="45"/>
      <c r="AF15" s="395">
        <f>SUM(AF11:AF14)</f>
        <v>11215325</v>
      </c>
      <c r="AG15" s="45"/>
      <c r="AH15" s="395">
        <f>SUM(AH11:AH14)</f>
        <v>-17754986</v>
      </c>
      <c r="AJ15" s="395">
        <f>SUM(AJ11:AJ14)</f>
        <v>-53991005</v>
      </c>
      <c r="AL15" s="395">
        <f>SUM(AL11:AL14)</f>
        <v>-5719208</v>
      </c>
      <c r="AN15" s="395">
        <f>SUM(AN11:AN14)</f>
        <v>-5344083</v>
      </c>
      <c r="AP15" s="395">
        <f>SUM(AP11:AP14)</f>
        <v>3793318.13</v>
      </c>
      <c r="AR15" s="395">
        <f>SUM(AR11:AR14)</f>
        <v>2695044.4799999995</v>
      </c>
      <c r="AT15" s="395">
        <f>SUM(AT11:AT14)</f>
        <v>3848215</v>
      </c>
      <c r="AV15" s="395">
        <f>SUM(AV11:AV14)</f>
        <v>2599222</v>
      </c>
      <c r="AX15" s="395">
        <f>SUM(AX11:AX14)</f>
        <v>1779732.15</v>
      </c>
      <c r="AZ15" s="395">
        <f>SUM(AZ11:AZ14)</f>
        <v>923102</v>
      </c>
      <c r="BA15" s="395"/>
      <c r="BB15" s="395">
        <f>SUM(BB11:BB14)</f>
        <v>1254974</v>
      </c>
      <c r="BD15" s="395">
        <f>SUM(BD11:BD14)</f>
        <v>-74576</v>
      </c>
      <c r="BF15" s="45">
        <f>SUM(H15:BD15)</f>
        <v>5276999.5299999956</v>
      </c>
    </row>
    <row r="16" spans="2:58">
      <c r="B16" t="s">
        <v>453</v>
      </c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5"/>
      <c r="R16" s="49"/>
      <c r="S16" s="45"/>
      <c r="T16" s="49"/>
      <c r="U16" s="45"/>
      <c r="V16" s="49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J16" s="45"/>
      <c r="AL16" s="45"/>
      <c r="AN16" s="45"/>
      <c r="AP16" s="45"/>
      <c r="AR16" s="45"/>
      <c r="AT16" s="45"/>
      <c r="AV16" s="45"/>
      <c r="AX16" s="45"/>
      <c r="AZ16" s="45"/>
      <c r="BA16" s="45"/>
      <c r="BB16" s="45"/>
      <c r="BD16" s="45"/>
    </row>
    <row r="17" spans="2:58">
      <c r="B17" t="s">
        <v>454</v>
      </c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5"/>
      <c r="R17" s="49"/>
      <c r="S17" s="45"/>
      <c r="T17" s="49"/>
      <c r="U17" s="45"/>
      <c r="V17" s="49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J17" s="45"/>
      <c r="AL17" s="45"/>
      <c r="AN17" s="45"/>
      <c r="AP17" s="45"/>
      <c r="AR17" s="45"/>
      <c r="AT17" s="45"/>
      <c r="AV17" s="45"/>
      <c r="AX17" s="45"/>
      <c r="AZ17" s="45"/>
      <c r="BA17" s="45"/>
      <c r="BB17" s="45"/>
      <c r="BD17" s="45"/>
    </row>
    <row r="18" spans="2:58">
      <c r="C18" t="s">
        <v>475</v>
      </c>
      <c r="F18" s="49">
        <f>Non_WO_costs!J30</f>
        <v>83900.889999999985</v>
      </c>
      <c r="G18" s="49"/>
      <c r="H18" s="49">
        <v>43465.95</v>
      </c>
      <c r="I18" s="49"/>
      <c r="J18" s="49">
        <v>0</v>
      </c>
      <c r="K18" s="49"/>
      <c r="L18" s="49">
        <v>0</v>
      </c>
      <c r="M18" s="49"/>
      <c r="N18" s="49">
        <v>0</v>
      </c>
      <c r="O18" s="49"/>
      <c r="P18" s="49">
        <v>0</v>
      </c>
      <c r="Q18" s="45"/>
      <c r="R18" s="49">
        <v>43465.95</v>
      </c>
      <c r="S18" s="45"/>
      <c r="T18" s="49">
        <v>0</v>
      </c>
      <c r="U18" s="45"/>
      <c r="V18" s="49">
        <v>0</v>
      </c>
      <c r="W18" s="45"/>
      <c r="X18" s="45">
        <v>0</v>
      </c>
      <c r="Y18" s="45"/>
      <c r="Z18" s="45">
        <v>0</v>
      </c>
      <c r="AA18" s="45"/>
      <c r="AB18" s="45"/>
      <c r="AC18" s="45"/>
      <c r="AD18" s="45"/>
      <c r="AE18" s="45"/>
      <c r="AF18" s="45"/>
      <c r="AG18" s="45"/>
      <c r="AH18" s="45"/>
      <c r="AJ18" s="45"/>
      <c r="AL18" s="45"/>
      <c r="AN18" s="45"/>
      <c r="AP18" s="45"/>
      <c r="AR18" s="45"/>
      <c r="AT18" s="45"/>
      <c r="AV18" s="45"/>
      <c r="AX18" s="45"/>
      <c r="AZ18" s="45"/>
      <c r="BA18" s="45"/>
      <c r="BB18" s="45"/>
      <c r="BD18" s="45"/>
      <c r="BF18" s="45">
        <f t="shared" ref="BF18:BF26" si="0">SUM(H18:BD18)</f>
        <v>86931.9</v>
      </c>
    </row>
    <row r="19" spans="2:58">
      <c r="C19" t="s">
        <v>702</v>
      </c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5"/>
      <c r="R19" s="49"/>
      <c r="S19" s="45"/>
      <c r="T19" s="49"/>
      <c r="U19" s="45"/>
      <c r="V19" s="49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J19" s="45"/>
      <c r="AL19" s="45"/>
      <c r="AN19" s="45"/>
      <c r="AP19" s="45"/>
      <c r="AR19" s="45"/>
      <c r="AT19" s="45"/>
      <c r="AV19" s="45"/>
      <c r="AX19" s="45">
        <v>4500000</v>
      </c>
      <c r="AZ19" s="45"/>
      <c r="BA19" s="45"/>
      <c r="BB19" s="45"/>
      <c r="BD19" s="45"/>
      <c r="BF19" s="45">
        <f t="shared" si="0"/>
        <v>4500000</v>
      </c>
    </row>
    <row r="20" spans="2:58">
      <c r="C20" t="s">
        <v>1406</v>
      </c>
      <c r="F20" s="49">
        <v>0</v>
      </c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5"/>
      <c r="R20" s="49"/>
      <c r="S20" s="45"/>
      <c r="T20" s="49"/>
      <c r="U20" s="45"/>
      <c r="V20" s="49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J20" s="45"/>
      <c r="AL20" s="45"/>
      <c r="AN20" s="45"/>
      <c r="AP20" s="45"/>
      <c r="AR20" s="45"/>
      <c r="AT20" s="45"/>
      <c r="AV20" s="45">
        <v>-315534</v>
      </c>
      <c r="AX20" s="45">
        <v>315534</v>
      </c>
      <c r="AZ20" s="45">
        <v>0</v>
      </c>
      <c r="BA20" s="45"/>
      <c r="BB20" s="45">
        <v>0</v>
      </c>
      <c r="BD20" s="45">
        <v>0</v>
      </c>
      <c r="BF20" s="45">
        <f t="shared" si="0"/>
        <v>0</v>
      </c>
    </row>
    <row r="21" spans="2:58">
      <c r="C21" t="s">
        <v>401</v>
      </c>
      <c r="F21" s="49">
        <f>AT21</f>
        <v>0</v>
      </c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5"/>
      <c r="R21" s="49"/>
      <c r="S21" s="45"/>
      <c r="T21" s="49"/>
      <c r="U21" s="45"/>
      <c r="V21" s="49"/>
      <c r="W21" s="45"/>
      <c r="X21" s="45">
        <v>230971</v>
      </c>
      <c r="Y21" s="45"/>
      <c r="Z21" s="45">
        <v>-230970</v>
      </c>
      <c r="AA21" s="45"/>
      <c r="AB21" s="395"/>
      <c r="AC21" s="395"/>
      <c r="AD21" s="395"/>
      <c r="AE21" s="45"/>
      <c r="AF21" s="395"/>
      <c r="AG21" s="45"/>
      <c r="AH21" s="395"/>
      <c r="AJ21" s="395">
        <v>0</v>
      </c>
      <c r="AL21" s="395">
        <v>0</v>
      </c>
      <c r="AN21" s="395">
        <f>-IDC!AA20</f>
        <v>60920.340243749881</v>
      </c>
      <c r="AP21" s="395">
        <v>-59780</v>
      </c>
      <c r="AR21" s="395"/>
      <c r="AT21" s="395">
        <v>0</v>
      </c>
      <c r="AV21" s="395"/>
      <c r="AX21" s="395"/>
      <c r="AZ21" s="395"/>
      <c r="BA21" s="395"/>
      <c r="BB21" s="395"/>
      <c r="BD21" s="395">
        <v>-1141</v>
      </c>
      <c r="BF21" s="45">
        <f t="shared" si="0"/>
        <v>0.34024374988075579</v>
      </c>
    </row>
    <row r="22" spans="2:58">
      <c r="C22" t="s">
        <v>1674</v>
      </c>
      <c r="F22" s="45">
        <v>-421012</v>
      </c>
      <c r="Q22" s="45"/>
      <c r="S22" s="45"/>
      <c r="T22" s="45"/>
      <c r="U22" s="45"/>
      <c r="V22" s="45">
        <v>0</v>
      </c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J22" s="45">
        <v>0</v>
      </c>
      <c r="AL22" s="45">
        <v>0</v>
      </c>
      <c r="AN22" s="45">
        <f>-421012.05+421012</f>
        <v>-4.9999999988358468E-2</v>
      </c>
      <c r="AP22" s="45"/>
      <c r="AR22" s="45">
        <v>0</v>
      </c>
      <c r="AT22" s="45">
        <v>0</v>
      </c>
      <c r="AV22" s="45">
        <v>0</v>
      </c>
      <c r="AX22" s="45">
        <v>0</v>
      </c>
      <c r="AZ22" s="45">
        <v>0</v>
      </c>
      <c r="BA22" s="45"/>
      <c r="BB22" s="45">
        <v>0</v>
      </c>
      <c r="BD22" s="45">
        <v>0</v>
      </c>
      <c r="BF22" s="45">
        <f t="shared" si="0"/>
        <v>-4.9999999988358468E-2</v>
      </c>
    </row>
    <row r="23" spans="2:58" hidden="1">
      <c r="C23" t="s">
        <v>1573</v>
      </c>
      <c r="Q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J23" s="45"/>
      <c r="AL23" s="45"/>
      <c r="AN23" s="45"/>
      <c r="AP23" s="45"/>
      <c r="AR23" s="45"/>
      <c r="AT23" s="45"/>
      <c r="AV23" s="45"/>
      <c r="AX23" s="45"/>
      <c r="AZ23" s="45"/>
      <c r="BA23" s="45"/>
      <c r="BB23" s="45"/>
      <c r="BD23" s="45"/>
      <c r="BF23" s="45">
        <f t="shared" si="0"/>
        <v>0</v>
      </c>
    </row>
    <row r="24" spans="2:58" hidden="1">
      <c r="C24" t="s">
        <v>9</v>
      </c>
      <c r="Q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J24" s="45"/>
      <c r="AL24" s="45"/>
      <c r="AN24" s="45"/>
      <c r="AP24" s="45"/>
      <c r="AR24" s="45"/>
      <c r="AT24" s="45"/>
      <c r="AV24" s="45"/>
      <c r="AX24" s="45"/>
      <c r="AZ24" s="45"/>
      <c r="BA24" s="45"/>
      <c r="BB24" s="45"/>
      <c r="BD24" s="45"/>
      <c r="BF24" s="45">
        <f t="shared" si="0"/>
        <v>0</v>
      </c>
    </row>
    <row r="25" spans="2:58">
      <c r="C25" t="s">
        <v>450</v>
      </c>
      <c r="F25" s="45">
        <f>ENA!BM281</f>
        <v>9864031.3200000226</v>
      </c>
      <c r="H25" s="45">
        <f>ENA!K273</f>
        <v>21428869.800000001</v>
      </c>
      <c r="J25" s="45">
        <f>ENA!M273</f>
        <v>4411803.49</v>
      </c>
      <c r="L25" s="45">
        <f>ENA!O273</f>
        <v>3230174.65</v>
      </c>
      <c r="N25" s="45">
        <f>ENA!Q281</f>
        <v>1856449.2000000002</v>
      </c>
      <c r="P25" s="45">
        <f>ENA!S281</f>
        <v>3025974.27</v>
      </c>
      <c r="Q25" s="45"/>
      <c r="R25" s="45">
        <f>ENA!U281</f>
        <v>4604975.96</v>
      </c>
      <c r="S25" s="45"/>
      <c r="T25" s="45">
        <f>ENA!W281</f>
        <v>-2099286.5200000005</v>
      </c>
      <c r="U25" s="45"/>
      <c r="V25" s="45">
        <f>ENA!Y281</f>
        <v>1888966.6900000004</v>
      </c>
      <c r="W25" s="45"/>
      <c r="X25" s="45">
        <f>ENA!AA281</f>
        <v>3340374.04</v>
      </c>
      <c r="Y25" s="45"/>
      <c r="Z25" s="45">
        <f>ENA!AC281</f>
        <v>3343727.4600000004</v>
      </c>
      <c r="AA25" s="45"/>
      <c r="AB25" s="45">
        <f>ENA!AE281</f>
        <v>7253667.2000000011</v>
      </c>
      <c r="AC25" s="45"/>
      <c r="AD25" s="45">
        <f>ENA!AG281</f>
        <v>7769992.7399999993</v>
      </c>
      <c r="AE25" s="45"/>
      <c r="AF25" s="45">
        <f>ENA!AI281</f>
        <v>7427682.1600000011</v>
      </c>
      <c r="AG25" s="45"/>
      <c r="AH25" s="45">
        <f>ENA!AO281</f>
        <v>-13967343.4</v>
      </c>
      <c r="AJ25" s="45">
        <f>ENA!AQ281</f>
        <v>-57918281.109999992</v>
      </c>
      <c r="AL25" s="45">
        <f>ENA!AS281</f>
        <v>-1791932.7699999996</v>
      </c>
      <c r="AN25" s="45">
        <f>ENA!AU281</f>
        <v>-5436073.7299999995</v>
      </c>
      <c r="AP25" s="45">
        <f>ENA!AW281</f>
        <v>3868098.2</v>
      </c>
      <c r="AR25" s="45">
        <f>ENA!AY281</f>
        <v>2695044.45</v>
      </c>
      <c r="AT25" s="45">
        <f>ENA!BA281</f>
        <v>3788623.54</v>
      </c>
      <c r="AV25" s="45">
        <f>ENA!BC281</f>
        <v>2283687</v>
      </c>
      <c r="AX25" s="45">
        <f>ENA!BE281</f>
        <v>6595266</v>
      </c>
      <c r="AZ25" s="45">
        <f>ENA!BG281</f>
        <v>982694</v>
      </c>
      <c r="BA25" s="45"/>
      <c r="BB25" s="45">
        <f>ENA!BI281</f>
        <v>1254974</v>
      </c>
      <c r="BD25" s="45">
        <f>ENA!BK281</f>
        <v>25904</v>
      </c>
      <c r="BF25" s="394">
        <f t="shared" si="0"/>
        <v>9864031.3200000115</v>
      </c>
    </row>
    <row r="26" spans="2:58" ht="13.8" thickBot="1">
      <c r="D26" t="s">
        <v>451</v>
      </c>
      <c r="F26" s="48">
        <f>F15+F18-F21-F25-F22-F23-F24+F20</f>
        <v>-6282967.8900000267</v>
      </c>
      <c r="G26" s="49"/>
      <c r="H26" s="48">
        <f>H15+H18+H21-H25-H22-H23-H24</f>
        <v>-21307167.539999999</v>
      </c>
      <c r="I26" s="49"/>
      <c r="J26" s="48">
        <f>J15+J18+J21-J25-J22-J23-J24</f>
        <v>-3149834.66</v>
      </c>
      <c r="K26" s="49"/>
      <c r="L26" s="48">
        <f>L15+L18+L21-L25-L22-L23-L24</f>
        <v>24525170</v>
      </c>
      <c r="M26" s="49"/>
      <c r="N26" s="48">
        <f>N15+N18+N21-N25-N22-N23-N24</f>
        <v>4999.8899999998976</v>
      </c>
      <c r="O26" s="49"/>
      <c r="P26" s="48">
        <f>P15+P18+P21-P25-P22-P23-P24</f>
        <v>4999.8000000002794</v>
      </c>
      <c r="Q26" s="49"/>
      <c r="R26" s="48">
        <f>R15+R18+R21-R25-R22-R23-R24</f>
        <v>5000.2400000002235</v>
      </c>
      <c r="S26" s="49"/>
      <c r="T26" s="48">
        <f>T15+T18+T21-T25-T22-T23-T24</f>
        <v>4.6566128730773926E-10</v>
      </c>
      <c r="U26" s="49"/>
      <c r="V26" s="48">
        <f>V15+V18+V21-V25-V22-V23-V24</f>
        <v>-0.10000000055879354</v>
      </c>
      <c r="W26" s="49"/>
      <c r="X26" s="48">
        <f>X15+X18+X21-X25-X22-X23-X24</f>
        <v>0</v>
      </c>
      <c r="Y26" s="49"/>
      <c r="Z26" s="48">
        <f>Z15+Z18+Z21-Z25-Z22-Z23-Z24</f>
        <v>0.99999999953433871</v>
      </c>
      <c r="AA26" s="49"/>
      <c r="AB26" s="48">
        <f>AB15+AB18+AB21-AB25-AB22-AB23-AB24</f>
        <v>586753.79999999888</v>
      </c>
      <c r="AC26" s="49"/>
      <c r="AD26" s="48">
        <f>AD15+AD18+AD21-AD25-AD22-AD23-AD24</f>
        <v>-586753.73999999929</v>
      </c>
      <c r="AE26" s="49"/>
      <c r="AF26" s="48">
        <f>AF15+AF18+AF21-AF25-AF22-AF23-AF24</f>
        <v>3787642.8399999989</v>
      </c>
      <c r="AG26" s="49"/>
      <c r="AH26" s="48">
        <f>AH15+AH18+AH21-AH25-AH22-AH23-AH24</f>
        <v>-3787642.5999999996</v>
      </c>
      <c r="AJ26" s="48">
        <f>AJ15+AJ18-AJ21-AJ25-AJ22-AJ23-AJ24</f>
        <v>3927276.109999992</v>
      </c>
      <c r="AL26" s="48">
        <f>AL15+AL18-AL21-AL25-AL22-AL23-AL24</f>
        <v>-3927275.2300000004</v>
      </c>
      <c r="AN26" s="48">
        <f>AN15+AN18-AN21-AN25-AN22-AN23-AN24</f>
        <v>31070.439756249252</v>
      </c>
      <c r="AP26" s="48">
        <f>AP15+AP18-AP21-AP25-AP22-AP23-AP24</f>
        <v>-15000.070000000298</v>
      </c>
      <c r="AR26" s="48">
        <f>AR15+AR18-AR21-AR25-AR22-AR23-AR24</f>
        <v>2.9999999329447746E-2</v>
      </c>
      <c r="AT26" s="48">
        <f>AT15+AT18-AT21-AT25-AT22-AT23-AT24</f>
        <v>59591.459999999963</v>
      </c>
      <c r="AV26" s="48">
        <f>AV15+AV18-AV21-AV25-AV22-AV23-AV24+AV20</f>
        <v>1</v>
      </c>
      <c r="AX26" s="48">
        <f>AX15+AX18-AX21-AX25-AX22-AX23-AX24+AX20+AX19</f>
        <v>0.15000000037252903</v>
      </c>
      <c r="AZ26" s="48">
        <f>AZ15+AZ18-AZ21-AZ25-AZ22-AZ23-AZ24+AZ20</f>
        <v>-59592</v>
      </c>
      <c r="BA26" s="49"/>
      <c r="BB26" s="48">
        <f>BB15+BB18-BB21-BB25-BB22-BB23-BB24+BB20</f>
        <v>0</v>
      </c>
      <c r="BD26" s="48">
        <f>BD15+BD18-BD21-BD25-BD22-BD23-BD24+BD20</f>
        <v>-99339</v>
      </c>
      <c r="BF26" s="45">
        <f t="shared" si="0"/>
        <v>-98.180243760172743</v>
      </c>
    </row>
    <row r="27" spans="2:58" ht="13.8" thickTop="1">
      <c r="X27" s="45"/>
      <c r="Y27" s="45"/>
      <c r="Z27" s="45"/>
      <c r="AA27" s="45"/>
    </row>
    <row r="33" spans="6:15">
      <c r="F33" s="368"/>
      <c r="G33" s="368"/>
      <c r="I33" s="368"/>
      <c r="K33" s="368"/>
      <c r="M33" s="368"/>
      <c r="O33" s="368"/>
    </row>
  </sheetData>
  <phoneticPr fontId="50" type="noConversion"/>
  <pageMargins left="0.33" right="0.28999999999999998" top="1" bottom="1" header="0.5" footer="0.5"/>
  <pageSetup scale="85" orientation="landscape" verticalDpi="300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53"/>
  <sheetViews>
    <sheetView topLeftCell="A246" workbookViewId="0">
      <selection activeCell="C246" sqref="C246:C266"/>
    </sheetView>
  </sheetViews>
  <sheetFormatPr defaultColWidth="9.109375" defaultRowHeight="13.2" outlineLevelRow="2"/>
  <cols>
    <col min="1" max="1" width="36.6640625" style="91" customWidth="1"/>
    <col min="2" max="2" width="2.33203125" style="91" customWidth="1"/>
    <col min="3" max="3" width="18" style="339" customWidth="1"/>
    <col min="4" max="4" width="2.44140625" style="91" customWidth="1"/>
    <col min="5" max="5" width="75.44140625" style="91" customWidth="1"/>
    <col min="6" max="16384" width="9.109375" style="127"/>
  </cols>
  <sheetData>
    <row r="1" spans="1:5">
      <c r="A1" s="91" t="s">
        <v>1305</v>
      </c>
      <c r="C1" s="339">
        <v>183010.45</v>
      </c>
      <c r="E1" s="91" t="s">
        <v>1306</v>
      </c>
    </row>
    <row r="2" spans="1:5" outlineLevel="2">
      <c r="A2" s="91" t="s">
        <v>1305</v>
      </c>
      <c r="C2" s="339">
        <v>135431.96</v>
      </c>
      <c r="E2" s="91" t="s">
        <v>1306</v>
      </c>
    </row>
    <row r="3" spans="1:5" outlineLevel="2">
      <c r="A3" s="91" t="s">
        <v>1305</v>
      </c>
      <c r="C3" s="339">
        <v>22604.87</v>
      </c>
      <c r="E3" s="91" t="s">
        <v>1306</v>
      </c>
    </row>
    <row r="4" spans="1:5" outlineLevel="2">
      <c r="A4" s="91" t="s">
        <v>1305</v>
      </c>
      <c r="C4" s="339">
        <v>26120.07</v>
      </c>
      <c r="E4" s="91" t="s">
        <v>1306</v>
      </c>
    </row>
    <row r="5" spans="1:5" outlineLevel="2">
      <c r="A5" s="91" t="s">
        <v>1305</v>
      </c>
      <c r="C5" s="339">
        <v>24767.55</v>
      </c>
      <c r="E5" s="91" t="s">
        <v>1306</v>
      </c>
    </row>
    <row r="6" spans="1:5" outlineLevel="2">
      <c r="A6" s="91" t="s">
        <v>1305</v>
      </c>
      <c r="C6" s="339">
        <v>28671.86</v>
      </c>
      <c r="E6" s="91" t="s">
        <v>1306</v>
      </c>
    </row>
    <row r="7" spans="1:5" outlineLevel="2">
      <c r="A7" s="91" t="s">
        <v>1305</v>
      </c>
      <c r="C7" s="339">
        <v>78641.11</v>
      </c>
      <c r="E7" s="91" t="s">
        <v>1314</v>
      </c>
    </row>
    <row r="8" spans="1:5" outlineLevel="2">
      <c r="A8" s="91" t="s">
        <v>1305</v>
      </c>
      <c r="C8" s="339">
        <v>52404.53</v>
      </c>
      <c r="E8" s="91" t="s">
        <v>978</v>
      </c>
    </row>
    <row r="9" spans="1:5" outlineLevel="1">
      <c r="A9" s="468" t="s">
        <v>1328</v>
      </c>
      <c r="C9" s="471">
        <f>SUM(C1:C8)</f>
        <v>551652.4</v>
      </c>
    </row>
    <row r="10" spans="1:5" outlineLevel="2">
      <c r="A10" s="91" t="s">
        <v>971</v>
      </c>
      <c r="C10" s="339">
        <v>5179.43</v>
      </c>
      <c r="E10" s="91" t="s">
        <v>945</v>
      </c>
    </row>
    <row r="11" spans="1:5" outlineLevel="1">
      <c r="A11" s="469" t="s">
        <v>1329</v>
      </c>
      <c r="C11" s="471">
        <f>SUBTOTAL(9,C10:C10)</f>
        <v>5179.43</v>
      </c>
    </row>
    <row r="12" spans="1:5" outlineLevel="2">
      <c r="A12" s="91" t="s">
        <v>976</v>
      </c>
      <c r="C12" s="339">
        <v>129539</v>
      </c>
      <c r="E12" s="91" t="s">
        <v>977</v>
      </c>
    </row>
    <row r="13" spans="1:5" outlineLevel="2">
      <c r="A13" s="91" t="s">
        <v>976</v>
      </c>
      <c r="C13" s="339">
        <v>10985</v>
      </c>
      <c r="E13" s="91" t="s">
        <v>977</v>
      </c>
    </row>
    <row r="14" spans="1:5" outlineLevel="2">
      <c r="A14" s="91" t="s">
        <v>976</v>
      </c>
      <c r="C14" s="339">
        <v>119361.69</v>
      </c>
      <c r="E14" s="91" t="s">
        <v>977</v>
      </c>
    </row>
    <row r="15" spans="1:5" outlineLevel="2">
      <c r="A15" s="91" t="s">
        <v>976</v>
      </c>
      <c r="C15" s="339">
        <v>5289</v>
      </c>
      <c r="E15" s="91" t="s">
        <v>977</v>
      </c>
    </row>
    <row r="16" spans="1:5" outlineLevel="2">
      <c r="A16" s="91" t="s">
        <v>976</v>
      </c>
      <c r="C16" s="339">
        <v>20808</v>
      </c>
      <c r="E16" s="91" t="s">
        <v>977</v>
      </c>
    </row>
    <row r="17" spans="1:5" outlineLevel="2">
      <c r="A17" s="91" t="s">
        <v>976</v>
      </c>
      <c r="C17" s="339">
        <v>49370</v>
      </c>
      <c r="E17" s="91" t="s">
        <v>977</v>
      </c>
    </row>
    <row r="18" spans="1:5" outlineLevel="2">
      <c r="A18" s="91" t="s">
        <v>976</v>
      </c>
      <c r="C18" s="339">
        <v>34500</v>
      </c>
      <c r="E18" s="91" t="s">
        <v>977</v>
      </c>
    </row>
    <row r="19" spans="1:5" outlineLevel="2">
      <c r="A19" s="91" t="s">
        <v>976</v>
      </c>
      <c r="C19" s="339">
        <v>1627.5</v>
      </c>
      <c r="E19" s="91" t="s">
        <v>1594</v>
      </c>
    </row>
    <row r="20" spans="1:5" outlineLevel="2">
      <c r="A20" s="91" t="s">
        <v>976</v>
      </c>
      <c r="C20" s="339">
        <v>1250</v>
      </c>
      <c r="E20" s="91" t="s">
        <v>1594</v>
      </c>
    </row>
    <row r="21" spans="1:5" outlineLevel="2">
      <c r="A21" s="91" t="s">
        <v>976</v>
      </c>
      <c r="C21" s="339">
        <v>2280</v>
      </c>
      <c r="E21" s="91" t="s">
        <v>1594</v>
      </c>
    </row>
    <row r="22" spans="1:5" outlineLevel="2">
      <c r="A22" s="91" t="s">
        <v>976</v>
      </c>
      <c r="C22" s="339">
        <v>1624.25</v>
      </c>
      <c r="E22" s="91" t="s">
        <v>1594</v>
      </c>
    </row>
    <row r="23" spans="1:5" outlineLevel="2">
      <c r="A23" s="91" t="s">
        <v>976</v>
      </c>
      <c r="C23" s="339">
        <v>3446</v>
      </c>
      <c r="E23" s="91" t="s">
        <v>1594</v>
      </c>
    </row>
    <row r="24" spans="1:5" outlineLevel="2">
      <c r="A24" s="91" t="s">
        <v>976</v>
      </c>
      <c r="C24" s="339">
        <v>269.39</v>
      </c>
      <c r="E24" s="91" t="s">
        <v>1594</v>
      </c>
    </row>
    <row r="25" spans="1:5" outlineLevel="2">
      <c r="A25" s="91" t="s">
        <v>976</v>
      </c>
      <c r="C25" s="339">
        <v>278580</v>
      </c>
      <c r="E25" s="91" t="s">
        <v>573</v>
      </c>
    </row>
    <row r="26" spans="1:5" outlineLevel="2">
      <c r="A26" s="91" t="s">
        <v>976</v>
      </c>
      <c r="C26" s="339">
        <v>104297</v>
      </c>
      <c r="E26" s="91" t="s">
        <v>588</v>
      </c>
    </row>
    <row r="27" spans="1:5" outlineLevel="2">
      <c r="A27" s="91" t="s">
        <v>976</v>
      </c>
      <c r="C27" s="339">
        <v>7168</v>
      </c>
      <c r="E27" s="91" t="s">
        <v>588</v>
      </c>
    </row>
    <row r="28" spans="1:5" outlineLevel="2">
      <c r="A28" s="91" t="s">
        <v>976</v>
      </c>
      <c r="C28" s="339">
        <v>750</v>
      </c>
      <c r="E28" s="91" t="s">
        <v>157</v>
      </c>
    </row>
    <row r="29" spans="1:5" outlineLevel="2">
      <c r="A29" s="91" t="s">
        <v>976</v>
      </c>
      <c r="C29" s="339">
        <v>750</v>
      </c>
      <c r="E29" s="91" t="s">
        <v>157</v>
      </c>
    </row>
    <row r="30" spans="1:5" outlineLevel="2">
      <c r="A30" s="91" t="s">
        <v>976</v>
      </c>
      <c r="C30" s="339">
        <v>3685</v>
      </c>
      <c r="E30" s="91" t="s">
        <v>157</v>
      </c>
    </row>
    <row r="31" spans="1:5" outlineLevel="2">
      <c r="A31" s="91" t="s">
        <v>976</v>
      </c>
      <c r="C31" s="339">
        <v>30050</v>
      </c>
      <c r="E31" s="91" t="s">
        <v>1683</v>
      </c>
    </row>
    <row r="32" spans="1:5" outlineLevel="2">
      <c r="A32" s="91" t="s">
        <v>976</v>
      </c>
      <c r="C32" s="339">
        <v>300</v>
      </c>
      <c r="E32" s="91" t="s">
        <v>1683</v>
      </c>
    </row>
    <row r="33" spans="1:5" outlineLevel="2">
      <c r="A33" s="91" t="s">
        <v>976</v>
      </c>
      <c r="C33" s="339">
        <v>300</v>
      </c>
      <c r="E33" s="91" t="s">
        <v>1683</v>
      </c>
    </row>
    <row r="34" spans="1:5" outlineLevel="2">
      <c r="A34" s="91" t="s">
        <v>976</v>
      </c>
      <c r="C34" s="339">
        <v>900</v>
      </c>
      <c r="E34" s="91" t="s">
        <v>157</v>
      </c>
    </row>
    <row r="35" spans="1:5" outlineLevel="2">
      <c r="A35" s="91" t="s">
        <v>976</v>
      </c>
      <c r="C35" s="339">
        <v>750</v>
      </c>
      <c r="E35" s="91" t="s">
        <v>157</v>
      </c>
    </row>
    <row r="36" spans="1:5" outlineLevel="2">
      <c r="A36" s="91" t="s">
        <v>976</v>
      </c>
      <c r="C36" s="339">
        <v>324436</v>
      </c>
      <c r="E36" s="91" t="s">
        <v>157</v>
      </c>
    </row>
    <row r="37" spans="1:5" outlineLevel="2">
      <c r="A37" s="91" t="s">
        <v>976</v>
      </c>
      <c r="C37" s="339">
        <v>1415</v>
      </c>
      <c r="E37" s="91" t="s">
        <v>157</v>
      </c>
    </row>
    <row r="38" spans="1:5" outlineLevel="2">
      <c r="A38" s="91" t="s">
        <v>976</v>
      </c>
      <c r="C38" s="339">
        <v>3446</v>
      </c>
      <c r="E38" s="91" t="s">
        <v>1563</v>
      </c>
    </row>
    <row r="39" spans="1:5" outlineLevel="2">
      <c r="A39" s="91" t="s">
        <v>976</v>
      </c>
      <c r="C39" s="339">
        <v>2561.1999999999998</v>
      </c>
      <c r="E39" s="91" t="s">
        <v>1564</v>
      </c>
    </row>
    <row r="40" spans="1:5" outlineLevel="2">
      <c r="A40" s="91" t="s">
        <v>976</v>
      </c>
      <c r="C40" s="339">
        <v>1832</v>
      </c>
      <c r="E40" s="91" t="s">
        <v>1565</v>
      </c>
    </row>
    <row r="41" spans="1:5" outlineLevel="2">
      <c r="A41" s="91" t="s">
        <v>976</v>
      </c>
      <c r="C41" s="339">
        <v>7160</v>
      </c>
      <c r="E41" s="91" t="s">
        <v>1566</v>
      </c>
    </row>
    <row r="42" spans="1:5" outlineLevel="2">
      <c r="A42" s="91" t="s">
        <v>976</v>
      </c>
      <c r="C42" s="339">
        <v>7160</v>
      </c>
      <c r="E42" s="91" t="s">
        <v>1567</v>
      </c>
    </row>
    <row r="43" spans="1:5" outlineLevel="2">
      <c r="A43" s="91" t="s">
        <v>976</v>
      </c>
      <c r="C43" s="339">
        <v>750</v>
      </c>
      <c r="E43" s="91" t="s">
        <v>1712</v>
      </c>
    </row>
    <row r="44" spans="1:5" outlineLevel="2">
      <c r="A44" s="91" t="s">
        <v>976</v>
      </c>
      <c r="C44" s="339">
        <v>3685</v>
      </c>
      <c r="E44" s="470" t="s">
        <v>1711</v>
      </c>
    </row>
    <row r="45" spans="1:5" outlineLevel="2">
      <c r="A45" s="91" t="s">
        <v>976</v>
      </c>
      <c r="C45" s="339">
        <v>2700</v>
      </c>
      <c r="E45" s="470" t="s">
        <v>1710</v>
      </c>
    </row>
    <row r="46" spans="1:5" outlineLevel="1">
      <c r="A46" s="469" t="s">
        <v>1330</v>
      </c>
      <c r="C46" s="471">
        <f>SUBTOTAL(9,C12:C45)</f>
        <v>1163025.03</v>
      </c>
      <c r="E46" s="470"/>
    </row>
    <row r="47" spans="1:5" outlineLevel="2">
      <c r="A47" s="91" t="s">
        <v>1695</v>
      </c>
      <c r="C47" s="339">
        <v>1069.5</v>
      </c>
      <c r="E47" s="91" t="s">
        <v>1696</v>
      </c>
    </row>
    <row r="48" spans="1:5" outlineLevel="2">
      <c r="A48" s="91" t="s">
        <v>1695</v>
      </c>
      <c r="C48" s="339">
        <v>2712</v>
      </c>
      <c r="E48" s="91" t="s">
        <v>1696</v>
      </c>
    </row>
    <row r="49" spans="1:5" outlineLevel="1">
      <c r="A49" s="469" t="s">
        <v>842</v>
      </c>
      <c r="C49" s="471">
        <f>SUBTOTAL(9,C47:C48)</f>
        <v>3781.5</v>
      </c>
    </row>
    <row r="50" spans="1:5" outlineLevel="2">
      <c r="A50" s="91" t="s">
        <v>1199</v>
      </c>
      <c r="C50" s="339">
        <v>11048.44</v>
      </c>
      <c r="E50" s="91" t="s">
        <v>1201</v>
      </c>
    </row>
    <row r="51" spans="1:5" outlineLevel="1">
      <c r="A51" s="469" t="s">
        <v>843</v>
      </c>
      <c r="C51" s="471">
        <f>SUBTOTAL(9,C50:C50)</f>
        <v>11048.44</v>
      </c>
    </row>
    <row r="52" spans="1:5" outlineLevel="2">
      <c r="A52" s="91" t="s">
        <v>146</v>
      </c>
      <c r="C52" s="339">
        <v>20139.650000000001</v>
      </c>
      <c r="E52" s="91" t="s">
        <v>156</v>
      </c>
    </row>
    <row r="53" spans="1:5" outlineLevel="2">
      <c r="A53" s="91" t="s">
        <v>146</v>
      </c>
      <c r="C53" s="339">
        <v>3526.51</v>
      </c>
      <c r="E53" s="91" t="s">
        <v>157</v>
      </c>
    </row>
    <row r="54" spans="1:5" outlineLevel="2">
      <c r="A54" s="91" t="s">
        <v>146</v>
      </c>
      <c r="C54" s="339">
        <v>6000</v>
      </c>
      <c r="E54" s="91" t="s">
        <v>152</v>
      </c>
    </row>
    <row r="55" spans="1:5" outlineLevel="2">
      <c r="A55" s="91" t="s">
        <v>146</v>
      </c>
      <c r="C55" s="339">
        <v>22018.36</v>
      </c>
      <c r="E55" s="91" t="s">
        <v>1678</v>
      </c>
    </row>
    <row r="56" spans="1:5" outlineLevel="2">
      <c r="A56" s="91" t="s">
        <v>146</v>
      </c>
      <c r="C56" s="339">
        <v>32599.83</v>
      </c>
      <c r="E56" s="91" t="s">
        <v>1678</v>
      </c>
    </row>
    <row r="57" spans="1:5" outlineLevel="2">
      <c r="A57" s="91" t="s">
        <v>146</v>
      </c>
      <c r="C57" s="339">
        <v>7781.75</v>
      </c>
      <c r="E57" s="91" t="s">
        <v>158</v>
      </c>
    </row>
    <row r="58" spans="1:5" outlineLevel="2">
      <c r="A58" s="91" t="s">
        <v>146</v>
      </c>
      <c r="C58" s="339">
        <v>27313.69</v>
      </c>
      <c r="E58" s="91" t="s">
        <v>155</v>
      </c>
    </row>
    <row r="59" spans="1:5" outlineLevel="2">
      <c r="A59" s="91" t="s">
        <v>146</v>
      </c>
      <c r="C59" s="339">
        <v>26390.01</v>
      </c>
      <c r="E59" s="91" t="s">
        <v>154</v>
      </c>
    </row>
    <row r="60" spans="1:5" outlineLevel="2">
      <c r="A60" s="91" t="s">
        <v>146</v>
      </c>
      <c r="C60" s="339">
        <v>2663.19</v>
      </c>
      <c r="E60" s="91" t="s">
        <v>153</v>
      </c>
    </row>
    <row r="61" spans="1:5" outlineLevel="2">
      <c r="A61" s="91" t="s">
        <v>146</v>
      </c>
      <c r="C61" s="339">
        <v>45905</v>
      </c>
      <c r="E61" s="91" t="s">
        <v>588</v>
      </c>
    </row>
    <row r="62" spans="1:5" outlineLevel="2">
      <c r="A62" s="91" t="s">
        <v>146</v>
      </c>
      <c r="C62" s="339">
        <v>47620.5</v>
      </c>
      <c r="E62" s="91" t="s">
        <v>588</v>
      </c>
    </row>
    <row r="63" spans="1:5" outlineLevel="2">
      <c r="A63" s="91" t="s">
        <v>146</v>
      </c>
      <c r="C63" s="339">
        <v>54196.5</v>
      </c>
      <c r="E63" s="91" t="s">
        <v>931</v>
      </c>
    </row>
    <row r="64" spans="1:5" outlineLevel="2">
      <c r="A64" s="91" t="s">
        <v>146</v>
      </c>
      <c r="C64" s="339">
        <v>9000</v>
      </c>
      <c r="E64" s="91" t="s">
        <v>1376</v>
      </c>
    </row>
    <row r="65" spans="1:5" outlineLevel="2">
      <c r="A65" s="91" t="s">
        <v>146</v>
      </c>
      <c r="C65" s="339">
        <v>63485.07</v>
      </c>
      <c r="E65" s="91" t="s">
        <v>1377</v>
      </c>
    </row>
    <row r="66" spans="1:5" outlineLevel="2">
      <c r="A66" s="91" t="s">
        <v>146</v>
      </c>
      <c r="C66" s="339">
        <v>8529.09</v>
      </c>
      <c r="E66" s="470" t="s">
        <v>1726</v>
      </c>
    </row>
    <row r="67" spans="1:5" outlineLevel="2">
      <c r="A67" s="91" t="s">
        <v>146</v>
      </c>
      <c r="C67" s="339">
        <v>33146.06</v>
      </c>
      <c r="E67" s="91" t="s">
        <v>991</v>
      </c>
    </row>
    <row r="68" spans="1:5" outlineLevel="2">
      <c r="A68" s="91" t="s">
        <v>146</v>
      </c>
      <c r="C68" s="339">
        <v>8777.07</v>
      </c>
      <c r="E68" s="91" t="s">
        <v>992</v>
      </c>
    </row>
    <row r="69" spans="1:5" outlineLevel="2">
      <c r="A69" s="91" t="s">
        <v>146</v>
      </c>
      <c r="C69" s="339">
        <v>5422.76</v>
      </c>
      <c r="E69" s="91" t="s">
        <v>992</v>
      </c>
    </row>
    <row r="70" spans="1:5" outlineLevel="2">
      <c r="A70" s="91" t="s">
        <v>146</v>
      </c>
      <c r="C70" s="339">
        <v>2644.2</v>
      </c>
      <c r="E70" s="91" t="s">
        <v>993</v>
      </c>
    </row>
    <row r="71" spans="1:5" outlineLevel="2">
      <c r="A71" s="91" t="s">
        <v>146</v>
      </c>
      <c r="C71" s="339">
        <v>32319.35</v>
      </c>
      <c r="E71" s="91" t="s">
        <v>1671</v>
      </c>
    </row>
    <row r="72" spans="1:5" outlineLevel="2">
      <c r="A72" s="91" t="s">
        <v>146</v>
      </c>
      <c r="C72" s="339">
        <v>47656.79</v>
      </c>
      <c r="E72" s="91" t="s">
        <v>1672</v>
      </c>
    </row>
    <row r="73" spans="1:5" outlineLevel="2">
      <c r="A73" s="91" t="s">
        <v>146</v>
      </c>
      <c r="C73" s="339">
        <v>45840.46</v>
      </c>
      <c r="E73" s="91" t="s">
        <v>1672</v>
      </c>
    </row>
    <row r="74" spans="1:5" outlineLevel="2">
      <c r="A74" s="91" t="s">
        <v>146</v>
      </c>
      <c r="C74" s="339">
        <v>112179.6</v>
      </c>
      <c r="E74" s="91" t="s">
        <v>80</v>
      </c>
    </row>
    <row r="75" spans="1:5" outlineLevel="1">
      <c r="A75" s="469" t="s">
        <v>1331</v>
      </c>
      <c r="C75" s="471">
        <f>SUBTOTAL(9,C52:C74)</f>
        <v>665155.43999999994</v>
      </c>
    </row>
    <row r="76" spans="1:5" outlineLevel="2">
      <c r="A76" s="91" t="s">
        <v>986</v>
      </c>
      <c r="C76" s="339">
        <v>6980</v>
      </c>
      <c r="E76" s="91" t="s">
        <v>985</v>
      </c>
    </row>
    <row r="77" spans="1:5" outlineLevel="1">
      <c r="A77" s="469" t="s">
        <v>1332</v>
      </c>
      <c r="C77" s="471">
        <f>SUBTOTAL(9,C76:C76)</f>
        <v>6980</v>
      </c>
    </row>
    <row r="78" spans="1:5" outlineLevel="2">
      <c r="A78" s="91" t="s">
        <v>1308</v>
      </c>
      <c r="C78" s="339">
        <v>15834</v>
      </c>
      <c r="E78" s="91" t="s">
        <v>575</v>
      </c>
    </row>
    <row r="79" spans="1:5" outlineLevel="2">
      <c r="A79" s="91" t="s">
        <v>1308</v>
      </c>
      <c r="C79" s="339">
        <v>15834</v>
      </c>
      <c r="E79" s="91" t="s">
        <v>945</v>
      </c>
    </row>
    <row r="80" spans="1:5" outlineLevel="2">
      <c r="A80" s="91" t="s">
        <v>1308</v>
      </c>
      <c r="C80" s="339">
        <v>252344</v>
      </c>
      <c r="E80" s="91" t="s">
        <v>1309</v>
      </c>
    </row>
    <row r="81" spans="1:5" outlineLevel="2">
      <c r="A81" s="91" t="s">
        <v>1308</v>
      </c>
      <c r="C81" s="339">
        <v>4671.74</v>
      </c>
      <c r="E81" s="91" t="s">
        <v>1310</v>
      </c>
    </row>
    <row r="82" spans="1:5" outlineLevel="2">
      <c r="A82" s="91" t="s">
        <v>1308</v>
      </c>
      <c r="C82" s="339">
        <v>53311.19</v>
      </c>
      <c r="E82" s="91" t="s">
        <v>1311</v>
      </c>
    </row>
    <row r="83" spans="1:5" outlineLevel="2">
      <c r="A83" s="91" t="s">
        <v>1308</v>
      </c>
      <c r="C83" s="339">
        <v>327.02</v>
      </c>
      <c r="E83" s="91" t="s">
        <v>1312</v>
      </c>
    </row>
    <row r="84" spans="1:5" outlineLevel="2">
      <c r="A84" s="91" t="s">
        <v>1308</v>
      </c>
      <c r="C84" s="339">
        <v>17664.080000000002</v>
      </c>
      <c r="E84" s="91" t="s">
        <v>1313</v>
      </c>
    </row>
    <row r="85" spans="1:5" outlineLevel="2">
      <c r="A85" s="91" t="s">
        <v>1308</v>
      </c>
      <c r="C85" s="339">
        <v>15834</v>
      </c>
      <c r="E85" s="91" t="s">
        <v>1002</v>
      </c>
    </row>
    <row r="86" spans="1:5" outlineLevel="2">
      <c r="A86" s="91" t="s">
        <v>1308</v>
      </c>
      <c r="C86" s="339">
        <v>97500</v>
      </c>
      <c r="E86" s="91" t="s">
        <v>575</v>
      </c>
    </row>
    <row r="87" spans="1:5" outlineLevel="2">
      <c r="A87" s="91" t="s">
        <v>1308</v>
      </c>
      <c r="C87" s="339">
        <v>62060.03</v>
      </c>
      <c r="E87" s="91" t="s">
        <v>1317</v>
      </c>
    </row>
    <row r="88" spans="1:5" outlineLevel="2">
      <c r="A88" s="91" t="s">
        <v>1308</v>
      </c>
      <c r="C88" s="339">
        <v>6680.84</v>
      </c>
      <c r="E88" s="91" t="s">
        <v>1310</v>
      </c>
    </row>
    <row r="89" spans="1:5" outlineLevel="2">
      <c r="A89" s="91" t="s">
        <v>1308</v>
      </c>
      <c r="C89" s="339">
        <v>56199.97</v>
      </c>
      <c r="E89" s="91" t="s">
        <v>1320</v>
      </c>
    </row>
    <row r="90" spans="1:5" outlineLevel="2">
      <c r="A90" s="91" t="s">
        <v>1308</v>
      </c>
      <c r="C90" s="339">
        <v>3440.53</v>
      </c>
      <c r="E90" s="91" t="s">
        <v>1310</v>
      </c>
    </row>
    <row r="91" spans="1:5" outlineLevel="1">
      <c r="A91" s="469" t="s">
        <v>844</v>
      </c>
      <c r="C91" s="471">
        <f>SUBTOTAL(9,C78:C90)</f>
        <v>601701.4</v>
      </c>
    </row>
    <row r="92" spans="1:5" outlineLevel="2">
      <c r="A92" s="91" t="s">
        <v>1197</v>
      </c>
      <c r="C92" s="339">
        <v>11661.52</v>
      </c>
      <c r="E92" s="91" t="s">
        <v>1201</v>
      </c>
    </row>
    <row r="93" spans="1:5" outlineLevel="1">
      <c r="A93" s="469" t="s">
        <v>845</v>
      </c>
      <c r="C93" s="471">
        <f>SUBTOTAL(9,C92:C92)</f>
        <v>11661.52</v>
      </c>
    </row>
    <row r="94" spans="1:5" outlineLevel="2">
      <c r="A94" s="91" t="s">
        <v>380</v>
      </c>
      <c r="C94" s="339">
        <v>19206.150000000001</v>
      </c>
      <c r="E94" s="91" t="s">
        <v>381</v>
      </c>
    </row>
    <row r="95" spans="1:5" outlineLevel="1">
      <c r="A95" s="469" t="s">
        <v>846</v>
      </c>
      <c r="C95" s="471">
        <f>SUBTOTAL(9,C94:C94)</f>
        <v>19206.150000000001</v>
      </c>
    </row>
    <row r="96" spans="1:5" outlineLevel="2">
      <c r="A96" s="91" t="s">
        <v>1384</v>
      </c>
      <c r="C96" s="339">
        <v>396000</v>
      </c>
      <c r="E96" s="91" t="s">
        <v>1307</v>
      </c>
    </row>
    <row r="97" spans="1:5" outlineLevel="2">
      <c r="A97" s="91" t="s">
        <v>1384</v>
      </c>
      <c r="C97" s="339">
        <v>-22604.87</v>
      </c>
      <c r="E97" s="91" t="s">
        <v>1315</v>
      </c>
    </row>
    <row r="98" spans="1:5" outlineLevel="2">
      <c r="A98" s="91" t="s">
        <v>1384</v>
      </c>
      <c r="C98" s="339">
        <v>-26120.07</v>
      </c>
      <c r="E98" s="91" t="s">
        <v>1315</v>
      </c>
    </row>
    <row r="99" spans="1:5" outlineLevel="2">
      <c r="A99" s="91" t="s">
        <v>1384</v>
      </c>
      <c r="C99" s="339">
        <v>-24767.55</v>
      </c>
      <c r="E99" s="91" t="s">
        <v>1315</v>
      </c>
    </row>
    <row r="100" spans="1:5" outlineLevel="2">
      <c r="A100" s="91" t="s">
        <v>1384</v>
      </c>
      <c r="C100" s="339">
        <v>-28671.86</v>
      </c>
      <c r="E100" s="91" t="s">
        <v>1315</v>
      </c>
    </row>
    <row r="101" spans="1:5" outlineLevel="2">
      <c r="A101" s="91" t="s">
        <v>1384</v>
      </c>
      <c r="C101" s="339">
        <v>-62060.03</v>
      </c>
      <c r="E101" s="91" t="s">
        <v>1318</v>
      </c>
    </row>
    <row r="102" spans="1:5" outlineLevel="2">
      <c r="A102" s="91" t="s">
        <v>1384</v>
      </c>
      <c r="C102" s="339">
        <v>-183010.45</v>
      </c>
      <c r="E102" s="91" t="s">
        <v>1319</v>
      </c>
    </row>
    <row r="103" spans="1:5" outlineLevel="2">
      <c r="A103" s="91" t="s">
        <v>1384</v>
      </c>
      <c r="C103" s="339">
        <v>-135431.96</v>
      </c>
      <c r="E103" s="91" t="s">
        <v>1319</v>
      </c>
    </row>
    <row r="104" spans="1:5" outlineLevel="2">
      <c r="A104" s="91" t="s">
        <v>1384</v>
      </c>
      <c r="C104" s="339">
        <v>-78641.11</v>
      </c>
      <c r="E104" s="91" t="s">
        <v>1319</v>
      </c>
    </row>
    <row r="105" spans="1:5" outlineLevel="2">
      <c r="A105" s="91" t="s">
        <v>1384</v>
      </c>
      <c r="C105" s="339">
        <v>186919</v>
      </c>
      <c r="E105" s="91" t="s">
        <v>1386</v>
      </c>
    </row>
    <row r="106" spans="1:5" outlineLevel="2">
      <c r="A106" s="91" t="s">
        <v>1384</v>
      </c>
      <c r="C106" s="339">
        <v>700000</v>
      </c>
      <c r="E106" s="91" t="s">
        <v>1387</v>
      </c>
    </row>
    <row r="107" spans="1:5" outlineLevel="2">
      <c r="A107" s="91" t="s">
        <v>1384</v>
      </c>
      <c r="C107" s="339">
        <v>-140807.71</v>
      </c>
      <c r="E107" s="91" t="s">
        <v>461</v>
      </c>
    </row>
    <row r="108" spans="1:5" outlineLevel="1">
      <c r="A108" s="469" t="s">
        <v>1333</v>
      </c>
      <c r="C108" s="471">
        <f>SUBTOTAL(9,C96:C107)</f>
        <v>580803.39000000013</v>
      </c>
    </row>
    <row r="109" spans="1:5" outlineLevel="2">
      <c r="A109" s="91" t="s">
        <v>133</v>
      </c>
      <c r="C109" s="339">
        <v>2500</v>
      </c>
      <c r="E109" s="91" t="s">
        <v>134</v>
      </c>
    </row>
    <row r="110" spans="1:5" outlineLevel="2">
      <c r="A110" s="91" t="s">
        <v>133</v>
      </c>
      <c r="C110" s="339">
        <v>11000</v>
      </c>
      <c r="E110" s="91" t="s">
        <v>952</v>
      </c>
    </row>
    <row r="111" spans="1:5" outlineLevel="2">
      <c r="A111" s="91" t="s">
        <v>133</v>
      </c>
      <c r="C111" s="339">
        <v>3000</v>
      </c>
      <c r="E111" s="91" t="s">
        <v>952</v>
      </c>
    </row>
    <row r="112" spans="1:5" outlineLevel="2">
      <c r="A112" s="91" t="s">
        <v>133</v>
      </c>
      <c r="C112" s="339">
        <v>17510.900000000001</v>
      </c>
      <c r="E112" s="91" t="s">
        <v>888</v>
      </c>
    </row>
    <row r="113" spans="1:5" outlineLevel="2">
      <c r="A113" s="91" t="s">
        <v>133</v>
      </c>
      <c r="C113" s="339">
        <v>22413.15</v>
      </c>
      <c r="E113" s="91" t="s">
        <v>888</v>
      </c>
    </row>
    <row r="114" spans="1:5" outlineLevel="1">
      <c r="A114" s="469" t="s">
        <v>1334</v>
      </c>
      <c r="C114" s="471">
        <f>SUBTOTAL(9,C109:C113)</f>
        <v>56424.05</v>
      </c>
    </row>
    <row r="115" spans="1:5" outlineLevel="2">
      <c r="A115" s="91" t="s">
        <v>1447</v>
      </c>
      <c r="C115" s="339">
        <v>12500</v>
      </c>
      <c r="E115" s="91" t="s">
        <v>886</v>
      </c>
    </row>
    <row r="116" spans="1:5" outlineLevel="2">
      <c r="A116" s="91" t="s">
        <v>1447</v>
      </c>
      <c r="C116" s="339">
        <v>12500</v>
      </c>
      <c r="E116" s="91" t="s">
        <v>1413</v>
      </c>
    </row>
    <row r="117" spans="1:5" outlineLevel="1">
      <c r="A117" s="469" t="s">
        <v>1335</v>
      </c>
      <c r="C117" s="471">
        <f>SUBTOTAL(9,C115:C116)</f>
        <v>25000</v>
      </c>
    </row>
    <row r="118" spans="1:5" outlineLevel="2">
      <c r="A118" s="91" t="s">
        <v>942</v>
      </c>
      <c r="C118" s="339">
        <v>5000</v>
      </c>
      <c r="E118" s="91" t="s">
        <v>943</v>
      </c>
    </row>
    <row r="119" spans="1:5" outlineLevel="2">
      <c r="A119" s="91" t="s">
        <v>942</v>
      </c>
      <c r="C119" s="339">
        <v>203476.5</v>
      </c>
      <c r="E119" s="91" t="s">
        <v>969</v>
      </c>
    </row>
    <row r="120" spans="1:5" outlineLevel="2">
      <c r="A120" s="91" t="s">
        <v>942</v>
      </c>
      <c r="C120" s="339">
        <v>10245.82</v>
      </c>
      <c r="E120" s="91" t="s">
        <v>974</v>
      </c>
    </row>
    <row r="121" spans="1:5" outlineLevel="2">
      <c r="A121" s="91" t="s">
        <v>942</v>
      </c>
      <c r="C121" s="339">
        <v>15000</v>
      </c>
      <c r="E121" s="91" t="s">
        <v>1341</v>
      </c>
    </row>
    <row r="122" spans="1:5" outlineLevel="2">
      <c r="A122" s="91" t="s">
        <v>942</v>
      </c>
      <c r="C122" s="339">
        <v>10231.82</v>
      </c>
      <c r="E122" s="91" t="s">
        <v>1341</v>
      </c>
    </row>
    <row r="123" spans="1:5" outlineLevel="2">
      <c r="A123" s="91" t="s">
        <v>942</v>
      </c>
      <c r="C123" s="339">
        <v>5000</v>
      </c>
      <c r="E123" s="91" t="s">
        <v>982</v>
      </c>
    </row>
    <row r="124" spans="1:5" outlineLevel="2">
      <c r="A124" s="91" t="s">
        <v>942</v>
      </c>
      <c r="C124" s="339">
        <v>7017.42</v>
      </c>
      <c r="E124" s="91" t="s">
        <v>1374</v>
      </c>
    </row>
    <row r="125" spans="1:5" outlineLevel="2">
      <c r="A125" s="91" t="s">
        <v>942</v>
      </c>
      <c r="C125" s="339">
        <v>15000</v>
      </c>
      <c r="E125" s="91" t="s">
        <v>1373</v>
      </c>
    </row>
    <row r="126" spans="1:5" outlineLevel="2">
      <c r="A126" s="91" t="s">
        <v>942</v>
      </c>
      <c r="C126" s="339">
        <v>13833.93</v>
      </c>
      <c r="E126" s="91" t="s">
        <v>568</v>
      </c>
    </row>
    <row r="127" spans="1:5" outlineLevel="2">
      <c r="A127" s="91" t="s">
        <v>942</v>
      </c>
      <c r="C127" s="339">
        <v>9303.06</v>
      </c>
      <c r="E127" s="91" t="s">
        <v>569</v>
      </c>
    </row>
    <row r="128" spans="1:5" outlineLevel="2">
      <c r="A128" s="91" t="s">
        <v>942</v>
      </c>
      <c r="C128" s="339">
        <f>5000+5000</f>
        <v>10000</v>
      </c>
      <c r="E128" s="91" t="s">
        <v>567</v>
      </c>
    </row>
    <row r="129" spans="1:5" outlineLevel="2">
      <c r="A129" s="91" t="s">
        <v>942</v>
      </c>
      <c r="C129" s="339">
        <v>510000</v>
      </c>
      <c r="E129" s="91" t="s">
        <v>556</v>
      </c>
    </row>
    <row r="130" spans="1:5" outlineLevel="2">
      <c r="A130" s="91" t="s">
        <v>942</v>
      </c>
      <c r="C130" s="339">
        <v>5000</v>
      </c>
      <c r="E130" s="91" t="s">
        <v>922</v>
      </c>
    </row>
    <row r="131" spans="1:5" outlineLevel="2">
      <c r="A131" s="91" t="s">
        <v>942</v>
      </c>
      <c r="C131" s="339">
        <v>11145.5</v>
      </c>
      <c r="E131" s="91" t="s">
        <v>946</v>
      </c>
    </row>
    <row r="132" spans="1:5" outlineLevel="2">
      <c r="A132" s="91" t="s">
        <v>942</v>
      </c>
      <c r="C132" s="339">
        <v>9030.98</v>
      </c>
      <c r="E132" s="91" t="s">
        <v>963</v>
      </c>
    </row>
    <row r="133" spans="1:5" outlineLevel="2">
      <c r="A133" s="91" t="s">
        <v>942</v>
      </c>
      <c r="C133" s="339">
        <v>10000</v>
      </c>
      <c r="E133" s="91" t="s">
        <v>994</v>
      </c>
    </row>
    <row r="134" spans="1:5" outlineLevel="2">
      <c r="A134" s="91" t="s">
        <v>942</v>
      </c>
      <c r="C134" s="339">
        <v>5000</v>
      </c>
      <c r="E134" s="91" t="s">
        <v>995</v>
      </c>
    </row>
    <row r="135" spans="1:5" outlineLevel="1">
      <c r="A135" s="469" t="s">
        <v>1336</v>
      </c>
      <c r="C135" s="471">
        <f>SUBTOTAL(9,C118:C134)</f>
        <v>854285.03</v>
      </c>
    </row>
    <row r="136" spans="1:5" outlineLevel="2">
      <c r="A136" s="91" t="s">
        <v>1043</v>
      </c>
      <c r="C136" s="339">
        <v>60398.33</v>
      </c>
      <c r="E136" s="91" t="s">
        <v>1393</v>
      </c>
    </row>
    <row r="137" spans="1:5" outlineLevel="2">
      <c r="A137" s="91" t="s">
        <v>1043</v>
      </c>
      <c r="C137" s="339">
        <v>34252.67</v>
      </c>
      <c r="E137" s="91" t="s">
        <v>1394</v>
      </c>
    </row>
    <row r="138" spans="1:5" outlineLevel="2">
      <c r="A138" s="91" t="s">
        <v>1043</v>
      </c>
      <c r="C138" s="339">
        <v>96762</v>
      </c>
      <c r="E138" s="91" t="s">
        <v>1395</v>
      </c>
    </row>
    <row r="139" spans="1:5" outlineLevel="2">
      <c r="A139" s="91" t="s">
        <v>1043</v>
      </c>
      <c r="C139" s="339">
        <v>356900</v>
      </c>
      <c r="E139" s="91" t="s">
        <v>1396</v>
      </c>
    </row>
    <row r="140" spans="1:5" outlineLevel="2">
      <c r="A140" s="91" t="s">
        <v>1043</v>
      </c>
      <c r="C140" s="339">
        <v>59980.39</v>
      </c>
      <c r="E140" s="91" t="s">
        <v>1522</v>
      </c>
    </row>
    <row r="141" spans="1:5" outlineLevel="2">
      <c r="A141" s="91" t="s">
        <v>1043</v>
      </c>
      <c r="C141" s="339">
        <v>450000</v>
      </c>
      <c r="E141" s="91" t="s">
        <v>1520</v>
      </c>
    </row>
    <row r="142" spans="1:5" outlineLevel="2">
      <c r="A142" s="91" t="s">
        <v>1043</v>
      </c>
      <c r="C142" s="339">
        <v>139019.70000000001</v>
      </c>
      <c r="E142" s="91" t="s">
        <v>1523</v>
      </c>
    </row>
    <row r="143" spans="1:5" outlineLevel="2">
      <c r="A143" s="91" t="s">
        <v>1043</v>
      </c>
      <c r="C143" s="339">
        <v>158159</v>
      </c>
      <c r="E143" s="91" t="s">
        <v>1676</v>
      </c>
    </row>
    <row r="144" spans="1:5" outlineLevel="2">
      <c r="A144" s="91" t="s">
        <v>1043</v>
      </c>
      <c r="C144" s="339">
        <v>3190</v>
      </c>
      <c r="E144" s="91" t="s">
        <v>1692</v>
      </c>
    </row>
    <row r="145" spans="1:5" outlineLevel="2">
      <c r="A145" s="91" t="s">
        <v>1043</v>
      </c>
      <c r="C145" s="339">
        <v>98995.6</v>
      </c>
      <c r="E145" s="91" t="s">
        <v>1365</v>
      </c>
    </row>
    <row r="146" spans="1:5" outlineLevel="2">
      <c r="A146" s="91" t="s">
        <v>1043</v>
      </c>
      <c r="C146" s="339">
        <v>3204</v>
      </c>
      <c r="E146" s="91" t="s">
        <v>1078</v>
      </c>
    </row>
    <row r="147" spans="1:5" outlineLevel="2">
      <c r="A147" s="91" t="s">
        <v>1043</v>
      </c>
      <c r="C147" s="339">
        <v>1389</v>
      </c>
      <c r="E147" s="91" t="s">
        <v>1079</v>
      </c>
    </row>
    <row r="148" spans="1:5" outlineLevel="2">
      <c r="A148" s="91" t="s">
        <v>1043</v>
      </c>
      <c r="C148" s="339">
        <v>8874.49</v>
      </c>
      <c r="E148" s="91" t="s">
        <v>1080</v>
      </c>
    </row>
    <row r="149" spans="1:5" outlineLevel="2">
      <c r="A149" s="91" t="s">
        <v>1043</v>
      </c>
      <c r="C149" s="339">
        <v>8517.35</v>
      </c>
      <c r="E149" s="91" t="s">
        <v>1081</v>
      </c>
    </row>
    <row r="150" spans="1:5" outlineLevel="2">
      <c r="A150" s="91" t="s">
        <v>1043</v>
      </c>
      <c r="C150" s="339">
        <v>15064</v>
      </c>
      <c r="E150" s="91" t="s">
        <v>1082</v>
      </c>
    </row>
    <row r="151" spans="1:5" outlineLevel="2">
      <c r="A151" s="91" t="s">
        <v>1043</v>
      </c>
    </row>
    <row r="152" spans="1:5" outlineLevel="2">
      <c r="A152" s="91" t="s">
        <v>1043</v>
      </c>
    </row>
    <row r="153" spans="1:5" outlineLevel="2">
      <c r="A153" s="91" t="s">
        <v>1043</v>
      </c>
    </row>
    <row r="154" spans="1:5" outlineLevel="2">
      <c r="A154" s="91" t="s">
        <v>1043</v>
      </c>
      <c r="C154" s="339">
        <v>9587.59</v>
      </c>
      <c r="E154" s="91" t="s">
        <v>78</v>
      </c>
    </row>
    <row r="155" spans="1:5" outlineLevel="2">
      <c r="A155" s="91" t="s">
        <v>1043</v>
      </c>
      <c r="C155" s="339">
        <v>269792</v>
      </c>
      <c r="E155" s="91" t="s">
        <v>79</v>
      </c>
    </row>
    <row r="156" spans="1:5" outlineLevel="2">
      <c r="A156" s="91" t="s">
        <v>1043</v>
      </c>
      <c r="C156" s="339">
        <v>64112</v>
      </c>
      <c r="E156" s="91" t="s">
        <v>1342</v>
      </c>
    </row>
    <row r="157" spans="1:5" outlineLevel="2">
      <c r="A157" s="91" t="s">
        <v>1043</v>
      </c>
      <c r="C157" s="339">
        <v>2603</v>
      </c>
      <c r="E157" s="91" t="s">
        <v>1713</v>
      </c>
    </row>
    <row r="158" spans="1:5" outlineLevel="2">
      <c r="A158" s="91" t="s">
        <v>1043</v>
      </c>
      <c r="C158" s="339">
        <v>135000</v>
      </c>
      <c r="E158" s="91" t="s">
        <v>379</v>
      </c>
    </row>
    <row r="159" spans="1:5" outlineLevel="2">
      <c r="A159" s="91" t="s">
        <v>1043</v>
      </c>
      <c r="C159" s="339">
        <v>42682.61</v>
      </c>
      <c r="E159" s="91" t="s">
        <v>1717</v>
      </c>
    </row>
    <row r="160" spans="1:5" outlineLevel="2">
      <c r="A160" s="91" t="s">
        <v>1043</v>
      </c>
      <c r="C160" s="339">
        <v>3337.77</v>
      </c>
      <c r="E160" s="91" t="s">
        <v>1717</v>
      </c>
    </row>
    <row r="161" spans="1:5" outlineLevel="2">
      <c r="A161" s="91" t="s">
        <v>1043</v>
      </c>
      <c r="C161" s="339">
        <v>22927</v>
      </c>
      <c r="E161" s="91" t="s">
        <v>1717</v>
      </c>
    </row>
    <row r="162" spans="1:5" outlineLevel="2">
      <c r="A162" s="91" t="s">
        <v>1043</v>
      </c>
      <c r="C162" s="339">
        <v>109470.47</v>
      </c>
      <c r="E162" s="91" t="s">
        <v>1678</v>
      </c>
    </row>
    <row r="163" spans="1:5" outlineLevel="2">
      <c r="A163" s="91" t="s">
        <v>1043</v>
      </c>
      <c r="C163" s="339">
        <v>226375.67999999999</v>
      </c>
      <c r="E163" s="91" t="s">
        <v>1679</v>
      </c>
    </row>
    <row r="164" spans="1:5" outlineLevel="2">
      <c r="A164" s="91" t="s">
        <v>1043</v>
      </c>
      <c r="C164" s="339">
        <v>107307.5</v>
      </c>
      <c r="E164" s="91" t="s">
        <v>1678</v>
      </c>
    </row>
    <row r="165" spans="1:5" outlineLevel="2">
      <c r="A165" s="91" t="s">
        <v>1043</v>
      </c>
      <c r="C165" s="339">
        <v>45988.93</v>
      </c>
      <c r="E165" s="91" t="s">
        <v>1680</v>
      </c>
    </row>
    <row r="166" spans="1:5" outlineLevel="2">
      <c r="A166" s="91" t="s">
        <v>1043</v>
      </c>
      <c r="C166" s="339">
        <v>59973.51</v>
      </c>
      <c r="E166" s="91" t="s">
        <v>1681</v>
      </c>
    </row>
    <row r="167" spans="1:5" outlineLevel="2">
      <c r="A167" s="91" t="s">
        <v>1043</v>
      </c>
      <c r="C167" s="339">
        <v>316800</v>
      </c>
      <c r="E167" s="91" t="s">
        <v>1682</v>
      </c>
    </row>
    <row r="168" spans="1:5" outlineLevel="2">
      <c r="A168" s="91" t="s">
        <v>1043</v>
      </c>
      <c r="C168" s="339">
        <v>13506.95</v>
      </c>
      <c r="E168" s="91" t="s">
        <v>1683</v>
      </c>
    </row>
    <row r="169" spans="1:5" outlineLevel="2">
      <c r="A169" s="91" t="s">
        <v>1043</v>
      </c>
      <c r="C169" s="339">
        <v>165580.24</v>
      </c>
      <c r="E169" s="91" t="s">
        <v>1689</v>
      </c>
    </row>
    <row r="170" spans="1:5" outlineLevel="2">
      <c r="A170" s="91" t="s">
        <v>1043</v>
      </c>
      <c r="C170" s="339">
        <v>29582.71</v>
      </c>
      <c r="E170" s="91" t="s">
        <v>1690</v>
      </c>
    </row>
    <row r="171" spans="1:5" outlineLevel="2">
      <c r="A171" s="91" t="s">
        <v>1043</v>
      </c>
      <c r="C171" s="339">
        <v>33612</v>
      </c>
      <c r="E171" s="91" t="s">
        <v>1691</v>
      </c>
    </row>
    <row r="172" spans="1:5" outlineLevel="2">
      <c r="A172" s="91" t="s">
        <v>1043</v>
      </c>
      <c r="C172" s="339">
        <v>28581</v>
      </c>
      <c r="E172" s="91" t="s">
        <v>1691</v>
      </c>
    </row>
    <row r="173" spans="1:5" outlineLevel="2">
      <c r="A173" s="91" t="s">
        <v>1043</v>
      </c>
      <c r="C173" s="339">
        <v>89336.27</v>
      </c>
      <c r="E173" s="91" t="s">
        <v>1691</v>
      </c>
    </row>
    <row r="174" spans="1:5" outlineLevel="2">
      <c r="A174" s="91" t="s">
        <v>1043</v>
      </c>
      <c r="C174" s="339">
        <v>29084.32</v>
      </c>
      <c r="E174" s="91" t="s">
        <v>10</v>
      </c>
    </row>
    <row r="175" spans="1:5" outlineLevel="2">
      <c r="A175" s="91" t="s">
        <v>1043</v>
      </c>
      <c r="C175" s="339">
        <v>125000</v>
      </c>
      <c r="E175" s="91" t="s">
        <v>11</v>
      </c>
    </row>
    <row r="176" spans="1:5" outlineLevel="2">
      <c r="A176" s="91" t="s">
        <v>1043</v>
      </c>
      <c r="C176" s="339">
        <v>139743.6</v>
      </c>
      <c r="E176" s="91" t="s">
        <v>12</v>
      </c>
    </row>
    <row r="177" spans="1:5" outlineLevel="2">
      <c r="A177" s="91" t="s">
        <v>1043</v>
      </c>
      <c r="C177" s="339">
        <v>105000</v>
      </c>
      <c r="E177" s="91" t="s">
        <v>65</v>
      </c>
    </row>
    <row r="178" spans="1:5" outlineLevel="2">
      <c r="A178" s="91" t="s">
        <v>1043</v>
      </c>
      <c r="C178" s="339">
        <v>27013.53</v>
      </c>
      <c r="E178" s="91" t="s">
        <v>66</v>
      </c>
    </row>
    <row r="179" spans="1:5" outlineLevel="2">
      <c r="A179" s="91" t="s">
        <v>1043</v>
      </c>
      <c r="C179" s="339">
        <v>139615.51</v>
      </c>
      <c r="E179" s="91" t="s">
        <v>67</v>
      </c>
    </row>
    <row r="180" spans="1:5" outlineLevel="2">
      <c r="A180" s="91" t="s">
        <v>1043</v>
      </c>
      <c r="C180" s="339">
        <v>5374.81</v>
      </c>
      <c r="E180" s="91" t="s">
        <v>68</v>
      </c>
    </row>
    <row r="181" spans="1:5" outlineLevel="2">
      <c r="A181" s="91" t="s">
        <v>1043</v>
      </c>
      <c r="C181" s="339">
        <v>76991.62</v>
      </c>
      <c r="E181" s="91" t="s">
        <v>69</v>
      </c>
    </row>
    <row r="182" spans="1:5" outlineLevel="2">
      <c r="A182" s="91" t="s">
        <v>1043</v>
      </c>
      <c r="C182" s="339">
        <v>323039.5</v>
      </c>
      <c r="E182" s="91" t="s">
        <v>128</v>
      </c>
    </row>
    <row r="183" spans="1:5" outlineLevel="2">
      <c r="A183" s="91" t="s">
        <v>1043</v>
      </c>
      <c r="C183" s="339">
        <v>21839.9</v>
      </c>
      <c r="E183" s="91" t="s">
        <v>129</v>
      </c>
    </row>
    <row r="184" spans="1:5" outlineLevel="2">
      <c r="A184" s="91" t="s">
        <v>1043</v>
      </c>
      <c r="C184" s="339">
        <v>50000</v>
      </c>
      <c r="E184" s="91" t="s">
        <v>130</v>
      </c>
    </row>
    <row r="185" spans="1:5" outlineLevel="2">
      <c r="A185" s="91" t="s">
        <v>1043</v>
      </c>
      <c r="C185" s="339">
        <v>45737.22</v>
      </c>
      <c r="E185" s="91" t="s">
        <v>132</v>
      </c>
    </row>
    <row r="186" spans="1:5" outlineLevel="2">
      <c r="A186" s="91" t="s">
        <v>1043</v>
      </c>
      <c r="C186" s="339">
        <v>-780</v>
      </c>
      <c r="E186" s="91" t="s">
        <v>1321</v>
      </c>
    </row>
    <row r="187" spans="1:5" outlineLevel="2">
      <c r="A187" s="91" t="s">
        <v>1043</v>
      </c>
      <c r="C187" s="339">
        <v>29554.93</v>
      </c>
      <c r="E187" s="91" t="s">
        <v>1713</v>
      </c>
    </row>
    <row r="188" spans="1:5" outlineLevel="2">
      <c r="A188" s="91" t="s">
        <v>1043</v>
      </c>
      <c r="C188" s="339">
        <v>227108.35</v>
      </c>
      <c r="E188" s="91" t="s">
        <v>1713</v>
      </c>
    </row>
    <row r="189" spans="1:5" outlineLevel="2">
      <c r="A189" s="91" t="s">
        <v>1043</v>
      </c>
      <c r="C189" s="339">
        <v>139019.70000000001</v>
      </c>
      <c r="E189" s="91" t="s">
        <v>1720</v>
      </c>
    </row>
    <row r="190" spans="1:5" outlineLevel="2">
      <c r="A190" s="91" t="s">
        <v>1043</v>
      </c>
      <c r="C190" s="339">
        <v>182928.4</v>
      </c>
      <c r="E190" s="91" t="s">
        <v>1721</v>
      </c>
    </row>
    <row r="191" spans="1:5" outlineLevel="2">
      <c r="A191" s="91" t="s">
        <v>1043</v>
      </c>
      <c r="C191" s="339">
        <v>925</v>
      </c>
      <c r="E191" s="91" t="s">
        <v>1724</v>
      </c>
    </row>
    <row r="192" spans="1:5" outlineLevel="2">
      <c r="A192" s="91" t="s">
        <v>1043</v>
      </c>
      <c r="C192" s="339">
        <v>81517.100000000006</v>
      </c>
      <c r="E192" s="91" t="s">
        <v>1364</v>
      </c>
    </row>
    <row r="193" spans="1:5" outlineLevel="2">
      <c r="A193" s="91" t="s">
        <v>1043</v>
      </c>
      <c r="C193" s="339">
        <v>100000</v>
      </c>
      <c r="E193" s="91" t="s">
        <v>1723</v>
      </c>
    </row>
    <row r="194" spans="1:5" outlineLevel="2">
      <c r="A194" s="91" t="s">
        <v>1043</v>
      </c>
      <c r="C194" s="339">
        <v>90000</v>
      </c>
      <c r="E194" s="91" t="s">
        <v>1722</v>
      </c>
    </row>
    <row r="195" spans="1:5" outlineLevel="2">
      <c r="A195" s="91" t="s">
        <v>1043</v>
      </c>
      <c r="C195" s="339">
        <v>30855.72</v>
      </c>
      <c r="E195" s="91" t="s">
        <v>1083</v>
      </c>
    </row>
    <row r="196" spans="1:5" outlineLevel="2">
      <c r="A196" s="91" t="s">
        <v>1043</v>
      </c>
      <c r="C196" s="339">
        <v>5136</v>
      </c>
      <c r="E196" s="91" t="s">
        <v>72</v>
      </c>
    </row>
    <row r="197" spans="1:5" outlineLevel="2">
      <c r="A197" s="91" t="s">
        <v>1043</v>
      </c>
      <c r="C197" s="339">
        <v>1370.36</v>
      </c>
      <c r="E197" s="91" t="s">
        <v>1594</v>
      </c>
    </row>
    <row r="198" spans="1:5" outlineLevel="2">
      <c r="A198" s="91" t="s">
        <v>1043</v>
      </c>
      <c r="C198" s="339">
        <v>558</v>
      </c>
      <c r="E198" s="91" t="s">
        <v>1594</v>
      </c>
    </row>
    <row r="199" spans="1:5" outlineLevel="2">
      <c r="A199" s="91" t="s">
        <v>1043</v>
      </c>
      <c r="C199" s="339">
        <v>90000</v>
      </c>
      <c r="E199" s="91" t="s">
        <v>1596</v>
      </c>
    </row>
    <row r="200" spans="1:5" outlineLevel="2">
      <c r="A200" s="91" t="s">
        <v>1043</v>
      </c>
      <c r="C200" s="339">
        <v>175000</v>
      </c>
      <c r="E200" s="91" t="s">
        <v>1597</v>
      </c>
    </row>
    <row r="201" spans="1:5" outlineLevel="2">
      <c r="A201" s="91" t="s">
        <v>1043</v>
      </c>
      <c r="C201" s="339">
        <v>159160.5</v>
      </c>
      <c r="E201" s="91" t="s">
        <v>1598</v>
      </c>
    </row>
    <row r="202" spans="1:5" outlineLevel="2">
      <c r="A202" s="91" t="s">
        <v>1043</v>
      </c>
      <c r="C202" s="339">
        <v>152369.1</v>
      </c>
      <c r="E202" s="91" t="s">
        <v>1599</v>
      </c>
    </row>
    <row r="203" spans="1:5" outlineLevel="2">
      <c r="A203" s="91" t="s">
        <v>1043</v>
      </c>
      <c r="C203" s="339">
        <v>25000</v>
      </c>
      <c r="E203" s="91" t="s">
        <v>383</v>
      </c>
    </row>
    <row r="204" spans="1:5" outlineLevel="2">
      <c r="A204" s="91" t="s">
        <v>1043</v>
      </c>
      <c r="C204" s="339">
        <v>16218</v>
      </c>
      <c r="E204" s="91" t="s">
        <v>384</v>
      </c>
    </row>
    <row r="205" spans="1:5" outlineLevel="2">
      <c r="A205" s="91" t="s">
        <v>1043</v>
      </c>
      <c r="C205" s="339">
        <v>35488.879999999997</v>
      </c>
      <c r="E205" s="91" t="s">
        <v>385</v>
      </c>
    </row>
    <row r="206" spans="1:5" outlineLevel="2">
      <c r="A206" s="91" t="s">
        <v>1043</v>
      </c>
      <c r="C206" s="339">
        <v>15561.65</v>
      </c>
      <c r="E206" s="91" t="s">
        <v>386</v>
      </c>
    </row>
    <row r="207" spans="1:5" outlineLevel="2">
      <c r="A207" s="91" t="s">
        <v>1043</v>
      </c>
      <c r="C207" s="339">
        <v>208451.79</v>
      </c>
      <c r="E207" s="91" t="s">
        <v>387</v>
      </c>
    </row>
    <row r="208" spans="1:5" outlineLevel="2">
      <c r="A208" s="91" t="s">
        <v>1043</v>
      </c>
      <c r="C208" s="339">
        <v>95528.39</v>
      </c>
      <c r="E208" s="91" t="s">
        <v>1715</v>
      </c>
    </row>
    <row r="209" spans="1:5" outlineLevel="2">
      <c r="A209" s="91" t="s">
        <v>1043</v>
      </c>
      <c r="C209" s="339">
        <v>20000</v>
      </c>
      <c r="E209" s="91" t="s">
        <v>552</v>
      </c>
    </row>
    <row r="210" spans="1:5" outlineLevel="2">
      <c r="A210" s="91" t="s">
        <v>1043</v>
      </c>
      <c r="C210" s="339">
        <v>100000</v>
      </c>
      <c r="E210" s="91" t="s">
        <v>553</v>
      </c>
    </row>
    <row r="211" spans="1:5" outlineLevel="2">
      <c r="A211" s="91" t="s">
        <v>1043</v>
      </c>
      <c r="C211" s="339">
        <v>80000</v>
      </c>
      <c r="E211" s="91" t="s">
        <v>571</v>
      </c>
    </row>
    <row r="212" spans="1:5" outlineLevel="2">
      <c r="A212" s="91" t="s">
        <v>1043</v>
      </c>
      <c r="C212" s="339">
        <v>150000</v>
      </c>
      <c r="E212" s="91" t="s">
        <v>881</v>
      </c>
    </row>
    <row r="213" spans="1:5" outlineLevel="2">
      <c r="A213" s="91" t="s">
        <v>1043</v>
      </c>
      <c r="C213" s="339">
        <v>80000</v>
      </c>
      <c r="E213" s="91" t="s">
        <v>882</v>
      </c>
    </row>
    <row r="214" spans="1:5" outlineLevel="2">
      <c r="A214" s="91" t="s">
        <v>1043</v>
      </c>
      <c r="C214" s="339">
        <v>463226.2</v>
      </c>
      <c r="E214" s="91" t="s">
        <v>920</v>
      </c>
    </row>
    <row r="215" spans="1:5" outlineLevel="2">
      <c r="A215" s="91" t="s">
        <v>1043</v>
      </c>
      <c r="C215" s="339">
        <v>63659.61</v>
      </c>
      <c r="E215" s="91" t="s">
        <v>884</v>
      </c>
    </row>
    <row r="216" spans="1:5" outlineLevel="2">
      <c r="A216" s="91" t="s">
        <v>1043</v>
      </c>
      <c r="C216" s="339">
        <v>63668.61</v>
      </c>
      <c r="E216" s="91" t="s">
        <v>929</v>
      </c>
    </row>
    <row r="217" spans="1:5" outlineLevel="2">
      <c r="A217" s="91" t="s">
        <v>1043</v>
      </c>
      <c r="C217" s="339">
        <v>630000</v>
      </c>
      <c r="E217" s="91" t="s">
        <v>930</v>
      </c>
    </row>
    <row r="218" spans="1:5" outlineLevel="2">
      <c r="A218" s="91" t="s">
        <v>1043</v>
      </c>
      <c r="C218" s="339">
        <v>100000</v>
      </c>
      <c r="E218" s="91" t="s">
        <v>959</v>
      </c>
    </row>
    <row r="219" spans="1:5" outlineLevel="2">
      <c r="A219" s="91" t="s">
        <v>1043</v>
      </c>
      <c r="C219" s="339">
        <v>125000</v>
      </c>
      <c r="E219" s="91" t="s">
        <v>960</v>
      </c>
    </row>
    <row r="220" spans="1:5" outlineLevel="2">
      <c r="A220" s="91" t="s">
        <v>1043</v>
      </c>
      <c r="C220" s="339">
        <v>39007.08</v>
      </c>
      <c r="E220" s="91" t="s">
        <v>961</v>
      </c>
    </row>
    <row r="221" spans="1:5" outlineLevel="2">
      <c r="A221" s="91" t="s">
        <v>1043</v>
      </c>
      <c r="C221" s="339">
        <v>755700</v>
      </c>
      <c r="E221" s="91" t="s">
        <v>962</v>
      </c>
    </row>
    <row r="222" spans="1:5" outlineLevel="2">
      <c r="A222" s="91" t="s">
        <v>1043</v>
      </c>
      <c r="C222" s="339">
        <v>9000</v>
      </c>
      <c r="E222" s="91" t="s">
        <v>968</v>
      </c>
    </row>
    <row r="223" spans="1:5" outlineLevel="2">
      <c r="A223" s="91" t="s">
        <v>1043</v>
      </c>
      <c r="C223" s="339">
        <v>440065</v>
      </c>
      <c r="E223" s="91" t="s">
        <v>1284</v>
      </c>
    </row>
    <row r="224" spans="1:5" outlineLevel="2">
      <c r="A224" s="91" t="s">
        <v>1043</v>
      </c>
      <c r="C224" s="339">
        <v>134402.01999999999</v>
      </c>
      <c r="E224" s="91" t="s">
        <v>1283</v>
      </c>
    </row>
    <row r="225" spans="1:5" outlineLevel="2">
      <c r="A225" s="91" t="s">
        <v>1043</v>
      </c>
      <c r="C225" s="339">
        <v>57637.64</v>
      </c>
      <c r="E225" s="91" t="s">
        <v>1285</v>
      </c>
    </row>
    <row r="226" spans="1:5" outlineLevel="2">
      <c r="A226" s="91" t="s">
        <v>1043</v>
      </c>
      <c r="C226" s="339">
        <v>30074</v>
      </c>
      <c r="E226" s="91" t="s">
        <v>1210</v>
      </c>
    </row>
    <row r="227" spans="1:5" outlineLevel="2">
      <c r="A227" s="91" t="s">
        <v>1043</v>
      </c>
      <c r="C227" s="339">
        <v>1180.3699999999999</v>
      </c>
      <c r="E227" s="91" t="s">
        <v>1201</v>
      </c>
    </row>
    <row r="228" spans="1:5" outlineLevel="2">
      <c r="A228" s="91" t="s">
        <v>1043</v>
      </c>
      <c r="C228" s="339">
        <v>1701.62</v>
      </c>
      <c r="E228" s="91" t="s">
        <v>1211</v>
      </c>
    </row>
    <row r="229" spans="1:5" outlineLevel="2">
      <c r="A229" s="91" t="s">
        <v>1043</v>
      </c>
      <c r="C229" s="339">
        <v>28510.18</v>
      </c>
      <c r="E229" s="91" t="s">
        <v>1292</v>
      </c>
    </row>
    <row r="230" spans="1:5" outlineLevel="2">
      <c r="A230" s="91" t="s">
        <v>1043</v>
      </c>
      <c r="C230" s="339">
        <v>7645.99</v>
      </c>
      <c r="E230" s="91" t="s">
        <v>1293</v>
      </c>
    </row>
    <row r="231" spans="1:5" outlineLevel="2">
      <c r="A231" s="91" t="s">
        <v>1043</v>
      </c>
      <c r="C231" s="339">
        <v>9355</v>
      </c>
      <c r="E231" s="91" t="s">
        <v>1291</v>
      </c>
    </row>
    <row r="232" spans="1:5" outlineLevel="2">
      <c r="A232" s="91" t="s">
        <v>1043</v>
      </c>
      <c r="C232" s="339">
        <v>5489.31</v>
      </c>
      <c r="E232" s="91" t="s">
        <v>1295</v>
      </c>
    </row>
    <row r="233" spans="1:5" outlineLevel="2">
      <c r="A233" s="91" t="s">
        <v>1043</v>
      </c>
      <c r="C233" s="339">
        <v>7958</v>
      </c>
      <c r="E233" s="91" t="s">
        <v>1290</v>
      </c>
    </row>
    <row r="234" spans="1:5" outlineLevel="2">
      <c r="A234" s="91" t="s">
        <v>1043</v>
      </c>
      <c r="C234" s="339">
        <v>19096.68</v>
      </c>
      <c r="E234" s="91" t="s">
        <v>1294</v>
      </c>
    </row>
    <row r="235" spans="1:5" outlineLevel="2">
      <c r="A235" s="91" t="s">
        <v>1043</v>
      </c>
      <c r="C235" s="339">
        <v>150000</v>
      </c>
      <c r="E235" s="91" t="s">
        <v>1367</v>
      </c>
    </row>
    <row r="236" spans="1:5" outlineLevel="2">
      <c r="A236" s="91" t="s">
        <v>1043</v>
      </c>
      <c r="C236" s="339">
        <v>82875</v>
      </c>
      <c r="E236" s="91" t="s">
        <v>1371</v>
      </c>
    </row>
    <row r="237" spans="1:5" outlineLevel="2">
      <c r="A237" s="91" t="s">
        <v>1043</v>
      </c>
      <c r="C237" s="339">
        <v>100000</v>
      </c>
      <c r="E237" s="91" t="s">
        <v>1370</v>
      </c>
    </row>
    <row r="238" spans="1:5" outlineLevel="2">
      <c r="A238" s="91" t="s">
        <v>1043</v>
      </c>
      <c r="C238" s="339">
        <v>159160.5</v>
      </c>
      <c r="E238" s="91" t="s">
        <v>1369</v>
      </c>
    </row>
    <row r="239" spans="1:5" outlineLevel="2">
      <c r="A239" s="91" t="s">
        <v>1043</v>
      </c>
      <c r="C239" s="339">
        <v>2742.2</v>
      </c>
      <c r="E239" s="91" t="s">
        <v>1368</v>
      </c>
    </row>
    <row r="240" spans="1:5" outlineLevel="2">
      <c r="A240" s="91" t="s">
        <v>1043</v>
      </c>
      <c r="C240" s="339">
        <v>67119.199999999997</v>
      </c>
    </row>
    <row r="241" spans="1:5" outlineLevel="2">
      <c r="A241" s="91" t="s">
        <v>1043</v>
      </c>
      <c r="C241" s="339">
        <v>248327</v>
      </c>
    </row>
    <row r="242" spans="1:5" outlineLevel="2">
      <c r="A242" s="91" t="s">
        <v>1043</v>
      </c>
      <c r="C242" s="339">
        <v>521129.48</v>
      </c>
    </row>
    <row r="243" spans="1:5" outlineLevel="2">
      <c r="A243" s="91" t="s">
        <v>1043</v>
      </c>
      <c r="C243" s="339">
        <v>690000</v>
      </c>
      <c r="E243" s="91" t="s">
        <v>1280</v>
      </c>
    </row>
    <row r="244" spans="1:5" outlineLevel="2">
      <c r="A244" s="91" t="s">
        <v>1043</v>
      </c>
      <c r="C244" s="339">
        <v>127328.22</v>
      </c>
      <c r="E244" s="91" t="s">
        <v>984</v>
      </c>
    </row>
    <row r="245" spans="1:5" outlineLevel="2">
      <c r="A245" s="91" t="s">
        <v>1043</v>
      </c>
      <c r="C245" s="339">
        <v>683258.64</v>
      </c>
      <c r="E245" s="91" t="s">
        <v>984</v>
      </c>
    </row>
    <row r="246" spans="1:5" outlineLevel="2">
      <c r="A246" s="91" t="s">
        <v>1043</v>
      </c>
      <c r="C246" s="339">
        <v>82044.899999999994</v>
      </c>
      <c r="E246" s="91" t="s">
        <v>997</v>
      </c>
    </row>
    <row r="247" spans="1:5" outlineLevel="1">
      <c r="A247" s="469" t="s">
        <v>847</v>
      </c>
      <c r="C247" s="471">
        <f>SUBTOTAL(9,C136:C246)</f>
        <v>12556638.09</v>
      </c>
    </row>
    <row r="248" spans="1:5" outlineLevel="2">
      <c r="A248" s="91" t="s">
        <v>1600</v>
      </c>
      <c r="C248" s="339">
        <v>925</v>
      </c>
      <c r="E248" s="91" t="s">
        <v>1594</v>
      </c>
    </row>
    <row r="249" spans="1:5" outlineLevel="1">
      <c r="A249" s="469" t="s">
        <v>1337</v>
      </c>
      <c r="C249" s="471">
        <f>SUBTOTAL(9,C248:C248)</f>
        <v>925</v>
      </c>
    </row>
    <row r="250" spans="1:5" outlineLevel="2">
      <c r="A250" s="91" t="s">
        <v>1198</v>
      </c>
      <c r="C250" s="339">
        <v>17540.189999999999</v>
      </c>
      <c r="E250" s="91" t="s">
        <v>1200</v>
      </c>
    </row>
    <row r="251" spans="1:5" outlineLevel="1">
      <c r="A251" s="469" t="s">
        <v>848</v>
      </c>
      <c r="C251" s="471">
        <f>SUBTOTAL(9,C250:C250)</f>
        <v>17540.189999999999</v>
      </c>
    </row>
    <row r="252" spans="1:5" outlineLevel="2">
      <c r="A252" s="91" t="s">
        <v>972</v>
      </c>
      <c r="C252" s="339">
        <v>22526</v>
      </c>
      <c r="E252" s="91" t="s">
        <v>973</v>
      </c>
    </row>
    <row r="253" spans="1:5" outlineLevel="1">
      <c r="A253" s="469" t="s">
        <v>1338</v>
      </c>
      <c r="C253" s="471">
        <f>SUBTOTAL(9,C252:C252)</f>
        <v>22526</v>
      </c>
    </row>
    <row r="254" spans="1:5" outlineLevel="2">
      <c r="A254" s="91" t="s">
        <v>149</v>
      </c>
      <c r="C254" s="339">
        <v>1600</v>
      </c>
      <c r="E254" s="91" t="s">
        <v>161</v>
      </c>
    </row>
    <row r="255" spans="1:5" outlineLevel="1">
      <c r="A255" s="469" t="s">
        <v>1339</v>
      </c>
      <c r="C255" s="471">
        <f>SUBTOTAL(9,C254:C254)</f>
        <v>1600</v>
      </c>
    </row>
    <row r="256" spans="1:5" outlineLevel="2">
      <c r="A256" s="91" t="s">
        <v>1524</v>
      </c>
      <c r="C256" s="339">
        <v>545437.80000000005</v>
      </c>
      <c r="E256" s="91" t="s">
        <v>884</v>
      </c>
    </row>
    <row r="257" spans="1:5" outlineLevel="2">
      <c r="A257" s="91" t="s">
        <v>1524</v>
      </c>
      <c r="C257" s="339">
        <v>272718.90000000002</v>
      </c>
      <c r="E257" s="91" t="s">
        <v>967</v>
      </c>
    </row>
    <row r="258" spans="1:5" outlineLevel="2">
      <c r="A258" s="91" t="s">
        <v>1524</v>
      </c>
      <c r="C258" s="339">
        <v>136359.45000000001</v>
      </c>
      <c r="E258" s="91" t="s">
        <v>967</v>
      </c>
    </row>
    <row r="259" spans="1:5" outlineLevel="2">
      <c r="A259" s="91" t="s">
        <v>1524</v>
      </c>
      <c r="C259" s="339">
        <v>272718.90000000002</v>
      </c>
      <c r="E259" s="91" t="s">
        <v>1693</v>
      </c>
    </row>
    <row r="260" spans="1:5" outlineLevel="2">
      <c r="A260" s="91" t="s">
        <v>1524</v>
      </c>
      <c r="C260" s="339">
        <v>3680</v>
      </c>
      <c r="E260" s="91" t="s">
        <v>238</v>
      </c>
    </row>
    <row r="261" spans="1:5" outlineLevel="2">
      <c r="A261" s="91" t="s">
        <v>1524</v>
      </c>
      <c r="C261" s="339">
        <v>545437.80000000005</v>
      </c>
      <c r="E261" s="91" t="s">
        <v>1324</v>
      </c>
    </row>
    <row r="262" spans="1:5" outlineLevel="2">
      <c r="A262" s="91" t="s">
        <v>1524</v>
      </c>
      <c r="C262" s="339">
        <v>3855.35</v>
      </c>
      <c r="E262" s="91" t="s">
        <v>1287</v>
      </c>
    </row>
    <row r="263" spans="1:5" outlineLevel="2">
      <c r="A263" s="91" t="s">
        <v>1524</v>
      </c>
      <c r="C263" s="339">
        <v>129088.79</v>
      </c>
      <c r="E263" s="91" t="s">
        <v>1288</v>
      </c>
    </row>
    <row r="264" spans="1:5" outlineLevel="2">
      <c r="A264" s="91" t="s">
        <v>1524</v>
      </c>
      <c r="C264" s="339">
        <v>272718.90000000002</v>
      </c>
      <c r="E264" s="91" t="s">
        <v>1526</v>
      </c>
    </row>
    <row r="265" spans="1:5" outlineLevel="2">
      <c r="A265" s="91" t="s">
        <v>1524</v>
      </c>
      <c r="C265" s="339">
        <v>303021</v>
      </c>
      <c r="E265" s="91" t="s">
        <v>1525</v>
      </c>
    </row>
    <row r="266" spans="1:5" outlineLevel="1">
      <c r="A266" s="469" t="s">
        <v>849</v>
      </c>
      <c r="C266" s="471">
        <f>SUM(C256:C265)</f>
        <v>2485036.8900000006</v>
      </c>
    </row>
    <row r="267" spans="1:5" outlineLevel="1"/>
    <row r="268" spans="1:5" outlineLevel="1"/>
    <row r="269" spans="1:5" outlineLevel="1"/>
    <row r="270" spans="1:5" ht="13.8" outlineLevel="1" thickBot="1">
      <c r="A270" s="469" t="s">
        <v>850</v>
      </c>
      <c r="C270" s="467">
        <f>C266+C255+C253+C251+C249+C247+C135+C117+C114+C108+C95+C93+C77+C51+C49+C11+C9+C91+C75+C46</f>
        <v>19640169.949999999</v>
      </c>
    </row>
    <row r="271" spans="1:5" ht="13.8" outlineLevel="1" thickTop="1"/>
    <row r="272" spans="1:5" outlineLevel="1"/>
    <row r="273" outlineLevel="1"/>
    <row r="274" outlineLevel="1"/>
    <row r="275" outlineLevel="1"/>
    <row r="276" outlineLevel="1"/>
    <row r="277" outlineLevel="1"/>
    <row r="278" outlineLevel="1"/>
    <row r="279" outlineLevel="1"/>
    <row r="280" outlineLevel="1"/>
    <row r="281" outlineLevel="1"/>
    <row r="282" outlineLevel="1"/>
    <row r="283" outlineLevel="1"/>
    <row r="284" outlineLevel="1"/>
    <row r="285" outlineLevel="1"/>
    <row r="286" outlineLevel="1"/>
    <row r="287" outlineLevel="1"/>
    <row r="288" outlineLevel="1"/>
    <row r="289" outlineLevel="1"/>
    <row r="290" outlineLevel="1"/>
    <row r="291" outlineLevel="1"/>
    <row r="292" outlineLevel="1"/>
    <row r="293" outlineLevel="1"/>
    <row r="294" outlineLevel="1"/>
    <row r="295" outlineLevel="1"/>
    <row r="296" outlineLevel="1"/>
    <row r="297" outlineLevel="1"/>
    <row r="298" outlineLevel="1"/>
    <row r="299" outlineLevel="1"/>
    <row r="300" outlineLevel="1"/>
    <row r="301" outlineLevel="1"/>
    <row r="302" outlineLevel="1"/>
    <row r="303" outlineLevel="1"/>
    <row r="304" outlineLevel="1"/>
    <row r="305" outlineLevel="1"/>
    <row r="306" outlineLevel="1"/>
    <row r="307" outlineLevel="1"/>
    <row r="308" outlineLevel="1"/>
    <row r="309" outlineLevel="1"/>
    <row r="310" outlineLevel="1"/>
    <row r="311" outlineLevel="1"/>
    <row r="312" outlineLevel="1"/>
    <row r="313" outlineLevel="1"/>
    <row r="314" outlineLevel="1"/>
    <row r="315" outlineLevel="1"/>
    <row r="316" outlineLevel="1"/>
    <row r="317" outlineLevel="1"/>
    <row r="318" outlineLevel="1"/>
    <row r="319" outlineLevel="1"/>
    <row r="320" outlineLevel="1"/>
    <row r="321" outlineLevel="1"/>
    <row r="322" outlineLevel="1"/>
    <row r="323" outlineLevel="1"/>
    <row r="324" outlineLevel="1"/>
    <row r="325" outlineLevel="1"/>
    <row r="326" outlineLevel="1"/>
    <row r="327" outlineLevel="1"/>
    <row r="328" outlineLevel="1"/>
    <row r="329" outlineLevel="1"/>
    <row r="330" outlineLevel="1"/>
    <row r="331" outlineLevel="1"/>
    <row r="332" outlineLevel="1"/>
    <row r="333" outlineLevel="1"/>
    <row r="334" outlineLevel="1"/>
    <row r="335" outlineLevel="1"/>
    <row r="336" outlineLevel="1"/>
    <row r="337" outlineLevel="1"/>
    <row r="338" outlineLevel="1"/>
    <row r="339" outlineLevel="1"/>
    <row r="340" outlineLevel="1"/>
    <row r="341" outlineLevel="1"/>
    <row r="342" outlineLevel="1"/>
    <row r="343" outlineLevel="1"/>
    <row r="344" outlineLevel="1"/>
    <row r="345" outlineLevel="1"/>
    <row r="346" outlineLevel="1"/>
    <row r="347" outlineLevel="1"/>
    <row r="348" outlineLevel="1"/>
    <row r="349" outlineLevel="1"/>
    <row r="350" outlineLevel="1"/>
    <row r="351" outlineLevel="1"/>
    <row r="352" outlineLevel="1"/>
    <row r="353" outlineLevel="1"/>
    <row r="354" outlineLevel="1"/>
    <row r="355" outlineLevel="1"/>
    <row r="356" outlineLevel="1"/>
    <row r="357" outlineLevel="1"/>
    <row r="358" outlineLevel="1"/>
    <row r="359" outlineLevel="1"/>
    <row r="360" outlineLevel="1"/>
    <row r="361" outlineLevel="1"/>
    <row r="362" outlineLevel="1"/>
    <row r="363" outlineLevel="1"/>
    <row r="364" outlineLevel="1"/>
    <row r="365" outlineLevel="1"/>
    <row r="366" outlineLevel="1"/>
    <row r="367" outlineLevel="1"/>
    <row r="368" outlineLevel="1"/>
    <row r="369" outlineLevel="1"/>
    <row r="370" outlineLevel="1"/>
    <row r="371" outlineLevel="1"/>
    <row r="372" outlineLevel="1"/>
    <row r="373" outlineLevel="1"/>
    <row r="374" outlineLevel="1"/>
    <row r="375" outlineLevel="1"/>
    <row r="376" outlineLevel="1"/>
    <row r="377" outlineLevel="1"/>
    <row r="378" outlineLevel="1"/>
    <row r="379" outlineLevel="1"/>
    <row r="380" outlineLevel="1"/>
    <row r="381" outlineLevel="1"/>
    <row r="382" outlineLevel="1"/>
    <row r="383" outlineLevel="1"/>
    <row r="384" outlineLevel="1"/>
    <row r="385" outlineLevel="1"/>
    <row r="386" outlineLevel="1"/>
    <row r="387" outlineLevel="1"/>
    <row r="388" outlineLevel="1"/>
    <row r="389" outlineLevel="1"/>
    <row r="390" outlineLevel="1"/>
    <row r="391" outlineLevel="1"/>
    <row r="392" outlineLevel="1"/>
    <row r="393" outlineLevel="1"/>
    <row r="394" outlineLevel="1"/>
    <row r="395" outlineLevel="1"/>
    <row r="396" outlineLevel="1"/>
    <row r="397" outlineLevel="1"/>
    <row r="398" outlineLevel="1"/>
    <row r="399" outlineLevel="1"/>
    <row r="400" outlineLevel="1"/>
    <row r="401" outlineLevel="1"/>
    <row r="402" outlineLevel="1"/>
    <row r="403" outlineLevel="1"/>
    <row r="404" outlineLevel="1"/>
    <row r="405" outlineLevel="1"/>
    <row r="406" outlineLevel="1"/>
    <row r="407" outlineLevel="1"/>
    <row r="408" outlineLevel="1"/>
    <row r="409" outlineLevel="1"/>
    <row r="410" outlineLevel="1"/>
    <row r="411" outlineLevel="1"/>
    <row r="412" outlineLevel="1"/>
    <row r="413" outlineLevel="1"/>
    <row r="414" outlineLevel="1"/>
    <row r="415" outlineLevel="1"/>
    <row r="416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outlineLevel="1"/>
    <row r="434" outlineLevel="1"/>
    <row r="435" outlineLevel="1"/>
    <row r="436" outlineLevel="1"/>
    <row r="437" outlineLevel="1"/>
    <row r="438" outlineLevel="1"/>
    <row r="439" outlineLevel="1"/>
    <row r="440" outlineLevel="1"/>
    <row r="441" outlineLevel="1"/>
    <row r="442" outlineLevel="1"/>
    <row r="443" outlineLevel="1"/>
    <row r="444" outlineLevel="1"/>
    <row r="445" outlineLevel="1"/>
    <row r="446" outlineLevel="1"/>
    <row r="447" outlineLevel="1"/>
    <row r="448" outlineLevel="1"/>
    <row r="449" outlineLevel="1"/>
    <row r="450" outlineLevel="1"/>
    <row r="451" outlineLevel="1"/>
    <row r="452" outlineLevel="1"/>
    <row r="453" outlineLevel="1"/>
    <row r="454" outlineLevel="1"/>
    <row r="455" outlineLevel="1"/>
    <row r="456" outlineLevel="1"/>
    <row r="457" outlineLevel="1"/>
    <row r="458" outlineLevel="1"/>
    <row r="459" outlineLevel="1"/>
    <row r="460" outlineLevel="1"/>
    <row r="461" outlineLevel="1"/>
    <row r="462" outlineLevel="1"/>
    <row r="463" outlineLevel="1"/>
    <row r="464" outlineLevel="1"/>
    <row r="465" outlineLevel="1"/>
    <row r="466" outlineLevel="1"/>
    <row r="467" outlineLevel="1"/>
    <row r="468" outlineLevel="1"/>
    <row r="469" outlineLevel="1"/>
    <row r="470" outlineLevel="1"/>
    <row r="471" outlineLevel="1"/>
    <row r="472" outlineLevel="1"/>
    <row r="473" outlineLevel="1"/>
    <row r="474" outlineLevel="1"/>
    <row r="475" outlineLevel="1"/>
    <row r="476" outlineLevel="1"/>
    <row r="477" outlineLevel="1"/>
    <row r="478" outlineLevel="1"/>
    <row r="479" outlineLevel="1"/>
    <row r="480" outlineLevel="1"/>
    <row r="481" outlineLevel="1"/>
    <row r="482" outlineLevel="1"/>
    <row r="483" outlineLevel="1"/>
    <row r="484" outlineLevel="1"/>
    <row r="485" outlineLevel="1"/>
    <row r="486" outlineLevel="1"/>
    <row r="487" outlineLevel="1"/>
    <row r="488" outlineLevel="1"/>
    <row r="489" outlineLevel="1"/>
    <row r="490" outlineLevel="1"/>
    <row r="491" outlineLevel="1"/>
    <row r="492" outlineLevel="1"/>
    <row r="493" outlineLevel="1"/>
    <row r="494" outlineLevel="1"/>
    <row r="495" outlineLevel="1"/>
    <row r="496" outlineLevel="1"/>
    <row r="497" outlineLevel="1"/>
    <row r="498" outlineLevel="1"/>
    <row r="499" outlineLevel="1"/>
    <row r="500" outlineLevel="1"/>
    <row r="501" outlineLevel="1"/>
    <row r="502" outlineLevel="1"/>
    <row r="503" outlineLevel="1"/>
    <row r="504" outlineLevel="1"/>
    <row r="505" outlineLevel="1"/>
    <row r="506" outlineLevel="1"/>
    <row r="507" outlineLevel="1"/>
    <row r="508" outlineLevel="1"/>
    <row r="509" outlineLevel="1"/>
    <row r="510" outlineLevel="1"/>
    <row r="511" outlineLevel="1"/>
    <row r="512" outlineLevel="1"/>
    <row r="513" outlineLevel="1"/>
    <row r="514" outlineLevel="1"/>
    <row r="515" outlineLevel="1"/>
    <row r="516" outlineLevel="1"/>
    <row r="517" outlineLevel="1"/>
    <row r="518" outlineLevel="1"/>
    <row r="519" outlineLevel="1"/>
    <row r="520" outlineLevel="1"/>
    <row r="521" outlineLevel="1"/>
    <row r="522" outlineLevel="1"/>
    <row r="523" outlineLevel="1"/>
    <row r="524" outlineLevel="1"/>
    <row r="525" outlineLevel="1"/>
    <row r="526" outlineLevel="1"/>
    <row r="527" outlineLevel="1"/>
    <row r="528" outlineLevel="1"/>
    <row r="529" outlineLevel="1"/>
    <row r="530" outlineLevel="1"/>
    <row r="531" outlineLevel="1"/>
    <row r="532" outlineLevel="1"/>
    <row r="533" outlineLevel="1"/>
    <row r="534" outlineLevel="1"/>
    <row r="535" outlineLevel="1"/>
    <row r="536" outlineLevel="1"/>
    <row r="537" outlineLevel="1"/>
    <row r="538" outlineLevel="1"/>
    <row r="539" outlineLevel="1"/>
    <row r="540" outlineLevel="1"/>
    <row r="541" outlineLevel="1"/>
    <row r="542" outlineLevel="1"/>
    <row r="543" outlineLevel="1"/>
    <row r="544" outlineLevel="1"/>
    <row r="545" outlineLevel="1"/>
    <row r="546" outlineLevel="1"/>
    <row r="547" outlineLevel="1"/>
    <row r="548" outlineLevel="1"/>
    <row r="549" outlineLevel="1"/>
    <row r="550" outlineLevel="1"/>
    <row r="551" outlineLevel="1"/>
    <row r="552" outlineLevel="1"/>
    <row r="553" outlineLevel="1"/>
    <row r="554" outlineLevel="1"/>
    <row r="555" outlineLevel="1"/>
    <row r="556" outlineLevel="1"/>
    <row r="557" outlineLevel="1"/>
    <row r="558" outlineLevel="1"/>
    <row r="559" outlineLevel="1"/>
    <row r="560" outlineLevel="1"/>
    <row r="561" outlineLevel="1"/>
    <row r="562" outlineLevel="1"/>
    <row r="563" outlineLevel="1"/>
    <row r="564" outlineLevel="1"/>
    <row r="565" outlineLevel="1"/>
    <row r="566" outlineLevel="1"/>
    <row r="567" outlineLevel="1"/>
    <row r="568" outlineLevel="1"/>
    <row r="569" outlineLevel="1"/>
    <row r="570" outlineLevel="1"/>
    <row r="571" outlineLevel="1"/>
    <row r="572" outlineLevel="1"/>
    <row r="573" outlineLevel="1"/>
    <row r="574" outlineLevel="1"/>
    <row r="575" outlineLevel="1"/>
    <row r="576" outlineLevel="1"/>
    <row r="577" outlineLevel="1"/>
    <row r="578" outlineLevel="1"/>
    <row r="579" outlineLevel="1"/>
    <row r="580" outlineLevel="1"/>
    <row r="581" outlineLevel="1"/>
    <row r="582" outlineLevel="1"/>
    <row r="583" outlineLevel="1"/>
    <row r="584" outlineLevel="1"/>
    <row r="585" outlineLevel="1"/>
    <row r="586" outlineLevel="1"/>
    <row r="587" outlineLevel="1"/>
    <row r="588" outlineLevel="1"/>
    <row r="589" outlineLevel="1"/>
    <row r="590" outlineLevel="1"/>
    <row r="591" outlineLevel="1"/>
    <row r="592" outlineLevel="1"/>
    <row r="593" outlineLevel="1"/>
    <row r="594" outlineLevel="1"/>
    <row r="595" outlineLevel="1"/>
    <row r="596" outlineLevel="1"/>
    <row r="597" outlineLevel="1"/>
    <row r="598" outlineLevel="1"/>
    <row r="599" outlineLevel="1"/>
    <row r="600" outlineLevel="1"/>
    <row r="601" outlineLevel="1"/>
    <row r="602" outlineLevel="1"/>
    <row r="603" outlineLevel="1"/>
    <row r="604" outlineLevel="1"/>
    <row r="605" outlineLevel="1"/>
    <row r="606" outlineLevel="1"/>
    <row r="607" outlineLevel="1"/>
    <row r="608" outlineLevel="1"/>
    <row r="609" outlineLevel="1"/>
    <row r="610" outlineLevel="1"/>
    <row r="611" outlineLevel="1"/>
    <row r="612" outlineLevel="1"/>
    <row r="613" outlineLevel="1"/>
    <row r="614" outlineLevel="1"/>
    <row r="615" outlineLevel="1"/>
    <row r="616" outlineLevel="1"/>
    <row r="617" outlineLevel="1"/>
    <row r="618" outlineLevel="1"/>
    <row r="619" outlineLevel="1"/>
    <row r="620" outlineLevel="1"/>
    <row r="621" outlineLevel="1"/>
    <row r="622" outlineLevel="1"/>
    <row r="623" outlineLevel="1"/>
    <row r="624" outlineLevel="1"/>
    <row r="625" outlineLevel="1"/>
    <row r="626" outlineLevel="1"/>
    <row r="627" outlineLevel="1"/>
    <row r="628" outlineLevel="1"/>
    <row r="629" outlineLevel="1"/>
    <row r="630" outlineLevel="1"/>
    <row r="631" outlineLevel="1"/>
    <row r="632" outlineLevel="1"/>
    <row r="633" outlineLevel="1"/>
    <row r="634" outlineLevel="1"/>
    <row r="635" outlineLevel="1"/>
    <row r="636" outlineLevel="1"/>
    <row r="637" outlineLevel="1"/>
    <row r="638" outlineLevel="1"/>
    <row r="639" outlineLevel="1"/>
    <row r="640" outlineLevel="1"/>
    <row r="641" spans="1:3" outlineLevel="1"/>
    <row r="642" spans="1:3" outlineLevel="1"/>
    <row r="643" spans="1:3" outlineLevel="1"/>
    <row r="644" spans="1:3" outlineLevel="1"/>
    <row r="645" spans="1:3" outlineLevel="1"/>
    <row r="646" spans="1:3" outlineLevel="1"/>
    <row r="647" spans="1:3" outlineLevel="1"/>
    <row r="648" spans="1:3" outlineLevel="1"/>
    <row r="649" spans="1:3" outlineLevel="1"/>
    <row r="650" spans="1:3" outlineLevel="1"/>
    <row r="651" spans="1:3" outlineLevel="1"/>
    <row r="652" spans="1:3" outlineLevel="1"/>
    <row r="653" spans="1:3" outlineLevel="1">
      <c r="A653" s="469" t="s">
        <v>1340</v>
      </c>
      <c r="C653" s="339">
        <f>SUBTOTAL(9,C2:C652)</f>
        <v>42134018.739999995</v>
      </c>
    </row>
  </sheetData>
  <phoneticPr fontId="50" type="noConversion"/>
  <pageMargins left="0.75" right="0.75" top="1" bottom="1" header="0.5" footer="0.5"/>
  <pageSetup scale="58" fitToHeight="3" orientation="portrait" verticalDpi="300" r:id="rId1"/>
  <headerFooter alignWithMargins="0"/>
  <rowBreaks count="25" manualBreakCount="25">
    <brk id="9" max="5" man="1"/>
    <brk id="11" max="5" man="1"/>
    <brk id="46" max="5" man="1"/>
    <brk id="49" max="5" man="1"/>
    <brk id="51" max="5" man="1"/>
    <brk id="56" max="5" man="1"/>
    <brk id="75" max="5" man="1"/>
    <brk id="77" max="5" man="1"/>
    <brk id="91" max="5" man="1"/>
    <brk id="93" max="5" man="1"/>
    <brk id="95" max="5" man="1"/>
    <brk id="105" max="5" man="1"/>
    <brk id="108" max="5" man="1"/>
    <brk id="114" max="5" man="1"/>
    <brk id="117" max="5" man="1"/>
    <brk id="121" max="5" man="1"/>
    <brk id="135" max="5" man="1"/>
    <brk id="149" max="5" man="1"/>
    <brk id="247" max="5" man="1"/>
    <brk id="249" max="5" man="1"/>
    <brk id="251" max="5" man="1"/>
    <brk id="253" max="5" man="1"/>
    <brk id="255" max="5" man="1"/>
    <brk id="264" max="16383" man="1"/>
    <brk id="266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21"/>
  <sheetViews>
    <sheetView topLeftCell="A292" workbookViewId="0">
      <selection activeCell="C320" sqref="C320"/>
    </sheetView>
  </sheetViews>
  <sheetFormatPr defaultColWidth="9.109375" defaultRowHeight="13.2"/>
  <cols>
    <col min="1" max="1" width="36.6640625" style="127" customWidth="1"/>
    <col min="2" max="2" width="2.33203125" style="127" customWidth="1"/>
    <col min="3" max="3" width="18" style="332" customWidth="1"/>
    <col min="4" max="4" width="2.44140625" style="127" customWidth="1"/>
    <col min="5" max="5" width="75.44140625" style="127" customWidth="1"/>
    <col min="6" max="16384" width="9.109375" style="127"/>
  </cols>
  <sheetData>
    <row r="4" spans="1:5">
      <c r="A4" s="126" t="s">
        <v>546</v>
      </c>
    </row>
    <row r="5" spans="1:5">
      <c r="A5" s="126" t="s">
        <v>1304</v>
      </c>
    </row>
    <row r="6" spans="1:5">
      <c r="E6" s="129" t="s">
        <v>549</v>
      </c>
    </row>
    <row r="7" spans="1:5">
      <c r="C7" s="335" t="s">
        <v>936</v>
      </c>
    </row>
    <row r="9" spans="1:5">
      <c r="A9" s="127" t="s">
        <v>1305</v>
      </c>
      <c r="C9" s="462">
        <v>183010.45</v>
      </c>
      <c r="E9" s="127" t="s">
        <v>1306</v>
      </c>
    </row>
    <row r="10" spans="1:5">
      <c r="A10" s="127" t="s">
        <v>1305</v>
      </c>
      <c r="C10" s="462">
        <v>135431.96</v>
      </c>
      <c r="E10" s="127" t="s">
        <v>1306</v>
      </c>
    </row>
    <row r="11" spans="1:5">
      <c r="A11" s="127" t="s">
        <v>1384</v>
      </c>
      <c r="C11" s="332">
        <v>396000</v>
      </c>
      <c r="E11" s="127" t="s">
        <v>1307</v>
      </c>
    </row>
    <row r="12" spans="1:5">
      <c r="A12" s="127" t="s">
        <v>1308</v>
      </c>
      <c r="C12" s="338">
        <v>252344</v>
      </c>
      <c r="E12" s="127" t="s">
        <v>1309</v>
      </c>
    </row>
    <row r="13" spans="1:5">
      <c r="C13" s="332">
        <f>SUM(C9:C12)</f>
        <v>966786.41</v>
      </c>
    </row>
    <row r="15" spans="1:5">
      <c r="C15" s="335" t="s">
        <v>935</v>
      </c>
    </row>
    <row r="16" spans="1:5">
      <c r="A16" s="127" t="s">
        <v>1305</v>
      </c>
      <c r="C16" s="462">
        <v>22604.87</v>
      </c>
      <c r="E16" s="127" t="s">
        <v>1306</v>
      </c>
    </row>
    <row r="17" spans="1:5">
      <c r="A17" s="127" t="s">
        <v>1305</v>
      </c>
      <c r="C17" s="462">
        <v>26120.07</v>
      </c>
      <c r="E17" s="127" t="s">
        <v>1306</v>
      </c>
    </row>
    <row r="18" spans="1:5">
      <c r="A18" s="127" t="s">
        <v>1305</v>
      </c>
      <c r="C18" s="462">
        <v>24767.55</v>
      </c>
      <c r="E18" s="127" t="s">
        <v>1306</v>
      </c>
    </row>
    <row r="19" spans="1:5">
      <c r="A19" s="127" t="s">
        <v>1305</v>
      </c>
      <c r="C19" s="462">
        <v>28671.86</v>
      </c>
      <c r="E19" s="127" t="s">
        <v>1306</v>
      </c>
    </row>
    <row r="20" spans="1:5">
      <c r="A20" s="127" t="s">
        <v>1308</v>
      </c>
      <c r="C20" s="332">
        <v>4671.74</v>
      </c>
      <c r="E20" s="127" t="s">
        <v>1310</v>
      </c>
    </row>
    <row r="21" spans="1:5">
      <c r="A21" s="127" t="s">
        <v>1308</v>
      </c>
      <c r="C21" s="332">
        <v>53311.19</v>
      </c>
      <c r="E21" s="127" t="s">
        <v>1311</v>
      </c>
    </row>
    <row r="22" spans="1:5">
      <c r="A22" s="127" t="s">
        <v>1308</v>
      </c>
      <c r="C22" s="332">
        <v>327.02</v>
      </c>
      <c r="E22" s="127" t="s">
        <v>1312</v>
      </c>
    </row>
    <row r="23" spans="1:5">
      <c r="A23" s="127" t="s">
        <v>1308</v>
      </c>
      <c r="C23" s="332">
        <v>17664.080000000002</v>
      </c>
      <c r="E23" s="127" t="s">
        <v>1313</v>
      </c>
    </row>
    <row r="24" spans="1:5">
      <c r="A24" s="127" t="s">
        <v>1305</v>
      </c>
      <c r="C24" s="464">
        <v>78641.11</v>
      </c>
      <c r="E24" s="127" t="s">
        <v>1314</v>
      </c>
    </row>
    <row r="25" spans="1:5">
      <c r="C25" s="332">
        <f>SUM(C16:C24)</f>
        <v>256779.49</v>
      </c>
    </row>
    <row r="27" spans="1:5">
      <c r="C27" s="335" t="s">
        <v>934</v>
      </c>
    </row>
    <row r="28" spans="1:5">
      <c r="A28" s="127" t="s">
        <v>1384</v>
      </c>
      <c r="C28" s="462">
        <v>-22604.87</v>
      </c>
      <c r="E28" s="127" t="s">
        <v>1315</v>
      </c>
    </row>
    <row r="29" spans="1:5">
      <c r="A29" s="127" t="s">
        <v>1384</v>
      </c>
      <c r="C29" s="462">
        <v>-26120.07</v>
      </c>
      <c r="E29" s="127" t="s">
        <v>1315</v>
      </c>
    </row>
    <row r="30" spans="1:5">
      <c r="A30" s="127" t="s">
        <v>1384</v>
      </c>
      <c r="C30" s="462">
        <v>-24767.55</v>
      </c>
      <c r="E30" s="127" t="s">
        <v>1315</v>
      </c>
    </row>
    <row r="31" spans="1:5">
      <c r="A31" s="127" t="s">
        <v>1384</v>
      </c>
      <c r="C31" s="462">
        <v>-28671.86</v>
      </c>
      <c r="E31" s="127" t="s">
        <v>1315</v>
      </c>
    </row>
    <row r="32" spans="1:5">
      <c r="A32" s="127" t="s">
        <v>1316</v>
      </c>
      <c r="C32" s="462">
        <v>62060.03</v>
      </c>
      <c r="E32" s="127" t="s">
        <v>1317</v>
      </c>
    </row>
    <row r="33" spans="1:5">
      <c r="A33" s="127" t="s">
        <v>1384</v>
      </c>
      <c r="C33" s="462">
        <v>-62060.03</v>
      </c>
      <c r="E33" s="127" t="s">
        <v>1318</v>
      </c>
    </row>
    <row r="34" spans="1:5">
      <c r="A34" s="127" t="s">
        <v>1384</v>
      </c>
      <c r="C34" s="462">
        <v>-183010.45</v>
      </c>
      <c r="E34" s="127" t="s">
        <v>1319</v>
      </c>
    </row>
    <row r="35" spans="1:5">
      <c r="A35" s="127" t="s">
        <v>1316</v>
      </c>
      <c r="C35" s="332">
        <v>6680.84</v>
      </c>
      <c r="E35" s="127" t="s">
        <v>1310</v>
      </c>
    </row>
    <row r="36" spans="1:5">
      <c r="A36" s="127" t="s">
        <v>1316</v>
      </c>
      <c r="C36" s="332">
        <v>56199.97</v>
      </c>
      <c r="E36" s="127" t="s">
        <v>1320</v>
      </c>
    </row>
    <row r="37" spans="1:5">
      <c r="A37" s="127" t="s">
        <v>1316</v>
      </c>
      <c r="C37" s="332">
        <v>3440.53</v>
      </c>
      <c r="E37" s="127" t="s">
        <v>1310</v>
      </c>
    </row>
    <row r="38" spans="1:5">
      <c r="A38" s="127" t="s">
        <v>1384</v>
      </c>
      <c r="C38" s="462">
        <v>-135431.96</v>
      </c>
      <c r="E38" s="127" t="s">
        <v>1319</v>
      </c>
    </row>
    <row r="39" spans="1:5">
      <c r="A39" s="127" t="s">
        <v>1384</v>
      </c>
      <c r="C39" s="464">
        <v>-78641.11</v>
      </c>
      <c r="E39" s="127" t="s">
        <v>1319</v>
      </c>
    </row>
    <row r="40" spans="1:5" ht="12" customHeight="1">
      <c r="C40" s="332">
        <f>SUM(C28:C39)</f>
        <v>-432926.53</v>
      </c>
    </row>
    <row r="42" spans="1:5">
      <c r="C42" s="333" t="s">
        <v>548</v>
      </c>
    </row>
    <row r="43" spans="1:5">
      <c r="A43" s="127" t="s">
        <v>555</v>
      </c>
      <c r="C43" s="332">
        <v>13833.93</v>
      </c>
      <c r="E43" s="127" t="s">
        <v>568</v>
      </c>
    </row>
    <row r="44" spans="1:5">
      <c r="A44" s="127" t="s">
        <v>555</v>
      </c>
      <c r="C44" s="332">
        <v>9303.06</v>
      </c>
      <c r="E44" s="127" t="s">
        <v>569</v>
      </c>
    </row>
    <row r="45" spans="1:5">
      <c r="A45" s="127" t="s">
        <v>555</v>
      </c>
      <c r="C45" s="332">
        <f>5000+5000</f>
        <v>10000</v>
      </c>
      <c r="E45" s="127" t="s">
        <v>567</v>
      </c>
    </row>
    <row r="46" spans="1:5">
      <c r="A46" s="127" t="s">
        <v>551</v>
      </c>
      <c r="C46" s="332">
        <v>20000</v>
      </c>
      <c r="E46" s="127" t="s">
        <v>552</v>
      </c>
    </row>
    <row r="47" spans="1:5">
      <c r="A47" s="127" t="s">
        <v>551</v>
      </c>
      <c r="C47" s="332">
        <v>100000</v>
      </c>
      <c r="E47" s="127" t="s">
        <v>553</v>
      </c>
    </row>
    <row r="48" spans="1:5">
      <c r="A48" s="127" t="s">
        <v>555</v>
      </c>
      <c r="C48" s="332">
        <v>510000</v>
      </c>
      <c r="E48" s="127" t="s">
        <v>556</v>
      </c>
    </row>
    <row r="49" spans="1:5">
      <c r="A49" s="127" t="s">
        <v>551</v>
      </c>
      <c r="C49" s="332">
        <v>80000</v>
      </c>
      <c r="E49" s="127" t="s">
        <v>571</v>
      </c>
    </row>
    <row r="50" spans="1:5">
      <c r="A50" s="127" t="s">
        <v>572</v>
      </c>
      <c r="C50" s="332">
        <v>278580</v>
      </c>
      <c r="E50" s="127" t="s">
        <v>573</v>
      </c>
    </row>
    <row r="51" spans="1:5">
      <c r="A51" s="127" t="s">
        <v>574</v>
      </c>
      <c r="C51" s="332">
        <v>97500</v>
      </c>
      <c r="E51" s="127" t="s">
        <v>575</v>
      </c>
    </row>
    <row r="52" spans="1:5">
      <c r="C52" s="334">
        <f>SUM(C43:C51)</f>
        <v>1119216.99</v>
      </c>
    </row>
    <row r="54" spans="1:5">
      <c r="C54" s="333" t="s">
        <v>578</v>
      </c>
    </row>
    <row r="55" spans="1:5" ht="6" customHeight="1"/>
    <row r="56" spans="1:5">
      <c r="A56" s="127" t="s">
        <v>942</v>
      </c>
      <c r="C56" s="332">
        <v>5000</v>
      </c>
      <c r="E56" s="127" t="s">
        <v>943</v>
      </c>
    </row>
    <row r="57" spans="1:5">
      <c r="A57" s="127" t="s">
        <v>587</v>
      </c>
      <c r="C57" s="332">
        <v>45905</v>
      </c>
      <c r="E57" s="127" t="s">
        <v>588</v>
      </c>
    </row>
    <row r="58" spans="1:5">
      <c r="A58" s="127" t="s">
        <v>587</v>
      </c>
      <c r="C58" s="332">
        <v>47620.5</v>
      </c>
      <c r="E58" s="127" t="s">
        <v>588</v>
      </c>
    </row>
    <row r="59" spans="1:5">
      <c r="A59" s="127" t="s">
        <v>551</v>
      </c>
      <c r="C59" s="332">
        <v>150000</v>
      </c>
      <c r="E59" s="127" t="s">
        <v>881</v>
      </c>
    </row>
    <row r="60" spans="1:5">
      <c r="A60" s="127" t="s">
        <v>551</v>
      </c>
      <c r="C60" s="332">
        <v>80000</v>
      </c>
      <c r="E60" s="127" t="s">
        <v>882</v>
      </c>
    </row>
    <row r="61" spans="1:5">
      <c r="A61" s="127" t="s">
        <v>883</v>
      </c>
      <c r="C61" s="332">
        <v>545437.80000000005</v>
      </c>
      <c r="E61" s="127" t="s">
        <v>884</v>
      </c>
    </row>
    <row r="62" spans="1:5">
      <c r="A62" s="127" t="s">
        <v>885</v>
      </c>
      <c r="C62" s="332">
        <v>12500</v>
      </c>
      <c r="E62" s="127" t="s">
        <v>886</v>
      </c>
    </row>
    <row r="63" spans="1:5">
      <c r="A63" s="127" t="s">
        <v>887</v>
      </c>
      <c r="C63" s="332">
        <v>17510.900000000001</v>
      </c>
      <c r="E63" s="127" t="s">
        <v>888</v>
      </c>
    </row>
    <row r="64" spans="1:5">
      <c r="A64" s="127" t="s">
        <v>572</v>
      </c>
      <c r="C64" s="332">
        <v>104297</v>
      </c>
      <c r="E64" s="127" t="s">
        <v>588</v>
      </c>
    </row>
    <row r="65" spans="1:5">
      <c r="A65" s="127" t="s">
        <v>572</v>
      </c>
      <c r="C65" s="332">
        <v>7168</v>
      </c>
      <c r="E65" s="127" t="s">
        <v>588</v>
      </c>
    </row>
    <row r="66" spans="1:5">
      <c r="A66" s="127" t="s">
        <v>551</v>
      </c>
      <c r="C66" s="332">
        <v>463226.2</v>
      </c>
      <c r="E66" s="127" t="s">
        <v>920</v>
      </c>
    </row>
    <row r="67" spans="1:5">
      <c r="A67" s="127" t="s">
        <v>887</v>
      </c>
      <c r="C67" s="332">
        <v>22413.15</v>
      </c>
      <c r="E67" s="127" t="s">
        <v>888</v>
      </c>
    </row>
    <row r="68" spans="1:5">
      <c r="A68" s="127" t="s">
        <v>551</v>
      </c>
      <c r="C68" s="332">
        <v>63659.61</v>
      </c>
      <c r="E68" s="127" t="s">
        <v>884</v>
      </c>
    </row>
    <row r="69" spans="1:5">
      <c r="C69" s="334">
        <f>SUM(C56:C68)</f>
        <v>1564738.1600000001</v>
      </c>
    </row>
    <row r="71" spans="1:5">
      <c r="C71" s="377" t="s">
        <v>933</v>
      </c>
    </row>
    <row r="72" spans="1:5" ht="6.75" customHeight="1"/>
    <row r="73" spans="1:5">
      <c r="A73" s="127" t="s">
        <v>924</v>
      </c>
      <c r="C73" s="332">
        <v>15834</v>
      </c>
      <c r="E73" s="127" t="s">
        <v>575</v>
      </c>
    </row>
    <row r="74" spans="1:5">
      <c r="A74" s="127" t="s">
        <v>551</v>
      </c>
      <c r="C74" s="332">
        <v>63668.61</v>
      </c>
      <c r="E74" s="127" t="s">
        <v>929</v>
      </c>
    </row>
    <row r="75" spans="1:5">
      <c r="A75" s="127" t="s">
        <v>551</v>
      </c>
      <c r="C75" s="332">
        <v>630000</v>
      </c>
      <c r="E75" s="127" t="s">
        <v>930</v>
      </c>
    </row>
    <row r="76" spans="1:5">
      <c r="A76" s="127" t="s">
        <v>587</v>
      </c>
      <c r="C76" s="332">
        <v>54196.5</v>
      </c>
      <c r="E76" s="127" t="s">
        <v>931</v>
      </c>
    </row>
    <row r="77" spans="1:5">
      <c r="A77" s="127" t="s">
        <v>555</v>
      </c>
      <c r="C77" s="332">
        <v>5000</v>
      </c>
      <c r="E77" s="127" t="s">
        <v>922</v>
      </c>
    </row>
    <row r="78" spans="1:5">
      <c r="A78" s="127" t="s">
        <v>924</v>
      </c>
      <c r="C78" s="332">
        <v>15834</v>
      </c>
      <c r="E78" s="127" t="s">
        <v>945</v>
      </c>
    </row>
    <row r="79" spans="1:5">
      <c r="A79" s="127" t="s">
        <v>555</v>
      </c>
      <c r="C79" s="332">
        <v>11145.5</v>
      </c>
      <c r="E79" s="127" t="s">
        <v>946</v>
      </c>
    </row>
    <row r="80" spans="1:5">
      <c r="A80" s="127" t="s">
        <v>951</v>
      </c>
      <c r="C80" s="332">
        <v>11000</v>
      </c>
      <c r="E80" s="127" t="s">
        <v>952</v>
      </c>
    </row>
    <row r="81" spans="1:5">
      <c r="A81" s="127" t="s">
        <v>951</v>
      </c>
      <c r="C81" s="332">
        <v>3000</v>
      </c>
      <c r="E81" s="127" t="s">
        <v>952</v>
      </c>
    </row>
    <row r="82" spans="1:5">
      <c r="A82" s="127" t="s">
        <v>551</v>
      </c>
      <c r="C82" s="332">
        <v>100000</v>
      </c>
      <c r="E82" s="127" t="s">
        <v>959</v>
      </c>
    </row>
    <row r="83" spans="1:5">
      <c r="A83" s="127" t="s">
        <v>551</v>
      </c>
      <c r="C83" s="332">
        <v>125000</v>
      </c>
      <c r="E83" s="127" t="s">
        <v>960</v>
      </c>
    </row>
    <row r="84" spans="1:5">
      <c r="A84" s="127" t="s">
        <v>551</v>
      </c>
      <c r="C84" s="332">
        <v>39007.08</v>
      </c>
      <c r="E84" s="127" t="s">
        <v>961</v>
      </c>
    </row>
    <row r="85" spans="1:5">
      <c r="A85" s="127" t="s">
        <v>551</v>
      </c>
      <c r="C85" s="332">
        <v>755700</v>
      </c>
      <c r="E85" s="127" t="s">
        <v>962</v>
      </c>
    </row>
    <row r="86" spans="1:5">
      <c r="A86" s="127" t="s">
        <v>555</v>
      </c>
      <c r="C86" s="332">
        <v>9030.98</v>
      </c>
      <c r="E86" s="127" t="s">
        <v>963</v>
      </c>
    </row>
    <row r="87" spans="1:5">
      <c r="E87" s="127" t="s">
        <v>964</v>
      </c>
    </row>
    <row r="88" spans="1:5">
      <c r="A88" s="127" t="s">
        <v>883</v>
      </c>
      <c r="C88" s="332">
        <v>272718.90000000002</v>
      </c>
      <c r="E88" s="127" t="s">
        <v>967</v>
      </c>
    </row>
    <row r="89" spans="1:5">
      <c r="A89" s="127" t="s">
        <v>883</v>
      </c>
      <c r="C89" s="332">
        <v>136359.45000000001</v>
      </c>
      <c r="E89" s="127" t="s">
        <v>967</v>
      </c>
    </row>
    <row r="90" spans="1:5">
      <c r="A90" s="127" t="s">
        <v>551</v>
      </c>
      <c r="C90" s="332">
        <v>9000</v>
      </c>
      <c r="E90" s="127" t="s">
        <v>968</v>
      </c>
    </row>
    <row r="91" spans="1:5">
      <c r="A91" s="127" t="s">
        <v>942</v>
      </c>
      <c r="C91" s="332">
        <v>203476.5</v>
      </c>
      <c r="E91" s="127" t="s">
        <v>969</v>
      </c>
    </row>
    <row r="92" spans="1:5">
      <c r="A92" s="127" t="s">
        <v>970</v>
      </c>
      <c r="C92" s="332">
        <v>52404.53</v>
      </c>
      <c r="E92" s="127" t="s">
        <v>978</v>
      </c>
    </row>
    <row r="93" spans="1:5">
      <c r="A93" s="127" t="s">
        <v>971</v>
      </c>
      <c r="C93" s="332">
        <v>5179.43</v>
      </c>
      <c r="E93" s="127" t="s">
        <v>945</v>
      </c>
    </row>
    <row r="94" spans="1:5">
      <c r="A94" s="127" t="s">
        <v>972</v>
      </c>
      <c r="C94" s="332">
        <v>22526</v>
      </c>
      <c r="E94" s="127" t="s">
        <v>973</v>
      </c>
    </row>
    <row r="95" spans="1:5">
      <c r="A95" s="127" t="s">
        <v>942</v>
      </c>
      <c r="C95" s="332">
        <v>10245.82</v>
      </c>
      <c r="E95" s="127" t="s">
        <v>974</v>
      </c>
    </row>
    <row r="96" spans="1:5">
      <c r="E96" s="127" t="s">
        <v>975</v>
      </c>
    </row>
    <row r="97" spans="1:5">
      <c r="A97" s="127" t="s">
        <v>976</v>
      </c>
      <c r="C97" s="332">
        <v>129539</v>
      </c>
      <c r="E97" s="127" t="s">
        <v>977</v>
      </c>
    </row>
    <row r="98" spans="1:5">
      <c r="A98" s="127" t="s">
        <v>976</v>
      </c>
      <c r="C98" s="332">
        <v>10985</v>
      </c>
      <c r="E98" s="127" t="s">
        <v>977</v>
      </c>
    </row>
    <row r="99" spans="1:5">
      <c r="A99" s="127" t="s">
        <v>976</v>
      </c>
      <c r="C99" s="332">
        <v>119361.69</v>
      </c>
      <c r="E99" s="127" t="s">
        <v>977</v>
      </c>
    </row>
    <row r="100" spans="1:5">
      <c r="A100" s="127" t="s">
        <v>976</v>
      </c>
      <c r="C100" s="332">
        <v>5289</v>
      </c>
      <c r="E100" s="127" t="s">
        <v>977</v>
      </c>
    </row>
    <row r="101" spans="1:5">
      <c r="A101" s="127" t="s">
        <v>976</v>
      </c>
      <c r="C101" s="332">
        <v>20808</v>
      </c>
      <c r="E101" s="127" t="s">
        <v>977</v>
      </c>
    </row>
    <row r="102" spans="1:5">
      <c r="A102" s="127" t="s">
        <v>976</v>
      </c>
      <c r="C102" s="332">
        <v>49370</v>
      </c>
      <c r="E102" s="127" t="s">
        <v>977</v>
      </c>
    </row>
    <row r="103" spans="1:5">
      <c r="A103" s="127" t="s">
        <v>976</v>
      </c>
      <c r="C103" s="332">
        <v>34500</v>
      </c>
      <c r="E103" s="127" t="s">
        <v>977</v>
      </c>
    </row>
    <row r="104" spans="1:5">
      <c r="A104" s="127" t="s">
        <v>980</v>
      </c>
      <c r="C104" s="332">
        <v>5000</v>
      </c>
      <c r="E104" s="127" t="s">
        <v>982</v>
      </c>
    </row>
    <row r="105" spans="1:5">
      <c r="A105" s="127" t="s">
        <v>981</v>
      </c>
      <c r="C105" s="332">
        <v>127328.22</v>
      </c>
      <c r="E105" s="127" t="s">
        <v>984</v>
      </c>
    </row>
    <row r="106" spans="1:5">
      <c r="A106" s="127" t="s">
        <v>986</v>
      </c>
      <c r="C106" s="332">
        <v>6980</v>
      </c>
      <c r="E106" s="127" t="s">
        <v>985</v>
      </c>
    </row>
    <row r="107" spans="1:5">
      <c r="A107" s="127" t="s">
        <v>981</v>
      </c>
      <c r="C107" s="332">
        <v>683258.64</v>
      </c>
      <c r="E107" s="127" t="s">
        <v>984</v>
      </c>
    </row>
    <row r="109" spans="1:5">
      <c r="C109" s="334">
        <f>SUM(C73:C108)</f>
        <v>3742746.85</v>
      </c>
    </row>
    <row r="111" spans="1:5">
      <c r="C111" s="335" t="s">
        <v>987</v>
      </c>
    </row>
    <row r="112" spans="1:5">
      <c r="A112" s="127" t="s">
        <v>990</v>
      </c>
      <c r="C112" s="336">
        <v>33146.06</v>
      </c>
      <c r="E112" s="127" t="s">
        <v>991</v>
      </c>
    </row>
    <row r="113" spans="1:5">
      <c r="A113" s="127" t="s">
        <v>990</v>
      </c>
      <c r="C113" s="336">
        <v>8777.07</v>
      </c>
      <c r="E113" s="127" t="s">
        <v>992</v>
      </c>
    </row>
    <row r="114" spans="1:5">
      <c r="A114" s="127" t="s">
        <v>990</v>
      </c>
      <c r="C114" s="336">
        <v>5422.76</v>
      </c>
      <c r="E114" s="127" t="s">
        <v>992</v>
      </c>
    </row>
    <row r="115" spans="1:5">
      <c r="A115" s="127" t="s">
        <v>990</v>
      </c>
      <c r="C115" s="336">
        <v>2644.2</v>
      </c>
      <c r="E115" s="127" t="s">
        <v>993</v>
      </c>
    </row>
    <row r="116" spans="1:5">
      <c r="A116" s="127" t="s">
        <v>555</v>
      </c>
      <c r="C116" s="336">
        <v>10000</v>
      </c>
      <c r="E116" s="127" t="s">
        <v>994</v>
      </c>
    </row>
    <row r="117" spans="1:5">
      <c r="A117" s="127" t="s">
        <v>555</v>
      </c>
      <c r="C117" s="336">
        <v>5000</v>
      </c>
      <c r="E117" s="127" t="s">
        <v>995</v>
      </c>
    </row>
    <row r="118" spans="1:5">
      <c r="A118" s="127" t="s">
        <v>996</v>
      </c>
      <c r="C118" s="336">
        <v>82044.899999999994</v>
      </c>
      <c r="E118" s="127" t="s">
        <v>997</v>
      </c>
    </row>
    <row r="119" spans="1:5">
      <c r="A119" s="127" t="s">
        <v>1001</v>
      </c>
      <c r="C119" s="336">
        <v>15834</v>
      </c>
      <c r="E119" s="127" t="s">
        <v>1002</v>
      </c>
    </row>
    <row r="120" spans="1:5">
      <c r="A120" s="127" t="s">
        <v>1360</v>
      </c>
      <c r="C120" s="332">
        <v>150000</v>
      </c>
      <c r="E120" s="127" t="s">
        <v>1367</v>
      </c>
    </row>
    <row r="121" spans="1:5">
      <c r="A121" s="127" t="s">
        <v>1360</v>
      </c>
      <c r="C121" s="332">
        <v>82875</v>
      </c>
      <c r="E121" s="127" t="s">
        <v>1371</v>
      </c>
    </row>
    <row r="122" spans="1:5">
      <c r="A122" s="127" t="s">
        <v>1360</v>
      </c>
      <c r="C122" s="332">
        <v>100000</v>
      </c>
      <c r="E122" s="127" t="s">
        <v>1370</v>
      </c>
    </row>
    <row r="123" spans="1:5">
      <c r="A123" s="127" t="s">
        <v>1360</v>
      </c>
      <c r="C123" s="332">
        <v>159160.5</v>
      </c>
      <c r="E123" s="127" t="s">
        <v>1369</v>
      </c>
    </row>
    <row r="124" spans="1:5">
      <c r="A124" s="127" t="s">
        <v>1360</v>
      </c>
      <c r="C124" s="332">
        <v>2742.2</v>
      </c>
      <c r="E124" s="127" t="s">
        <v>1368</v>
      </c>
    </row>
    <row r="125" spans="1:5">
      <c r="A125" s="127" t="s">
        <v>1372</v>
      </c>
      <c r="C125" s="332">
        <v>7017.42</v>
      </c>
      <c r="E125" s="127" t="s">
        <v>1374</v>
      </c>
    </row>
    <row r="126" spans="1:5">
      <c r="A126" s="127" t="s">
        <v>1372</v>
      </c>
      <c r="C126" s="332">
        <v>15000</v>
      </c>
      <c r="E126" s="127" t="s">
        <v>1373</v>
      </c>
    </row>
    <row r="127" spans="1:5">
      <c r="A127" s="127" t="s">
        <v>1375</v>
      </c>
      <c r="C127" s="332">
        <v>9000</v>
      </c>
      <c r="E127" s="127" t="s">
        <v>1376</v>
      </c>
    </row>
    <row r="128" spans="1:5">
      <c r="A128" s="127" t="s">
        <v>1375</v>
      </c>
      <c r="C128" s="332">
        <v>63485.07</v>
      </c>
      <c r="E128" s="127" t="s">
        <v>1377</v>
      </c>
    </row>
    <row r="129" spans="1:5">
      <c r="A129" s="127" t="s">
        <v>1384</v>
      </c>
      <c r="C129" s="337">
        <v>186919</v>
      </c>
      <c r="E129" s="127" t="s">
        <v>1386</v>
      </c>
    </row>
    <row r="130" spans="1:5">
      <c r="A130" s="127" t="s">
        <v>1384</v>
      </c>
      <c r="C130" s="338">
        <v>700000</v>
      </c>
      <c r="E130" s="127" t="s">
        <v>1387</v>
      </c>
    </row>
    <row r="131" spans="1:5">
      <c r="C131" s="339">
        <f>SUM(C112:C130)</f>
        <v>1639068.18</v>
      </c>
    </row>
    <row r="133" spans="1:5">
      <c r="C133" s="335" t="s">
        <v>1392</v>
      </c>
    </row>
    <row r="134" spans="1:5">
      <c r="A134" s="127" t="s">
        <v>1043</v>
      </c>
      <c r="C134" s="332">
        <v>60398.33</v>
      </c>
      <c r="E134" s="127" t="s">
        <v>1393</v>
      </c>
    </row>
    <row r="135" spans="1:5">
      <c r="A135" s="127" t="s">
        <v>1043</v>
      </c>
      <c r="C135" s="332">
        <v>34252.67</v>
      </c>
      <c r="E135" s="127" t="s">
        <v>1394</v>
      </c>
    </row>
    <row r="136" spans="1:5">
      <c r="A136" s="127" t="s">
        <v>1043</v>
      </c>
      <c r="C136" s="332">
        <v>96762</v>
      </c>
      <c r="E136" s="127" t="s">
        <v>1395</v>
      </c>
    </row>
    <row r="137" spans="1:5">
      <c r="A137" s="127" t="s">
        <v>1043</v>
      </c>
      <c r="C137" s="332">
        <v>356900</v>
      </c>
      <c r="E137" s="127" t="s">
        <v>1396</v>
      </c>
    </row>
    <row r="138" spans="1:5" hidden="1">
      <c r="A138" s="127" t="s">
        <v>1400</v>
      </c>
    </row>
    <row r="139" spans="1:5" hidden="1">
      <c r="A139" s="127" t="s">
        <v>1400</v>
      </c>
    </row>
    <row r="140" spans="1:5" hidden="1">
      <c r="A140" s="127" t="s">
        <v>1400</v>
      </c>
    </row>
    <row r="141" spans="1:5">
      <c r="A141" s="127" t="s">
        <v>1447</v>
      </c>
      <c r="C141" s="332">
        <v>12500</v>
      </c>
      <c r="E141" s="127" t="s">
        <v>1413</v>
      </c>
    </row>
    <row r="142" spans="1:5">
      <c r="A142" s="127" t="s">
        <v>1043</v>
      </c>
      <c r="C142" s="332">
        <v>59980.39</v>
      </c>
      <c r="E142" s="127" t="s">
        <v>1522</v>
      </c>
    </row>
    <row r="143" spans="1:5">
      <c r="A143" s="127" t="s">
        <v>1043</v>
      </c>
      <c r="C143" s="332">
        <v>450000</v>
      </c>
      <c r="E143" s="127" t="s">
        <v>1520</v>
      </c>
    </row>
    <row r="144" spans="1:5">
      <c r="A144" s="127" t="s">
        <v>1043</v>
      </c>
      <c r="C144" s="332">
        <v>139019.70000000001</v>
      </c>
      <c r="E144" s="127" t="s">
        <v>1523</v>
      </c>
    </row>
    <row r="145" spans="1:5">
      <c r="A145" s="127" t="s">
        <v>1562</v>
      </c>
      <c r="C145" s="332">
        <v>3446</v>
      </c>
      <c r="E145" s="127" t="s">
        <v>1563</v>
      </c>
    </row>
    <row r="146" spans="1:5">
      <c r="A146" s="127" t="s">
        <v>1562</v>
      </c>
      <c r="C146" s="332">
        <v>2561.1999999999998</v>
      </c>
      <c r="E146" s="127" t="s">
        <v>1564</v>
      </c>
    </row>
    <row r="147" spans="1:5">
      <c r="A147" s="127" t="s">
        <v>1562</v>
      </c>
      <c r="C147" s="332">
        <v>1832</v>
      </c>
      <c r="E147" s="127" t="s">
        <v>1565</v>
      </c>
    </row>
    <row r="148" spans="1:5">
      <c r="A148" s="127" t="s">
        <v>1562</v>
      </c>
      <c r="C148" s="332">
        <v>7160</v>
      </c>
      <c r="E148" s="127" t="s">
        <v>1566</v>
      </c>
    </row>
    <row r="149" spans="1:5">
      <c r="A149" s="127" t="s">
        <v>1562</v>
      </c>
      <c r="C149" s="332">
        <v>7160</v>
      </c>
      <c r="E149" s="127" t="s">
        <v>1567</v>
      </c>
    </row>
    <row r="150" spans="1:5">
      <c r="A150" s="127" t="s">
        <v>1524</v>
      </c>
      <c r="C150" s="332">
        <v>272718.90000000002</v>
      </c>
      <c r="E150" s="127" t="s">
        <v>1526</v>
      </c>
    </row>
    <row r="151" spans="1:5">
      <c r="A151" s="127" t="s">
        <v>1524</v>
      </c>
      <c r="C151" s="332">
        <v>303021</v>
      </c>
      <c r="E151" s="127" t="s">
        <v>1525</v>
      </c>
    </row>
    <row r="152" spans="1:5">
      <c r="A152" s="127" t="s">
        <v>1593</v>
      </c>
      <c r="C152" s="336">
        <v>1370.36</v>
      </c>
      <c r="E152" s="127" t="s">
        <v>1594</v>
      </c>
    </row>
    <row r="153" spans="1:5">
      <c r="A153" s="127" t="s">
        <v>1593</v>
      </c>
      <c r="C153" s="336">
        <v>558</v>
      </c>
      <c r="E153" s="127" t="s">
        <v>1594</v>
      </c>
    </row>
    <row r="154" spans="1:5">
      <c r="A154" s="127" t="s">
        <v>1593</v>
      </c>
      <c r="C154" s="336">
        <v>90000</v>
      </c>
      <c r="E154" s="127" t="s">
        <v>1596</v>
      </c>
    </row>
    <row r="155" spans="1:5">
      <c r="A155" s="127" t="s">
        <v>1593</v>
      </c>
      <c r="C155" s="336">
        <v>175000</v>
      </c>
      <c r="E155" s="127" t="s">
        <v>1597</v>
      </c>
    </row>
    <row r="156" spans="1:5">
      <c r="A156" s="127" t="s">
        <v>1593</v>
      </c>
      <c r="C156" s="336">
        <v>159160.5</v>
      </c>
      <c r="E156" s="127" t="s">
        <v>1598</v>
      </c>
    </row>
    <row r="157" spans="1:5">
      <c r="A157" s="127" t="s">
        <v>1593</v>
      </c>
      <c r="C157" s="336">
        <v>152369.1</v>
      </c>
      <c r="E157" s="127" t="s">
        <v>1599</v>
      </c>
    </row>
    <row r="158" spans="1:5">
      <c r="A158" s="127" t="s">
        <v>1595</v>
      </c>
      <c r="C158" s="336">
        <v>1627.5</v>
      </c>
      <c r="E158" s="127" t="s">
        <v>1594</v>
      </c>
    </row>
    <row r="159" spans="1:5">
      <c r="A159" s="127" t="s">
        <v>1595</v>
      </c>
      <c r="C159" s="336">
        <v>1250</v>
      </c>
      <c r="E159" s="127" t="s">
        <v>1594</v>
      </c>
    </row>
    <row r="160" spans="1:5">
      <c r="A160" s="127" t="s">
        <v>1595</v>
      </c>
      <c r="C160" s="336">
        <v>2280</v>
      </c>
      <c r="E160" s="127" t="s">
        <v>1594</v>
      </c>
    </row>
    <row r="161" spans="1:5">
      <c r="A161" s="127" t="s">
        <v>1595</v>
      </c>
      <c r="C161" s="336">
        <v>1624.25</v>
      </c>
      <c r="E161" s="127" t="s">
        <v>1594</v>
      </c>
    </row>
    <row r="162" spans="1:5">
      <c r="A162" s="127" t="s">
        <v>1595</v>
      </c>
      <c r="C162" s="336">
        <v>3446</v>
      </c>
      <c r="E162" s="127" t="s">
        <v>1594</v>
      </c>
    </row>
    <row r="163" spans="1:5">
      <c r="A163" s="127" t="s">
        <v>1595</v>
      </c>
      <c r="C163" s="336">
        <v>269.39</v>
      </c>
      <c r="E163" s="127" t="s">
        <v>1594</v>
      </c>
    </row>
    <row r="164" spans="1:5">
      <c r="A164" s="127" t="s">
        <v>1600</v>
      </c>
      <c r="C164" s="378">
        <v>925</v>
      </c>
      <c r="E164" s="127" t="s">
        <v>1594</v>
      </c>
    </row>
    <row r="165" spans="1:5">
      <c r="C165" s="332">
        <f>SUM(C134:C164)</f>
        <v>2397592.29</v>
      </c>
    </row>
    <row r="167" spans="1:5">
      <c r="C167" s="335" t="s">
        <v>1669</v>
      </c>
    </row>
    <row r="168" spans="1:5">
      <c r="A168" s="127" t="s">
        <v>1670</v>
      </c>
      <c r="C168" s="336">
        <v>32319.35</v>
      </c>
      <c r="E168" s="127" t="s">
        <v>1671</v>
      </c>
    </row>
    <row r="169" spans="1:5">
      <c r="A169" s="127" t="s">
        <v>1670</v>
      </c>
      <c r="C169" s="336">
        <v>47656.79</v>
      </c>
      <c r="E169" s="127" t="s">
        <v>1672</v>
      </c>
    </row>
    <row r="170" spans="1:5">
      <c r="A170" s="127" t="s">
        <v>1670</v>
      </c>
      <c r="C170" s="336">
        <v>45840.46</v>
      </c>
      <c r="E170" s="127" t="s">
        <v>1672</v>
      </c>
    </row>
    <row r="171" spans="1:5">
      <c r="A171" s="127" t="s">
        <v>1673</v>
      </c>
      <c r="C171" s="336">
        <v>158159</v>
      </c>
      <c r="E171" s="127" t="s">
        <v>1676</v>
      </c>
    </row>
    <row r="172" spans="1:5">
      <c r="A172" s="127" t="s">
        <v>1673</v>
      </c>
      <c r="C172" s="336">
        <v>3190</v>
      </c>
      <c r="E172" s="127" t="s">
        <v>1692</v>
      </c>
    </row>
    <row r="173" spans="1:5">
      <c r="A173" s="127" t="s">
        <v>1677</v>
      </c>
      <c r="C173" s="336">
        <v>109470.47</v>
      </c>
      <c r="E173" s="127" t="s">
        <v>1678</v>
      </c>
    </row>
    <row r="174" spans="1:5">
      <c r="A174" s="127" t="s">
        <v>1677</v>
      </c>
      <c r="C174" s="336">
        <v>226375.67999999999</v>
      </c>
      <c r="E174" s="127" t="s">
        <v>1679</v>
      </c>
    </row>
    <row r="175" spans="1:5">
      <c r="A175" s="127" t="s">
        <v>1677</v>
      </c>
      <c r="C175" s="336">
        <v>107307.5</v>
      </c>
      <c r="E175" s="127" t="s">
        <v>1678</v>
      </c>
    </row>
    <row r="176" spans="1:5">
      <c r="A176" s="127" t="s">
        <v>1677</v>
      </c>
      <c r="C176" s="336">
        <v>45988.93</v>
      </c>
      <c r="E176" s="127" t="s">
        <v>1680</v>
      </c>
    </row>
    <row r="177" spans="1:5">
      <c r="A177" s="127" t="s">
        <v>1677</v>
      </c>
      <c r="C177" s="336">
        <v>59973.51</v>
      </c>
      <c r="E177" s="127" t="s">
        <v>1681</v>
      </c>
    </row>
    <row r="178" spans="1:5">
      <c r="A178" s="127" t="s">
        <v>1677</v>
      </c>
      <c r="C178" s="336">
        <v>316800</v>
      </c>
      <c r="E178" s="127" t="s">
        <v>1682</v>
      </c>
    </row>
    <row r="179" spans="1:5">
      <c r="A179" s="127" t="s">
        <v>1677</v>
      </c>
      <c r="C179" s="336">
        <v>13506.95</v>
      </c>
      <c r="E179" s="127" t="s">
        <v>1683</v>
      </c>
    </row>
    <row r="180" spans="1:5">
      <c r="A180" s="127" t="s">
        <v>1677</v>
      </c>
      <c r="C180" s="336">
        <v>165580.24</v>
      </c>
      <c r="E180" s="127" t="s">
        <v>1689</v>
      </c>
    </row>
    <row r="181" spans="1:5">
      <c r="A181" s="127" t="s">
        <v>1677</v>
      </c>
      <c r="C181" s="336">
        <v>29582.71</v>
      </c>
      <c r="E181" s="127" t="s">
        <v>1690</v>
      </c>
    </row>
    <row r="182" spans="1:5">
      <c r="A182" s="127" t="s">
        <v>1677</v>
      </c>
      <c r="C182" s="336">
        <v>33612</v>
      </c>
      <c r="E182" s="127" t="s">
        <v>1691</v>
      </c>
    </row>
    <row r="183" spans="1:5">
      <c r="A183" s="127" t="s">
        <v>1677</v>
      </c>
      <c r="C183" s="336">
        <v>28581</v>
      </c>
      <c r="E183" s="127" t="s">
        <v>1691</v>
      </c>
    </row>
    <row r="184" spans="1:5">
      <c r="A184" s="127" t="s">
        <v>1677</v>
      </c>
      <c r="C184" s="336">
        <v>89336.27</v>
      </c>
      <c r="E184" s="127" t="s">
        <v>1691</v>
      </c>
    </row>
    <row r="185" spans="1:5">
      <c r="A185" s="127" t="s">
        <v>1677</v>
      </c>
      <c r="C185" s="336">
        <v>29084.32</v>
      </c>
      <c r="E185" s="127" t="s">
        <v>10</v>
      </c>
    </row>
    <row r="186" spans="1:5">
      <c r="A186" s="127" t="s">
        <v>1677</v>
      </c>
      <c r="C186" s="336">
        <v>125000</v>
      </c>
      <c r="E186" s="127" t="s">
        <v>11</v>
      </c>
    </row>
    <row r="187" spans="1:5">
      <c r="A187" s="127" t="s">
        <v>1677</v>
      </c>
      <c r="C187" s="336">
        <v>139743.6</v>
      </c>
      <c r="E187" s="127" t="s">
        <v>12</v>
      </c>
    </row>
    <row r="188" spans="1:5">
      <c r="A188" s="127" t="s">
        <v>942</v>
      </c>
      <c r="C188" s="336">
        <v>15000</v>
      </c>
      <c r="E188" s="127" t="s">
        <v>1341</v>
      </c>
    </row>
    <row r="189" spans="1:5">
      <c r="A189" s="127" t="s">
        <v>942</v>
      </c>
      <c r="C189" s="336">
        <v>10231.82</v>
      </c>
      <c r="E189" s="127" t="s">
        <v>1341</v>
      </c>
    </row>
    <row r="190" spans="1:5">
      <c r="A190" s="127" t="s">
        <v>883</v>
      </c>
      <c r="C190" s="336">
        <v>272718.90000000002</v>
      </c>
      <c r="E190" s="127" t="s">
        <v>1693</v>
      </c>
    </row>
    <row r="191" spans="1:5">
      <c r="A191" s="127" t="s">
        <v>1685</v>
      </c>
      <c r="C191" s="336">
        <v>30050</v>
      </c>
      <c r="E191" s="127" t="s">
        <v>1683</v>
      </c>
    </row>
    <row r="192" spans="1:5">
      <c r="A192" s="127" t="s">
        <v>1685</v>
      </c>
      <c r="C192" s="336">
        <v>300</v>
      </c>
      <c r="E192" s="127" t="s">
        <v>1683</v>
      </c>
    </row>
    <row r="193" spans="1:5">
      <c r="A193" s="127" t="s">
        <v>1685</v>
      </c>
      <c r="C193" s="336">
        <v>300</v>
      </c>
      <c r="E193" s="127" t="s">
        <v>1683</v>
      </c>
    </row>
    <row r="194" spans="1:5">
      <c r="A194" s="127" t="s">
        <v>1695</v>
      </c>
      <c r="C194" s="336">
        <v>1069.5</v>
      </c>
      <c r="E194" s="127" t="s">
        <v>1696</v>
      </c>
    </row>
    <row r="195" spans="1:5">
      <c r="A195" s="127" t="s">
        <v>1695</v>
      </c>
      <c r="C195" s="378">
        <v>2712</v>
      </c>
      <c r="E195" s="127" t="s">
        <v>1696</v>
      </c>
    </row>
    <row r="196" spans="1:5">
      <c r="C196" s="332">
        <f>SUM(C168:C195)</f>
        <v>2139491</v>
      </c>
    </row>
    <row r="198" spans="1:5">
      <c r="C198" s="335" t="s">
        <v>46</v>
      </c>
    </row>
    <row r="199" spans="1:5">
      <c r="A199" s="127" t="s">
        <v>64</v>
      </c>
      <c r="C199" s="332">
        <v>64112</v>
      </c>
      <c r="E199" s="127" t="s">
        <v>1342</v>
      </c>
    </row>
    <row r="200" spans="1:5">
      <c r="A200" s="127" t="s">
        <v>131</v>
      </c>
      <c r="C200" s="332">
        <v>105000</v>
      </c>
      <c r="E200" s="127" t="s">
        <v>65</v>
      </c>
    </row>
    <row r="201" spans="1:5">
      <c r="A201" s="127" t="s">
        <v>131</v>
      </c>
      <c r="C201" s="332">
        <v>27013.53</v>
      </c>
      <c r="E201" s="127" t="s">
        <v>66</v>
      </c>
    </row>
    <row r="202" spans="1:5">
      <c r="A202" s="127" t="s">
        <v>131</v>
      </c>
      <c r="C202" s="332">
        <v>139615.51</v>
      </c>
      <c r="E202" s="127" t="s">
        <v>67</v>
      </c>
    </row>
    <row r="203" spans="1:5">
      <c r="A203" s="127" t="s">
        <v>131</v>
      </c>
      <c r="C203" s="332">
        <v>5374.81</v>
      </c>
      <c r="E203" s="127" t="s">
        <v>68</v>
      </c>
    </row>
    <row r="204" spans="1:5">
      <c r="A204" s="127" t="s">
        <v>131</v>
      </c>
      <c r="C204" s="332">
        <v>76991.62</v>
      </c>
      <c r="E204" s="127" t="s">
        <v>69</v>
      </c>
    </row>
    <row r="205" spans="1:5">
      <c r="A205" s="127" t="s">
        <v>131</v>
      </c>
      <c r="C205" s="332">
        <v>323039.5</v>
      </c>
      <c r="E205" s="127" t="s">
        <v>128</v>
      </c>
    </row>
    <row r="206" spans="1:5">
      <c r="A206" s="127" t="s">
        <v>131</v>
      </c>
      <c r="C206" s="332">
        <v>21839.9</v>
      </c>
      <c r="E206" s="127" t="s">
        <v>129</v>
      </c>
    </row>
    <row r="207" spans="1:5">
      <c r="A207" s="127" t="s">
        <v>131</v>
      </c>
      <c r="C207" s="332">
        <v>50000</v>
      </c>
      <c r="E207" s="127" t="s">
        <v>130</v>
      </c>
    </row>
    <row r="208" spans="1:5">
      <c r="A208" s="127" t="s">
        <v>131</v>
      </c>
      <c r="C208" s="332">
        <v>45737.22</v>
      </c>
      <c r="E208" s="127" t="s">
        <v>132</v>
      </c>
    </row>
    <row r="209" spans="1:5">
      <c r="A209" s="127" t="s">
        <v>131</v>
      </c>
      <c r="C209" s="332">
        <v>-780</v>
      </c>
      <c r="E209" s="127" t="s">
        <v>1321</v>
      </c>
    </row>
    <row r="210" spans="1:5">
      <c r="A210" s="127" t="s">
        <v>133</v>
      </c>
      <c r="C210" s="332">
        <v>2500</v>
      </c>
      <c r="E210" s="127" t="s">
        <v>134</v>
      </c>
    </row>
    <row r="211" spans="1:5">
      <c r="A211" s="127" t="s">
        <v>146</v>
      </c>
      <c r="C211" s="332">
        <v>20139.650000000001</v>
      </c>
      <c r="E211" s="127" t="s">
        <v>156</v>
      </c>
    </row>
    <row r="212" spans="1:5">
      <c r="A212" s="127" t="s">
        <v>146</v>
      </c>
      <c r="C212" s="332">
        <v>3526.51</v>
      </c>
      <c r="E212" s="127" t="s">
        <v>157</v>
      </c>
    </row>
    <row r="213" spans="1:5">
      <c r="A213" s="127" t="s">
        <v>146</v>
      </c>
      <c r="C213" s="332">
        <v>6000</v>
      </c>
      <c r="E213" s="127" t="s">
        <v>152</v>
      </c>
    </row>
    <row r="214" spans="1:5">
      <c r="A214" s="127" t="s">
        <v>146</v>
      </c>
      <c r="C214" s="332">
        <v>22018.36</v>
      </c>
      <c r="E214" s="127" t="s">
        <v>1678</v>
      </c>
    </row>
    <row r="215" spans="1:5">
      <c r="A215" s="127" t="s">
        <v>146</v>
      </c>
      <c r="C215" s="332">
        <v>32599.83</v>
      </c>
      <c r="E215" s="127" t="s">
        <v>1678</v>
      </c>
    </row>
    <row r="216" spans="1:5">
      <c r="A216" s="127" t="s">
        <v>146</v>
      </c>
      <c r="C216" s="332">
        <v>7781.75</v>
      </c>
      <c r="E216" s="127" t="s">
        <v>158</v>
      </c>
    </row>
    <row r="217" spans="1:5">
      <c r="A217" s="127" t="s">
        <v>146</v>
      </c>
      <c r="C217" s="332">
        <v>27313.69</v>
      </c>
      <c r="E217" s="127" t="s">
        <v>155</v>
      </c>
    </row>
    <row r="218" spans="1:5">
      <c r="A218" s="127" t="s">
        <v>146</v>
      </c>
      <c r="C218" s="332">
        <v>26390.01</v>
      </c>
      <c r="E218" s="127" t="s">
        <v>154</v>
      </c>
    </row>
    <row r="219" spans="1:5">
      <c r="A219" s="127" t="s">
        <v>146</v>
      </c>
      <c r="C219" s="332">
        <v>2663.19</v>
      </c>
      <c r="E219" s="127" t="s">
        <v>153</v>
      </c>
    </row>
    <row r="220" spans="1:5">
      <c r="A220" s="127" t="s">
        <v>1322</v>
      </c>
      <c r="C220" s="332">
        <v>900</v>
      </c>
      <c r="E220" s="127" t="s">
        <v>157</v>
      </c>
    </row>
    <row r="221" spans="1:5">
      <c r="A221" s="127" t="s">
        <v>1322</v>
      </c>
      <c r="C221" s="332">
        <v>750</v>
      </c>
      <c r="E221" s="127" t="s">
        <v>157</v>
      </c>
    </row>
    <row r="222" spans="1:5">
      <c r="A222" s="127" t="s">
        <v>1322</v>
      </c>
      <c r="C222" s="332">
        <v>324436</v>
      </c>
      <c r="E222" s="127" t="s">
        <v>157</v>
      </c>
    </row>
    <row r="223" spans="1:5">
      <c r="A223" s="127" t="s">
        <v>1322</v>
      </c>
      <c r="C223" s="332">
        <v>1415</v>
      </c>
      <c r="E223" s="127" t="s">
        <v>157</v>
      </c>
    </row>
    <row r="224" spans="1:5">
      <c r="A224" s="127" t="s">
        <v>149</v>
      </c>
      <c r="C224" s="337">
        <v>1600</v>
      </c>
      <c r="E224" s="127" t="s">
        <v>161</v>
      </c>
    </row>
    <row r="225" spans="1:5">
      <c r="A225" s="127" t="s">
        <v>572</v>
      </c>
      <c r="C225" s="337">
        <v>750</v>
      </c>
      <c r="E225" s="127" t="s">
        <v>157</v>
      </c>
    </row>
    <row r="226" spans="1:5">
      <c r="A226" s="127" t="s">
        <v>572</v>
      </c>
      <c r="C226" s="337">
        <v>750</v>
      </c>
      <c r="E226" s="127" t="s">
        <v>157</v>
      </c>
    </row>
    <row r="227" spans="1:5">
      <c r="A227" s="127" t="s">
        <v>572</v>
      </c>
      <c r="C227" s="337">
        <v>3685</v>
      </c>
      <c r="E227" s="127" t="s">
        <v>157</v>
      </c>
    </row>
    <row r="228" spans="1:5">
      <c r="A228" s="127" t="s">
        <v>883</v>
      </c>
      <c r="C228" s="338">
        <v>3680</v>
      </c>
      <c r="E228" s="127" t="s">
        <v>238</v>
      </c>
    </row>
    <row r="229" spans="1:5">
      <c r="C229" s="332">
        <f>SUM(C199:C228)</f>
        <v>1346843.0799999998</v>
      </c>
    </row>
    <row r="231" spans="1:5">
      <c r="C231" s="335" t="s">
        <v>1323</v>
      </c>
    </row>
    <row r="232" spans="1:5">
      <c r="A232" s="127" t="s">
        <v>1709</v>
      </c>
      <c r="C232" s="332">
        <v>750</v>
      </c>
      <c r="E232" s="127" t="s">
        <v>1712</v>
      </c>
    </row>
    <row r="233" spans="1:5">
      <c r="A233" s="127" t="s">
        <v>1709</v>
      </c>
      <c r="C233" s="332">
        <v>3685</v>
      </c>
      <c r="E233" s="425" t="s">
        <v>1711</v>
      </c>
    </row>
    <row r="234" spans="1:5">
      <c r="A234" s="127" t="s">
        <v>1709</v>
      </c>
      <c r="C234" s="332">
        <v>2700</v>
      </c>
      <c r="E234" s="425" t="s">
        <v>1710</v>
      </c>
    </row>
    <row r="235" spans="1:5">
      <c r="A235" s="127" t="s">
        <v>1677</v>
      </c>
      <c r="C235" s="332">
        <v>29554.93</v>
      </c>
      <c r="E235" s="127" t="s">
        <v>1713</v>
      </c>
    </row>
    <row r="236" spans="1:5">
      <c r="A236" s="127" t="s">
        <v>1677</v>
      </c>
      <c r="C236" s="332">
        <v>227108.35</v>
      </c>
      <c r="E236" s="127" t="s">
        <v>1713</v>
      </c>
    </row>
    <row r="237" spans="1:5">
      <c r="A237" s="127" t="s">
        <v>1677</v>
      </c>
      <c r="C237" s="332">
        <v>139019.70000000001</v>
      </c>
      <c r="E237" s="127" t="s">
        <v>1720</v>
      </c>
    </row>
    <row r="238" spans="1:5">
      <c r="A238" s="127" t="s">
        <v>1677</v>
      </c>
      <c r="C238" s="332">
        <v>182928.4</v>
      </c>
      <c r="E238" s="127" t="s">
        <v>1721</v>
      </c>
    </row>
    <row r="239" spans="1:5">
      <c r="A239" s="127" t="s">
        <v>1677</v>
      </c>
      <c r="C239" s="332">
        <v>925</v>
      </c>
      <c r="E239" s="127" t="s">
        <v>1724</v>
      </c>
    </row>
    <row r="240" spans="1:5">
      <c r="A240" s="127" t="s">
        <v>64</v>
      </c>
      <c r="C240" s="332">
        <v>2603</v>
      </c>
      <c r="E240" s="127" t="s">
        <v>1713</v>
      </c>
    </row>
    <row r="241" spans="1:5">
      <c r="A241" s="127" t="s">
        <v>1677</v>
      </c>
      <c r="C241" s="337">
        <v>81517.100000000006</v>
      </c>
      <c r="E241" s="127" t="s">
        <v>1364</v>
      </c>
    </row>
    <row r="242" spans="1:5">
      <c r="A242" s="127" t="s">
        <v>1673</v>
      </c>
      <c r="C242" s="337">
        <v>98995.6</v>
      </c>
      <c r="E242" s="127" t="s">
        <v>1365</v>
      </c>
    </row>
    <row r="243" spans="1:5">
      <c r="A243" s="127" t="s">
        <v>1725</v>
      </c>
      <c r="C243" s="337">
        <v>8529.09</v>
      </c>
      <c r="E243" s="425" t="s">
        <v>1726</v>
      </c>
    </row>
    <row r="244" spans="1:5">
      <c r="C244" s="337"/>
      <c r="E244" s="425"/>
    </row>
    <row r="245" spans="1:5">
      <c r="A245" s="127" t="s">
        <v>378</v>
      </c>
      <c r="C245" s="339">
        <v>135000</v>
      </c>
      <c r="E245" s="127" t="s">
        <v>379</v>
      </c>
    </row>
    <row r="246" spans="1:5">
      <c r="A246" s="127" t="s">
        <v>380</v>
      </c>
      <c r="C246" s="339">
        <v>19206.150000000001</v>
      </c>
      <c r="E246" s="127" t="s">
        <v>381</v>
      </c>
    </row>
    <row r="247" spans="1:5">
      <c r="A247" s="127" t="s">
        <v>382</v>
      </c>
      <c r="C247" s="339">
        <v>25000</v>
      </c>
      <c r="E247" s="127" t="s">
        <v>383</v>
      </c>
    </row>
    <row r="248" spans="1:5">
      <c r="A248" s="127" t="s">
        <v>382</v>
      </c>
      <c r="C248" s="339">
        <v>16218</v>
      </c>
      <c r="E248" s="127" t="s">
        <v>384</v>
      </c>
    </row>
    <row r="249" spans="1:5">
      <c r="A249" s="127" t="s">
        <v>382</v>
      </c>
      <c r="C249" s="339">
        <v>35488.879999999997</v>
      </c>
      <c r="E249" s="127" t="s">
        <v>385</v>
      </c>
    </row>
    <row r="250" spans="1:5">
      <c r="A250" s="127" t="s">
        <v>382</v>
      </c>
      <c r="C250" s="339">
        <v>15561.65</v>
      </c>
      <c r="E250" s="127" t="s">
        <v>386</v>
      </c>
    </row>
    <row r="251" spans="1:5">
      <c r="A251" s="127" t="s">
        <v>382</v>
      </c>
      <c r="C251" s="339">
        <v>208451.79</v>
      </c>
      <c r="E251" s="127" t="s">
        <v>387</v>
      </c>
    </row>
    <row r="252" spans="1:5">
      <c r="A252" s="127" t="s">
        <v>883</v>
      </c>
      <c r="C252" s="339">
        <v>545437.80000000005</v>
      </c>
      <c r="E252" s="127" t="s">
        <v>1324</v>
      </c>
    </row>
    <row r="253" spans="1:5">
      <c r="C253" s="339"/>
    </row>
    <row r="254" spans="1:5">
      <c r="A254" s="127" t="s">
        <v>1714</v>
      </c>
      <c r="C254" s="339">
        <v>95528.39</v>
      </c>
      <c r="E254" s="127" t="s">
        <v>1715</v>
      </c>
    </row>
    <row r="255" spans="1:5">
      <c r="A255" s="127" t="s">
        <v>1716</v>
      </c>
      <c r="C255" s="339">
        <v>42682.61</v>
      </c>
      <c r="E255" s="127" t="s">
        <v>1717</v>
      </c>
    </row>
    <row r="256" spans="1:5">
      <c r="C256" s="339"/>
      <c r="E256" s="127" t="s">
        <v>1718</v>
      </c>
    </row>
    <row r="257" spans="1:5">
      <c r="A257" s="127" t="s">
        <v>1716</v>
      </c>
      <c r="C257" s="339">
        <v>3337.77</v>
      </c>
      <c r="E257" s="127" t="s">
        <v>1717</v>
      </c>
    </row>
    <row r="258" spans="1:5">
      <c r="C258" s="339"/>
      <c r="E258" s="127" t="s">
        <v>1718</v>
      </c>
    </row>
    <row r="259" spans="1:5">
      <c r="A259" s="127" t="s">
        <v>1716</v>
      </c>
      <c r="C259" s="339">
        <v>22927</v>
      </c>
      <c r="E259" s="127" t="s">
        <v>1717</v>
      </c>
    </row>
    <row r="260" spans="1:5">
      <c r="A260" s="127" t="s">
        <v>1677</v>
      </c>
      <c r="C260" s="332">
        <v>100000</v>
      </c>
      <c r="E260" s="127" t="s">
        <v>1723</v>
      </c>
    </row>
    <row r="261" spans="1:5">
      <c r="A261" s="127" t="s">
        <v>1677</v>
      </c>
      <c r="C261" s="332">
        <v>90000</v>
      </c>
      <c r="E261" s="127" t="s">
        <v>1722</v>
      </c>
    </row>
    <row r="262" spans="1:5">
      <c r="A262" s="127" t="s">
        <v>1384</v>
      </c>
      <c r="C262" s="338">
        <v>-140807.71</v>
      </c>
      <c r="E262" s="127" t="s">
        <v>461</v>
      </c>
    </row>
    <row r="263" spans="1:5">
      <c r="C263" s="332">
        <f>SUM(C232:C262)</f>
        <v>1992348.5</v>
      </c>
    </row>
    <row r="265" spans="1:5">
      <c r="C265" s="432" t="s">
        <v>1077</v>
      </c>
    </row>
    <row r="266" spans="1:5">
      <c r="A266" s="127" t="s">
        <v>1677</v>
      </c>
      <c r="C266" s="332">
        <v>30855.72</v>
      </c>
      <c r="E266" s="127" t="s">
        <v>1083</v>
      </c>
    </row>
    <row r="267" spans="1:5">
      <c r="A267" s="127" t="s">
        <v>1673</v>
      </c>
      <c r="C267" s="332">
        <v>3204</v>
      </c>
      <c r="E267" s="127" t="s">
        <v>1078</v>
      </c>
    </row>
    <row r="268" spans="1:5">
      <c r="A268" s="127" t="s">
        <v>1673</v>
      </c>
      <c r="C268" s="332">
        <v>1389</v>
      </c>
      <c r="E268" s="127" t="s">
        <v>1079</v>
      </c>
    </row>
    <row r="269" spans="1:5">
      <c r="A269" s="127" t="s">
        <v>1673</v>
      </c>
      <c r="C269" s="332">
        <v>8874.49</v>
      </c>
      <c r="E269" s="127" t="s">
        <v>1080</v>
      </c>
    </row>
    <row r="270" spans="1:5" ht="12" customHeight="1">
      <c r="A270" s="127" t="s">
        <v>1673</v>
      </c>
      <c r="C270" s="337">
        <v>8517.35</v>
      </c>
      <c r="E270" s="127" t="s">
        <v>1081</v>
      </c>
    </row>
    <row r="271" spans="1:5" ht="12" customHeight="1">
      <c r="A271" s="127" t="s">
        <v>1673</v>
      </c>
      <c r="C271" s="332">
        <v>15064</v>
      </c>
      <c r="E271" s="127" t="s">
        <v>1082</v>
      </c>
    </row>
    <row r="272" spans="1:5" ht="12" customHeight="1">
      <c r="C272" s="338"/>
    </row>
    <row r="273" spans="1:5">
      <c r="C273" s="332">
        <f>SUM(C266:C272)</f>
        <v>67904.56</v>
      </c>
    </row>
    <row r="275" spans="1:5">
      <c r="C275" s="432" t="s">
        <v>29</v>
      </c>
    </row>
    <row r="276" spans="1:5">
      <c r="A276" s="127" t="s">
        <v>30</v>
      </c>
      <c r="C276" s="332">
        <v>67119.199999999997</v>
      </c>
    </row>
    <row r="277" spans="1:5">
      <c r="A277" s="127" t="s">
        <v>30</v>
      </c>
      <c r="C277" s="332">
        <v>248327</v>
      </c>
    </row>
    <row r="278" spans="1:5">
      <c r="A278" s="127" t="s">
        <v>30</v>
      </c>
      <c r="C278" s="337">
        <v>521129.48</v>
      </c>
    </row>
    <row r="279" spans="1:5">
      <c r="A279" s="127" t="s">
        <v>70</v>
      </c>
      <c r="C279" s="337">
        <v>9587.59</v>
      </c>
      <c r="E279" s="127" t="s">
        <v>78</v>
      </c>
    </row>
    <row r="280" spans="1:5">
      <c r="A280" s="127" t="s">
        <v>70</v>
      </c>
      <c r="C280" s="337">
        <v>269792</v>
      </c>
      <c r="E280" s="127" t="s">
        <v>79</v>
      </c>
    </row>
    <row r="281" spans="1:5">
      <c r="A281" s="127" t="s">
        <v>1677</v>
      </c>
      <c r="C281" s="337">
        <v>5136</v>
      </c>
      <c r="E281" s="127" t="s">
        <v>72</v>
      </c>
    </row>
    <row r="282" spans="1:5">
      <c r="A282" s="127" t="s">
        <v>71</v>
      </c>
      <c r="C282" s="337">
        <v>112179.6</v>
      </c>
      <c r="E282" s="127" t="s">
        <v>80</v>
      </c>
    </row>
    <row r="283" spans="1:5">
      <c r="C283" s="338"/>
    </row>
    <row r="284" spans="1:5">
      <c r="C284" s="332">
        <f>SUM(C276:C283)</f>
        <v>1233270.8700000001</v>
      </c>
    </row>
    <row r="286" spans="1:5">
      <c r="C286" s="335" t="s">
        <v>1193</v>
      </c>
    </row>
    <row r="287" spans="1:5">
      <c r="A287" s="127" t="s">
        <v>1194</v>
      </c>
      <c r="C287" s="336">
        <v>30074</v>
      </c>
      <c r="E287" s="127" t="s">
        <v>1210</v>
      </c>
    </row>
    <row r="288" spans="1:5">
      <c r="A288" s="127" t="s">
        <v>1194</v>
      </c>
      <c r="C288" s="336">
        <v>1180.3699999999999</v>
      </c>
      <c r="E288" s="127" t="s">
        <v>1201</v>
      </c>
    </row>
    <row r="289" spans="1:5">
      <c r="A289" s="127" t="s">
        <v>1194</v>
      </c>
      <c r="C289" s="336">
        <v>1701.62</v>
      </c>
      <c r="E289" s="127" t="s">
        <v>1211</v>
      </c>
    </row>
    <row r="290" spans="1:5">
      <c r="A290" s="127" t="s">
        <v>1199</v>
      </c>
      <c r="C290" s="336">
        <v>11048.44</v>
      </c>
      <c r="E290" s="127" t="s">
        <v>1201</v>
      </c>
    </row>
    <row r="291" spans="1:5">
      <c r="A291" s="127" t="s">
        <v>1197</v>
      </c>
      <c r="C291" s="332">
        <v>11661.52</v>
      </c>
      <c r="E291" s="127" t="s">
        <v>1201</v>
      </c>
    </row>
    <row r="292" spans="1:5">
      <c r="A292" s="127" t="s">
        <v>1198</v>
      </c>
      <c r="C292" s="332">
        <v>17540.189999999999</v>
      </c>
      <c r="E292" s="127" t="s">
        <v>1200</v>
      </c>
    </row>
    <row r="294" spans="1:5">
      <c r="C294" s="338"/>
    </row>
    <row r="295" spans="1:5">
      <c r="C295" s="332">
        <f>SUM(C287:C294)</f>
        <v>73206.14</v>
      </c>
    </row>
    <row r="297" spans="1:5">
      <c r="C297" s="335" t="s">
        <v>1279</v>
      </c>
    </row>
    <row r="298" spans="1:5">
      <c r="A298" s="127" t="s">
        <v>1360</v>
      </c>
      <c r="C298" s="332">
        <v>690000</v>
      </c>
      <c r="E298" s="127" t="s">
        <v>1280</v>
      </c>
    </row>
    <row r="299" spans="1:5">
      <c r="A299" s="127" t="s">
        <v>1282</v>
      </c>
      <c r="C299" s="336">
        <v>440065</v>
      </c>
      <c r="E299" s="127" t="s">
        <v>1284</v>
      </c>
    </row>
    <row r="300" spans="1:5">
      <c r="A300" s="127" t="s">
        <v>1282</v>
      </c>
      <c r="C300" s="336">
        <v>134402.01999999999</v>
      </c>
      <c r="E300" s="127" t="s">
        <v>1283</v>
      </c>
    </row>
    <row r="301" spans="1:5">
      <c r="A301" s="127" t="s">
        <v>1282</v>
      </c>
      <c r="C301" s="336">
        <v>57637.64</v>
      </c>
      <c r="E301" s="127" t="s">
        <v>1285</v>
      </c>
    </row>
    <row r="302" spans="1:5">
      <c r="A302" s="127" t="s">
        <v>1194</v>
      </c>
      <c r="C302" s="336">
        <v>28510.18</v>
      </c>
      <c r="E302" s="127" t="s">
        <v>1292</v>
      </c>
    </row>
    <row r="303" spans="1:5">
      <c r="A303" s="127" t="s">
        <v>1194</v>
      </c>
      <c r="C303" s="336">
        <v>7645.99</v>
      </c>
      <c r="E303" s="127" t="s">
        <v>1293</v>
      </c>
    </row>
    <row r="304" spans="1:5">
      <c r="A304" s="127" t="s">
        <v>1194</v>
      </c>
      <c r="C304" s="336">
        <v>9355</v>
      </c>
      <c r="E304" s="127" t="s">
        <v>1291</v>
      </c>
    </row>
    <row r="305" spans="1:5">
      <c r="A305" s="127" t="s">
        <v>1194</v>
      </c>
      <c r="C305" s="336">
        <v>5489.31</v>
      </c>
      <c r="E305" s="127" t="s">
        <v>1295</v>
      </c>
    </row>
    <row r="306" spans="1:5">
      <c r="A306" s="127" t="s">
        <v>1194</v>
      </c>
      <c r="C306" s="336">
        <v>7958</v>
      </c>
      <c r="E306" s="127" t="s">
        <v>1290</v>
      </c>
    </row>
    <row r="307" spans="1:5">
      <c r="A307" s="127" t="s">
        <v>1194</v>
      </c>
      <c r="C307" s="336">
        <v>19096.68</v>
      </c>
      <c r="E307" s="127" t="s">
        <v>1294</v>
      </c>
    </row>
    <row r="308" spans="1:5">
      <c r="A308" s="127" t="s">
        <v>883</v>
      </c>
      <c r="C308" s="336">
        <v>3855.35</v>
      </c>
      <c r="E308" s="127" t="s">
        <v>1287</v>
      </c>
    </row>
    <row r="309" spans="1:5">
      <c r="A309" s="127" t="s">
        <v>883</v>
      </c>
      <c r="C309" s="336">
        <v>129088.79</v>
      </c>
      <c r="E309" s="127" t="s">
        <v>1288</v>
      </c>
    </row>
    <row r="310" spans="1:5">
      <c r="C310" s="338"/>
    </row>
    <row r="311" spans="1:5">
      <c r="C311" s="332">
        <f>SUM(C298:C310)</f>
        <v>1533103.96</v>
      </c>
    </row>
    <row r="320" spans="1:5" ht="13.8" thickBot="1">
      <c r="A320" s="465" t="s">
        <v>1327</v>
      </c>
      <c r="C320" s="466">
        <f>C311+C284+C273+C263+C229+C196+C165+C131+C109+C69+C52+C40+C25+C13+C295</f>
        <v>19640169.949999999</v>
      </c>
    </row>
    <row r="321" ht="13.8" thickTop="1"/>
  </sheetData>
  <phoneticPr fontId="50" type="noConversion"/>
  <pageMargins left="0.35" right="0.17" top="0.39" bottom="0.34" header="0.5" footer="0.5"/>
  <pageSetup scale="6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workbookViewId="0">
      <selection activeCell="I30" sqref="I30"/>
    </sheetView>
  </sheetViews>
  <sheetFormatPr defaultRowHeight="13.2"/>
  <cols>
    <col min="1" max="1" width="42.5546875" bestFit="1" customWidth="1"/>
    <col min="2" max="2" width="16.6640625" customWidth="1"/>
    <col min="3" max="3" width="12.109375" style="17" bestFit="1" customWidth="1"/>
    <col min="4" max="4" width="0.88671875" style="17" customWidth="1"/>
    <col min="5" max="5" width="13.88671875" style="17" bestFit="1" customWidth="1"/>
    <col min="6" max="6" width="0.88671875" customWidth="1"/>
    <col min="7" max="7" width="11.33203125" bestFit="1" customWidth="1"/>
    <col min="8" max="8" width="0.88671875" customWidth="1"/>
    <col min="9" max="9" width="11.33203125" bestFit="1" customWidth="1"/>
    <col min="10" max="10" width="0.88671875" customWidth="1"/>
    <col min="11" max="11" width="11.33203125" bestFit="1" customWidth="1"/>
  </cols>
  <sheetData>
    <row r="1" spans="1:11" ht="15.6">
      <c r="A1" s="521" t="s">
        <v>482</v>
      </c>
      <c r="B1" s="521"/>
      <c r="C1" s="521"/>
      <c r="D1" s="521"/>
      <c r="E1" s="521"/>
      <c r="F1" s="521"/>
      <c r="G1" s="521"/>
      <c r="H1" s="521"/>
      <c r="I1" s="521"/>
      <c r="J1" s="521"/>
      <c r="K1" s="521"/>
    </row>
    <row r="2" spans="1:11" ht="15.6">
      <c r="A2" s="521" t="s">
        <v>438</v>
      </c>
      <c r="B2" s="521"/>
      <c r="C2" s="521"/>
      <c r="D2" s="521"/>
      <c r="E2" s="521"/>
      <c r="F2" s="521"/>
      <c r="G2" s="521"/>
      <c r="H2" s="521"/>
      <c r="I2" s="521"/>
      <c r="J2" s="521"/>
      <c r="K2" s="521"/>
    </row>
    <row r="3" spans="1:11" ht="15.6">
      <c r="A3" s="521" t="s">
        <v>521</v>
      </c>
      <c r="B3" s="521"/>
      <c r="C3" s="521"/>
      <c r="D3" s="521"/>
      <c r="E3" s="521"/>
      <c r="F3" s="521"/>
      <c r="G3" s="521"/>
      <c r="H3" s="521"/>
      <c r="I3" s="521"/>
      <c r="J3" s="521"/>
      <c r="K3" s="521"/>
    </row>
    <row r="4" spans="1:11" ht="15.6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</row>
    <row r="5" spans="1:11" ht="15.6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</row>
    <row r="6" spans="1:11" ht="15.6">
      <c r="A6" s="61"/>
    </row>
    <row r="7" spans="1:11">
      <c r="B7" s="63" t="s">
        <v>501</v>
      </c>
      <c r="C7" s="519" t="s">
        <v>517</v>
      </c>
      <c r="D7" s="519"/>
      <c r="E7" s="519"/>
      <c r="G7" s="520" t="s">
        <v>516</v>
      </c>
      <c r="H7" s="520"/>
      <c r="I7" s="520"/>
      <c r="J7" s="520"/>
      <c r="K7" s="520"/>
    </row>
    <row r="8" spans="1:11">
      <c r="B8" s="64" t="s">
        <v>467</v>
      </c>
      <c r="C8" s="69" t="s">
        <v>511</v>
      </c>
      <c r="D8" s="69"/>
      <c r="E8" s="69" t="s">
        <v>306</v>
      </c>
      <c r="G8" s="69" t="s">
        <v>514</v>
      </c>
      <c r="I8" s="69" t="s">
        <v>515</v>
      </c>
      <c r="K8" s="69" t="s">
        <v>306</v>
      </c>
    </row>
    <row r="9" spans="1:11">
      <c r="B9" s="64"/>
      <c r="C9" s="69"/>
      <c r="D9" s="69"/>
      <c r="E9" s="69"/>
      <c r="G9" s="77" t="s">
        <v>518</v>
      </c>
      <c r="I9" s="77" t="s">
        <v>519</v>
      </c>
      <c r="K9" s="69"/>
    </row>
    <row r="10" spans="1:11">
      <c r="A10" s="36" t="s">
        <v>512</v>
      </c>
      <c r="B10" s="4"/>
      <c r="C10" s="70"/>
      <c r="D10" s="70"/>
    </row>
    <row r="11" spans="1:11">
      <c r="A11" s="62" t="s">
        <v>504</v>
      </c>
      <c r="B11" s="65">
        <v>36276</v>
      </c>
      <c r="C11" s="8">
        <v>1280000</v>
      </c>
      <c r="D11" s="74"/>
      <c r="E11" s="8">
        <f>+C11*4</f>
        <v>5120000</v>
      </c>
      <c r="G11" s="75">
        <f>+C11*3</f>
        <v>3840000</v>
      </c>
      <c r="H11" s="75"/>
      <c r="I11" s="75">
        <f>+E11-G11</f>
        <v>1280000</v>
      </c>
      <c r="J11" s="75"/>
      <c r="K11" s="75">
        <f>+I11+G11</f>
        <v>5120000</v>
      </c>
    </row>
    <row r="12" spans="1:11">
      <c r="A12" s="62" t="s">
        <v>513</v>
      </c>
      <c r="B12" s="65"/>
      <c r="C12" s="71">
        <v>116160</v>
      </c>
      <c r="D12" s="71"/>
      <c r="E12" s="17">
        <f>+C12*6</f>
        <v>696960</v>
      </c>
      <c r="G12" s="17">
        <f>+C12*3</f>
        <v>348480</v>
      </c>
      <c r="H12" s="17"/>
      <c r="I12" s="17">
        <f>+E12-G12</f>
        <v>348480</v>
      </c>
      <c r="J12" s="17"/>
      <c r="K12" s="20">
        <f>+I12+G12</f>
        <v>696960</v>
      </c>
    </row>
    <row r="13" spans="1:11">
      <c r="A13" s="66" t="s">
        <v>535</v>
      </c>
      <c r="B13" s="15"/>
      <c r="C13" s="22">
        <v>73333</v>
      </c>
      <c r="D13" s="22"/>
      <c r="E13" s="17">
        <f>+C13*4</f>
        <v>293332</v>
      </c>
      <c r="G13" s="17">
        <f>+C13*3</f>
        <v>219999</v>
      </c>
      <c r="H13" s="17"/>
      <c r="I13" s="17">
        <f>+E13-G13</f>
        <v>73333</v>
      </c>
      <c r="J13" s="17"/>
      <c r="K13" s="20">
        <f>+I13+G13</f>
        <v>293332</v>
      </c>
    </row>
    <row r="14" spans="1:11">
      <c r="A14" s="67" t="s">
        <v>505</v>
      </c>
      <c r="B14" s="15"/>
      <c r="C14" s="22"/>
      <c r="D14" s="22"/>
    </row>
    <row r="15" spans="1:11" ht="13.8" thickBot="1">
      <c r="A15" s="68" t="s">
        <v>510</v>
      </c>
      <c r="B15" s="15"/>
      <c r="C15" s="73">
        <f>SUM(C11:C14)</f>
        <v>1469493</v>
      </c>
      <c r="D15" s="72"/>
      <c r="E15" s="73">
        <f>SUM(E11:E14)</f>
        <v>6110292</v>
      </c>
      <c r="G15" s="73">
        <f>SUM(G11:G14)</f>
        <v>4408479</v>
      </c>
      <c r="I15" s="73">
        <f>SUM(I11:I14)</f>
        <v>1701813</v>
      </c>
      <c r="J15" s="76"/>
      <c r="K15" s="73">
        <f>SUM(K11:K14)</f>
        <v>6110292</v>
      </c>
    </row>
    <row r="16" spans="1:11" ht="13.8" thickTop="1"/>
    <row r="17" spans="1:11">
      <c r="A17" t="s">
        <v>539</v>
      </c>
      <c r="G17" s="45">
        <f>G15*0.9</f>
        <v>3967631.1</v>
      </c>
      <c r="I17" s="45">
        <f>I15*0.9</f>
        <v>1531631.7</v>
      </c>
      <c r="K17" s="20">
        <f>+I17+G17</f>
        <v>5499262.7999999998</v>
      </c>
    </row>
    <row r="18" spans="1:11">
      <c r="I18" s="45"/>
    </row>
    <row r="19" spans="1:11">
      <c r="A19" t="s">
        <v>540</v>
      </c>
      <c r="G19" s="47">
        <f>G15-G17</f>
        <v>440847.89999999991</v>
      </c>
      <c r="I19" s="47">
        <f>I15-I17</f>
        <v>170181.30000000005</v>
      </c>
      <c r="K19" s="118">
        <f>+I19+G19</f>
        <v>611029.19999999995</v>
      </c>
    </row>
  </sheetData>
  <mergeCells count="5">
    <mergeCell ref="C7:E7"/>
    <mergeCell ref="G7:K7"/>
    <mergeCell ref="A1:K1"/>
    <mergeCell ref="A2:K2"/>
    <mergeCell ref="A3:K3"/>
  </mergeCells>
  <phoneticPr fontId="50" type="noConversion"/>
  <pageMargins left="0.75" right="0.75" top="1" bottom="1" header="0.5" footer="0.5"/>
  <pageSetup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202"/>
  <sheetViews>
    <sheetView topLeftCell="E1" workbookViewId="0">
      <pane ySplit="8" topLeftCell="A9" activePane="bottomLeft" state="frozen"/>
      <selection activeCell="E1" sqref="E1"/>
      <selection pane="bottomLeft" activeCell="F10" sqref="F10"/>
    </sheetView>
  </sheetViews>
  <sheetFormatPr defaultColWidth="9.109375" defaultRowHeight="14.1" customHeight="1" outlineLevelRow="4"/>
  <cols>
    <col min="1" max="1" width="9.44140625" style="130" hidden="1" customWidth="1"/>
    <col min="2" max="2" width="10.44140625" style="130" hidden="1" customWidth="1"/>
    <col min="3" max="3" width="137.44140625" style="130" hidden="1" customWidth="1"/>
    <col min="4" max="4" width="10.5546875" style="130" hidden="1" customWidth="1"/>
    <col min="5" max="5" width="10" style="130" customWidth="1"/>
    <col min="6" max="6" width="31.88671875" style="130" customWidth="1"/>
    <col min="7" max="7" width="35.109375" style="130" customWidth="1"/>
    <col min="8" max="8" width="15" style="130" customWidth="1"/>
    <col min="9" max="9" width="26.109375" style="130" customWidth="1"/>
    <col min="10" max="10" width="7.5546875" style="130" customWidth="1"/>
    <col min="11" max="11" width="10.88671875" style="130" customWidth="1"/>
    <col min="12" max="12" width="12.88671875" style="130" customWidth="1"/>
    <col min="13" max="13" width="15.5546875" style="130" customWidth="1"/>
    <col min="14" max="14" width="16.44140625" style="130" hidden="1" customWidth="1"/>
    <col min="15" max="15" width="14.88671875" style="133" customWidth="1"/>
    <col min="16" max="16384" width="9.109375" style="130"/>
  </cols>
  <sheetData>
    <row r="2" spans="1:15" ht="14.1" customHeight="1">
      <c r="F2" s="131" t="s">
        <v>589</v>
      </c>
      <c r="N2" s="132"/>
    </row>
    <row r="3" spans="1:15" ht="14.1" customHeight="1">
      <c r="F3" s="131" t="s">
        <v>590</v>
      </c>
      <c r="N3" s="134"/>
    </row>
    <row r="6" spans="1:15" s="135" customFormat="1" ht="14.1" customHeight="1">
      <c r="E6" s="136" t="s">
        <v>591</v>
      </c>
      <c r="F6" s="136" t="s">
        <v>295</v>
      </c>
      <c r="H6" s="136" t="s">
        <v>468</v>
      </c>
      <c r="J6" s="136" t="s">
        <v>592</v>
      </c>
      <c r="K6" s="136" t="s">
        <v>593</v>
      </c>
      <c r="L6" s="136" t="s">
        <v>594</v>
      </c>
      <c r="N6" s="136"/>
      <c r="O6" s="137"/>
    </row>
    <row r="7" spans="1:15" s="135" customFormat="1" ht="14.1" customHeight="1">
      <c r="A7" s="138" t="s">
        <v>595</v>
      </c>
      <c r="B7" s="138" t="s">
        <v>596</v>
      </c>
      <c r="C7" s="138" t="s">
        <v>597</v>
      </c>
      <c r="D7" s="138" t="s">
        <v>598</v>
      </c>
      <c r="E7" s="139" t="s">
        <v>599</v>
      </c>
      <c r="F7" s="139" t="s">
        <v>600</v>
      </c>
      <c r="G7" s="139" t="s">
        <v>601</v>
      </c>
      <c r="H7" s="139" t="s">
        <v>602</v>
      </c>
      <c r="I7" s="139" t="s">
        <v>549</v>
      </c>
      <c r="J7" s="139" t="s">
        <v>603</v>
      </c>
      <c r="K7" s="139" t="s">
        <v>604</v>
      </c>
      <c r="L7" s="139" t="s">
        <v>467</v>
      </c>
      <c r="M7" s="139" t="s">
        <v>605</v>
      </c>
      <c r="N7" s="136"/>
      <c r="O7" s="137"/>
    </row>
    <row r="8" spans="1:15" ht="6" customHeigh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</row>
    <row r="9" spans="1:15" s="428" customFormat="1" ht="14.1" customHeight="1" outlineLevel="4">
      <c r="E9" s="452" t="s">
        <v>447</v>
      </c>
      <c r="F9" s="452" t="s">
        <v>606</v>
      </c>
      <c r="G9" s="452" t="s">
        <v>607</v>
      </c>
      <c r="H9" s="452" t="s">
        <v>608</v>
      </c>
      <c r="I9" s="452" t="s">
        <v>609</v>
      </c>
      <c r="J9" s="453">
        <v>90000</v>
      </c>
      <c r="K9" s="453" t="s">
        <v>610</v>
      </c>
      <c r="L9" s="454" t="s">
        <v>1607</v>
      </c>
      <c r="M9" s="455">
        <v>29000</v>
      </c>
      <c r="N9" s="456"/>
      <c r="O9" s="393"/>
    </row>
    <row r="10" spans="1:15" s="428" customFormat="1" ht="14.1" customHeight="1" outlineLevel="4">
      <c r="E10" s="456"/>
      <c r="F10" s="456"/>
      <c r="G10" s="456"/>
      <c r="H10" s="456"/>
      <c r="I10" s="456"/>
      <c r="J10" s="456"/>
      <c r="K10" s="456"/>
      <c r="L10" s="456"/>
      <c r="M10" s="455" t="s">
        <v>863</v>
      </c>
      <c r="N10" s="455">
        <v>29000</v>
      </c>
      <c r="O10" s="393"/>
    </row>
    <row r="11" spans="1:15" s="428" customFormat="1" ht="14.1" customHeight="1" outlineLevel="3">
      <c r="E11" s="456"/>
      <c r="F11" s="456"/>
      <c r="G11" s="456"/>
      <c r="H11" s="456"/>
      <c r="I11" s="456"/>
      <c r="J11" s="456"/>
      <c r="K11" s="456"/>
      <c r="L11" s="456"/>
      <c r="M11" s="455" t="s">
        <v>1055</v>
      </c>
      <c r="N11" s="455">
        <v>29000</v>
      </c>
      <c r="O11" s="393"/>
    </row>
    <row r="12" spans="1:15" s="428" customFormat="1" ht="14.1" customHeight="1" outlineLevel="4">
      <c r="E12" s="452" t="s">
        <v>447</v>
      </c>
      <c r="F12" s="452" t="s">
        <v>606</v>
      </c>
      <c r="G12" s="452" t="s">
        <v>611</v>
      </c>
      <c r="H12" s="452" t="s">
        <v>614</v>
      </c>
      <c r="I12" s="452" t="s">
        <v>613</v>
      </c>
      <c r="J12" s="453">
        <v>90000</v>
      </c>
      <c r="K12" s="453" t="s">
        <v>610</v>
      </c>
      <c r="L12" s="454" t="s">
        <v>1608</v>
      </c>
      <c r="M12" s="455">
        <v>8000</v>
      </c>
      <c r="N12" s="456"/>
      <c r="O12" s="393"/>
    </row>
    <row r="13" spans="1:15" s="428" customFormat="1" ht="14.1" customHeight="1" outlineLevel="3">
      <c r="E13" s="452" t="s">
        <v>447</v>
      </c>
      <c r="F13" s="452" t="s">
        <v>606</v>
      </c>
      <c r="G13" s="452" t="s">
        <v>611</v>
      </c>
      <c r="H13" s="452" t="s">
        <v>612</v>
      </c>
      <c r="I13" s="452" t="s">
        <v>613</v>
      </c>
      <c r="J13" s="453">
        <v>90000</v>
      </c>
      <c r="K13" s="453" t="s">
        <v>610</v>
      </c>
      <c r="L13" s="454" t="s">
        <v>1608</v>
      </c>
      <c r="M13" s="455">
        <v>8000</v>
      </c>
      <c r="N13" s="456"/>
      <c r="O13" s="393"/>
    </row>
    <row r="14" spans="1:15" s="428" customFormat="1" ht="14.1" customHeight="1" outlineLevel="2">
      <c r="E14" s="456"/>
      <c r="F14" s="456"/>
      <c r="G14" s="456"/>
      <c r="H14" s="456"/>
      <c r="I14" s="456"/>
      <c r="J14" s="456"/>
      <c r="K14" s="456"/>
      <c r="L14" s="456"/>
      <c r="M14" s="455" t="s">
        <v>863</v>
      </c>
      <c r="N14" s="455">
        <v>16000</v>
      </c>
      <c r="O14" s="393"/>
    </row>
    <row r="15" spans="1:15" s="428" customFormat="1" ht="14.1" customHeight="1" outlineLevel="2">
      <c r="E15" s="452" t="s">
        <v>447</v>
      </c>
      <c r="F15" s="452" t="s">
        <v>606</v>
      </c>
      <c r="G15" s="452" t="s">
        <v>615</v>
      </c>
      <c r="H15" s="452">
        <v>781506</v>
      </c>
      <c r="I15" s="452" t="s">
        <v>616</v>
      </c>
      <c r="J15" s="453">
        <v>99000</v>
      </c>
      <c r="K15" s="453" t="s">
        <v>617</v>
      </c>
      <c r="L15" s="454" t="s">
        <v>1608</v>
      </c>
      <c r="M15" s="455">
        <v>2705</v>
      </c>
      <c r="N15" s="456"/>
      <c r="O15" s="393"/>
    </row>
    <row r="16" spans="1:15" s="428" customFormat="1" ht="14.1" customHeight="1" outlineLevel="4">
      <c r="E16" s="456"/>
      <c r="F16" s="456"/>
      <c r="G16" s="456"/>
      <c r="H16" s="456"/>
      <c r="I16" s="456"/>
      <c r="J16" s="456"/>
      <c r="K16" s="456"/>
      <c r="L16" s="456"/>
      <c r="M16" s="455" t="s">
        <v>863</v>
      </c>
      <c r="N16" s="455">
        <v>2705</v>
      </c>
      <c r="O16" s="393"/>
    </row>
    <row r="17" spans="5:15" s="428" customFormat="1" ht="14.1" customHeight="1" outlineLevel="3">
      <c r="E17" s="456"/>
      <c r="F17" s="456"/>
      <c r="G17" s="456"/>
      <c r="H17" s="456"/>
      <c r="I17" s="456"/>
      <c r="J17" s="456"/>
      <c r="K17" s="456"/>
      <c r="L17" s="456"/>
      <c r="M17" s="455" t="s">
        <v>1055</v>
      </c>
      <c r="N17" s="455">
        <v>18705</v>
      </c>
      <c r="O17" s="393"/>
    </row>
    <row r="18" spans="5:15" s="428" customFormat="1" ht="14.1" customHeight="1" outlineLevel="2">
      <c r="E18" s="452" t="s">
        <v>447</v>
      </c>
      <c r="F18" s="452" t="s">
        <v>606</v>
      </c>
      <c r="G18" s="452" t="s">
        <v>618</v>
      </c>
      <c r="H18" s="452" t="s">
        <v>619</v>
      </c>
      <c r="I18" s="452" t="s">
        <v>620</v>
      </c>
      <c r="J18" s="453">
        <v>99000</v>
      </c>
      <c r="K18" s="453" t="s">
        <v>621</v>
      </c>
      <c r="L18" s="454" t="s">
        <v>1609</v>
      </c>
      <c r="M18" s="455">
        <v>474.67</v>
      </c>
      <c r="N18" s="456"/>
      <c r="O18" s="393"/>
    </row>
    <row r="19" spans="5:15" s="428" customFormat="1" ht="14.1" customHeight="1" outlineLevel="4">
      <c r="E19" s="456"/>
      <c r="F19" s="456"/>
      <c r="G19" s="456"/>
      <c r="H19" s="456"/>
      <c r="I19" s="456"/>
      <c r="J19" s="456"/>
      <c r="K19" s="456"/>
      <c r="L19" s="456"/>
      <c r="M19" s="455" t="s">
        <v>863</v>
      </c>
      <c r="N19" s="455">
        <v>474.67</v>
      </c>
      <c r="O19" s="393"/>
    </row>
    <row r="20" spans="5:15" s="428" customFormat="1" ht="14.1" customHeight="1" outlineLevel="4">
      <c r="E20" s="456"/>
      <c r="F20" s="456"/>
      <c r="G20" s="456"/>
      <c r="H20" s="456"/>
      <c r="I20" s="456"/>
      <c r="J20" s="456"/>
      <c r="K20" s="456"/>
      <c r="L20" s="456"/>
      <c r="M20" s="455" t="s">
        <v>1055</v>
      </c>
      <c r="N20" s="455">
        <v>474.67</v>
      </c>
      <c r="O20" s="393"/>
    </row>
    <row r="21" spans="5:15" s="428" customFormat="1" ht="14.1" customHeight="1" outlineLevel="4">
      <c r="E21" s="452" t="s">
        <v>447</v>
      </c>
      <c r="F21" s="452" t="s">
        <v>606</v>
      </c>
      <c r="G21" s="452" t="s">
        <v>622</v>
      </c>
      <c r="H21" s="452">
        <v>65836</v>
      </c>
      <c r="I21" s="452" t="s">
        <v>616</v>
      </c>
      <c r="J21" s="453">
        <v>99000</v>
      </c>
      <c r="K21" s="453" t="s">
        <v>617</v>
      </c>
      <c r="L21" s="454" t="s">
        <v>1610</v>
      </c>
      <c r="M21" s="455">
        <v>10271.200000000001</v>
      </c>
      <c r="N21" s="456"/>
      <c r="O21" s="393"/>
    </row>
    <row r="22" spans="5:15" s="428" customFormat="1" ht="14.1" customHeight="1" outlineLevel="4">
      <c r="E22" s="452" t="s">
        <v>447</v>
      </c>
      <c r="F22" s="452" t="s">
        <v>606</v>
      </c>
      <c r="G22" s="452" t="s">
        <v>611</v>
      </c>
      <c r="H22" s="452">
        <v>102184343102830</v>
      </c>
      <c r="I22" s="452" t="s">
        <v>624</v>
      </c>
      <c r="J22" s="453">
        <v>99000</v>
      </c>
      <c r="K22" s="453" t="s">
        <v>617</v>
      </c>
      <c r="L22" s="454" t="s">
        <v>1610</v>
      </c>
      <c r="M22" s="455">
        <v>345.13</v>
      </c>
      <c r="N22" s="456"/>
      <c r="O22" s="393"/>
    </row>
    <row r="23" spans="5:15" s="428" customFormat="1" ht="14.1" customHeight="1" outlineLevel="3">
      <c r="E23" s="452" t="s">
        <v>447</v>
      </c>
      <c r="F23" s="452" t="s">
        <v>606</v>
      </c>
      <c r="G23" s="452" t="s">
        <v>611</v>
      </c>
      <c r="H23" s="452">
        <v>102184343102830</v>
      </c>
      <c r="I23" s="452" t="s">
        <v>624</v>
      </c>
      <c r="J23" s="453">
        <v>99000</v>
      </c>
      <c r="K23" s="453" t="s">
        <v>617</v>
      </c>
      <c r="L23" s="454" t="s">
        <v>1610</v>
      </c>
      <c r="M23" s="455">
        <v>14346.82</v>
      </c>
      <c r="N23" s="456"/>
      <c r="O23" s="393"/>
    </row>
    <row r="24" spans="5:15" s="428" customFormat="1" ht="14.1" customHeight="1" outlineLevel="4">
      <c r="E24" s="452" t="s">
        <v>447</v>
      </c>
      <c r="F24" s="452" t="s">
        <v>606</v>
      </c>
      <c r="G24" s="452" t="s">
        <v>611</v>
      </c>
      <c r="H24" s="452">
        <v>102184343102830</v>
      </c>
      <c r="I24" s="452" t="s">
        <v>624</v>
      </c>
      <c r="J24" s="453">
        <v>99000</v>
      </c>
      <c r="K24" s="453" t="s">
        <v>617</v>
      </c>
      <c r="L24" s="454" t="s">
        <v>1610</v>
      </c>
      <c r="M24" s="455">
        <v>3762.91</v>
      </c>
      <c r="N24" s="456"/>
      <c r="O24" s="393"/>
    </row>
    <row r="25" spans="5:15" s="428" customFormat="1" ht="14.1" customHeight="1" outlineLevel="4">
      <c r="E25" s="456"/>
      <c r="F25" s="456"/>
      <c r="G25" s="456"/>
      <c r="H25" s="456"/>
      <c r="I25" s="456"/>
      <c r="J25" s="456"/>
      <c r="K25" s="456"/>
      <c r="L25" s="456"/>
      <c r="M25" s="455" t="s">
        <v>863</v>
      </c>
      <c r="N25" s="455">
        <v>28726.06</v>
      </c>
      <c r="O25" s="393"/>
    </row>
    <row r="26" spans="5:15" s="428" customFormat="1" ht="14.1" customHeight="1" outlineLevel="3">
      <c r="E26" s="452" t="s">
        <v>447</v>
      </c>
      <c r="F26" s="452" t="s">
        <v>606</v>
      </c>
      <c r="G26" s="452" t="s">
        <v>625</v>
      </c>
      <c r="H26" s="452" t="s">
        <v>626</v>
      </c>
      <c r="I26" s="452" t="s">
        <v>627</v>
      </c>
      <c r="J26" s="453">
        <v>99000</v>
      </c>
      <c r="K26" s="453" t="s">
        <v>621</v>
      </c>
      <c r="L26" s="454" t="s">
        <v>1610</v>
      </c>
      <c r="M26" s="455">
        <v>825.25</v>
      </c>
      <c r="N26" s="456"/>
      <c r="O26" s="393"/>
    </row>
    <row r="27" spans="5:15" s="428" customFormat="1" ht="14.1" customHeight="1" outlineLevel="2">
      <c r="E27" s="452" t="s">
        <v>447</v>
      </c>
      <c r="F27" s="452" t="s">
        <v>606</v>
      </c>
      <c r="G27" s="452" t="s">
        <v>628</v>
      </c>
      <c r="H27" s="452" t="s">
        <v>629</v>
      </c>
      <c r="I27" s="452" t="s">
        <v>630</v>
      </c>
      <c r="J27" s="453">
        <v>99000</v>
      </c>
      <c r="K27" s="453" t="s">
        <v>621</v>
      </c>
      <c r="L27" s="454" t="s">
        <v>1610</v>
      </c>
      <c r="M27" s="455">
        <v>505.33</v>
      </c>
      <c r="N27" s="456"/>
      <c r="O27" s="393"/>
    </row>
    <row r="28" spans="5:15" s="428" customFormat="1" ht="14.1" customHeight="1" outlineLevel="2">
      <c r="E28" s="456"/>
      <c r="F28" s="456"/>
      <c r="G28" s="456"/>
      <c r="H28" s="456"/>
      <c r="I28" s="456"/>
      <c r="J28" s="456"/>
      <c r="K28" s="456"/>
      <c r="L28" s="456"/>
      <c r="M28" s="455" t="s">
        <v>863</v>
      </c>
      <c r="N28" s="455">
        <v>1330.58</v>
      </c>
      <c r="O28" s="393"/>
    </row>
    <row r="29" spans="5:15" s="428" customFormat="1" ht="14.1" customHeight="1" outlineLevel="4">
      <c r="E29" s="456"/>
      <c r="F29" s="456"/>
      <c r="G29" s="456"/>
      <c r="H29" s="456"/>
      <c r="I29" s="456"/>
      <c r="J29" s="456"/>
      <c r="K29" s="456"/>
      <c r="L29" s="456"/>
      <c r="M29" s="455" t="s">
        <v>1055</v>
      </c>
      <c r="N29" s="455">
        <v>30056.639999999999</v>
      </c>
      <c r="O29" s="393"/>
    </row>
    <row r="30" spans="5:15" s="428" customFormat="1" ht="14.1" customHeight="1" outlineLevel="3">
      <c r="E30" s="452" t="s">
        <v>447</v>
      </c>
      <c r="F30" s="452" t="s">
        <v>606</v>
      </c>
      <c r="G30" s="452" t="s">
        <v>631</v>
      </c>
      <c r="H30" s="452">
        <v>99123</v>
      </c>
      <c r="I30" s="452" t="s">
        <v>632</v>
      </c>
      <c r="J30" s="453">
        <v>90000</v>
      </c>
      <c r="K30" s="453" t="s">
        <v>633</v>
      </c>
      <c r="L30" s="454" t="s">
        <v>1611</v>
      </c>
      <c r="M30" s="455">
        <v>1200000</v>
      </c>
      <c r="N30" s="456"/>
      <c r="O30" s="393"/>
    </row>
    <row r="31" spans="5:15" s="428" customFormat="1" ht="14.1" customHeight="1" outlineLevel="2">
      <c r="E31" s="456"/>
      <c r="F31" s="456"/>
      <c r="G31" s="456"/>
      <c r="H31" s="456"/>
      <c r="I31" s="456"/>
      <c r="J31" s="456"/>
      <c r="K31" s="456"/>
      <c r="L31" s="456"/>
      <c r="M31" s="455" t="s">
        <v>863</v>
      </c>
      <c r="N31" s="455">
        <v>1200000</v>
      </c>
      <c r="O31" s="393"/>
    </row>
    <row r="32" spans="5:15" s="428" customFormat="1" ht="14.1" customHeight="1" outlineLevel="2">
      <c r="E32" s="456"/>
      <c r="F32" s="456"/>
      <c r="G32" s="456"/>
      <c r="H32" s="456"/>
      <c r="I32" s="456"/>
      <c r="J32" s="456"/>
      <c r="K32" s="456"/>
      <c r="L32" s="456"/>
      <c r="M32" s="455" t="s">
        <v>1055</v>
      </c>
      <c r="N32" s="455">
        <v>1200000</v>
      </c>
      <c r="O32" s="393"/>
    </row>
    <row r="33" spans="5:15" s="428" customFormat="1" ht="14.1" customHeight="1" outlineLevel="4">
      <c r="E33" s="452" t="s">
        <v>447</v>
      </c>
      <c r="F33" s="452" t="s">
        <v>606</v>
      </c>
      <c r="G33" s="452" t="s">
        <v>634</v>
      </c>
      <c r="H33" s="452" t="s">
        <v>635</v>
      </c>
      <c r="I33" s="452" t="s">
        <v>636</v>
      </c>
      <c r="J33" s="453">
        <v>99000</v>
      </c>
      <c r="K33" s="453" t="s">
        <v>637</v>
      </c>
      <c r="L33" s="454" t="s">
        <v>1612</v>
      </c>
      <c r="M33" s="455">
        <v>-80567.19</v>
      </c>
      <c r="N33" s="456"/>
      <c r="O33" s="393"/>
    </row>
    <row r="34" spans="5:15" s="428" customFormat="1" ht="14.1" customHeight="1" outlineLevel="3">
      <c r="E34" s="456"/>
      <c r="F34" s="456"/>
      <c r="G34" s="456"/>
      <c r="H34" s="456"/>
      <c r="I34" s="456"/>
      <c r="J34" s="456"/>
      <c r="K34" s="456"/>
      <c r="L34" s="456"/>
      <c r="M34" s="455" t="s">
        <v>863</v>
      </c>
      <c r="N34" s="455">
        <v>-80567.19</v>
      </c>
      <c r="O34" s="393"/>
    </row>
    <row r="35" spans="5:15" s="428" customFormat="1" ht="14.1" customHeight="1" outlineLevel="4">
      <c r="E35" s="452" t="s">
        <v>447</v>
      </c>
      <c r="F35" s="452" t="s">
        <v>606</v>
      </c>
      <c r="G35" s="452" t="s">
        <v>634</v>
      </c>
      <c r="H35" s="452" t="s">
        <v>638</v>
      </c>
      <c r="I35" s="452" t="s">
        <v>639</v>
      </c>
      <c r="J35" s="453">
        <v>90000</v>
      </c>
      <c r="K35" s="453" t="s">
        <v>640</v>
      </c>
      <c r="L35" s="454" t="s">
        <v>1612</v>
      </c>
      <c r="M35" s="455">
        <v>689035.06</v>
      </c>
      <c r="N35" s="456"/>
      <c r="O35" s="393"/>
    </row>
    <row r="36" spans="5:15" s="428" customFormat="1" ht="14.1" customHeight="1" outlineLevel="4">
      <c r="E36" s="452" t="s">
        <v>447</v>
      </c>
      <c r="F36" s="452" t="s">
        <v>606</v>
      </c>
      <c r="G36" s="452" t="s">
        <v>634</v>
      </c>
      <c r="H36" s="452" t="s">
        <v>638</v>
      </c>
      <c r="I36" s="452" t="s">
        <v>641</v>
      </c>
      <c r="J36" s="453">
        <v>90000</v>
      </c>
      <c r="K36" s="453" t="s">
        <v>640</v>
      </c>
      <c r="L36" s="454" t="s">
        <v>1612</v>
      </c>
      <c r="M36" s="455">
        <v>1378070.12</v>
      </c>
      <c r="N36" s="456"/>
      <c r="O36" s="393"/>
    </row>
    <row r="37" spans="5:15" s="428" customFormat="1" ht="14.1" customHeight="1" outlineLevel="3">
      <c r="E37" s="456"/>
      <c r="F37" s="456"/>
      <c r="G37" s="456"/>
      <c r="H37" s="456"/>
      <c r="I37" s="456"/>
      <c r="J37" s="456"/>
      <c r="K37" s="456"/>
      <c r="L37" s="456"/>
      <c r="M37" s="455" t="s">
        <v>863</v>
      </c>
      <c r="N37" s="455">
        <v>2067105.18</v>
      </c>
      <c r="O37" s="393"/>
    </row>
    <row r="38" spans="5:15" s="428" customFormat="1" ht="14.1" customHeight="1" outlineLevel="4">
      <c r="E38" s="452" t="s">
        <v>447</v>
      </c>
      <c r="F38" s="452" t="s">
        <v>606</v>
      </c>
      <c r="G38" s="452" t="s">
        <v>634</v>
      </c>
      <c r="H38" s="452" t="s">
        <v>638</v>
      </c>
      <c r="I38" s="452" t="s">
        <v>645</v>
      </c>
      <c r="J38" s="453">
        <v>99000</v>
      </c>
      <c r="K38" s="453" t="s">
        <v>644</v>
      </c>
      <c r="L38" s="454" t="s">
        <v>1612</v>
      </c>
      <c r="M38" s="455">
        <v>9574.7099999999991</v>
      </c>
      <c r="N38" s="456"/>
      <c r="O38" s="393"/>
    </row>
    <row r="39" spans="5:15" s="428" customFormat="1" ht="14.1" customHeight="1" outlineLevel="4">
      <c r="E39" s="452" t="s">
        <v>447</v>
      </c>
      <c r="F39" s="452" t="s">
        <v>606</v>
      </c>
      <c r="G39" s="452" t="s">
        <v>634</v>
      </c>
      <c r="H39" s="452" t="s">
        <v>642</v>
      </c>
      <c r="I39" s="452" t="s">
        <v>646</v>
      </c>
      <c r="J39" s="453">
        <v>99000</v>
      </c>
      <c r="K39" s="453" t="s">
        <v>644</v>
      </c>
      <c r="L39" s="454" t="s">
        <v>1612</v>
      </c>
      <c r="M39" s="455">
        <v>176250</v>
      </c>
      <c r="N39" s="456"/>
      <c r="O39" s="393"/>
    </row>
    <row r="40" spans="5:15" s="428" customFormat="1" ht="14.1" customHeight="1" outlineLevel="4">
      <c r="E40" s="452" t="s">
        <v>447</v>
      </c>
      <c r="F40" s="452" t="s">
        <v>606</v>
      </c>
      <c r="G40" s="452" t="s">
        <v>634</v>
      </c>
      <c r="H40" s="452" t="s">
        <v>647</v>
      </c>
      <c r="I40" s="452" t="s">
        <v>648</v>
      </c>
      <c r="J40" s="453">
        <v>99000</v>
      </c>
      <c r="K40" s="453" t="s">
        <v>644</v>
      </c>
      <c r="L40" s="454" t="s">
        <v>1612</v>
      </c>
      <c r="M40" s="455">
        <v>159611</v>
      </c>
      <c r="N40" s="456"/>
      <c r="O40" s="393"/>
    </row>
    <row r="41" spans="5:15" s="428" customFormat="1" ht="14.1" customHeight="1" outlineLevel="4">
      <c r="E41" s="452" t="s">
        <v>447</v>
      </c>
      <c r="F41" s="452" t="s">
        <v>606</v>
      </c>
      <c r="G41" s="452" t="s">
        <v>634</v>
      </c>
      <c r="H41" s="452" t="s">
        <v>642</v>
      </c>
      <c r="I41" s="452" t="s">
        <v>643</v>
      </c>
      <c r="J41" s="453">
        <v>99000</v>
      </c>
      <c r="K41" s="453" t="s">
        <v>644</v>
      </c>
      <c r="L41" s="454" t="s">
        <v>1612</v>
      </c>
      <c r="M41" s="455">
        <v>132188</v>
      </c>
      <c r="N41" s="456"/>
      <c r="O41" s="393"/>
    </row>
    <row r="42" spans="5:15" s="428" customFormat="1" ht="14.1" customHeight="1" outlineLevel="3">
      <c r="E42" s="456"/>
      <c r="F42" s="456"/>
      <c r="G42" s="456"/>
      <c r="H42" s="456"/>
      <c r="I42" s="456"/>
      <c r="J42" s="456"/>
      <c r="K42" s="456"/>
      <c r="L42" s="456"/>
      <c r="M42" s="455" t="s">
        <v>863</v>
      </c>
      <c r="N42" s="455">
        <v>477623.71</v>
      </c>
      <c r="O42" s="393"/>
    </row>
    <row r="43" spans="5:15" s="428" customFormat="1" ht="14.1" customHeight="1" outlineLevel="4">
      <c r="E43" s="452" t="s">
        <v>447</v>
      </c>
      <c r="F43" s="452" t="s">
        <v>606</v>
      </c>
      <c r="G43" s="452" t="s">
        <v>634</v>
      </c>
      <c r="H43" s="452" t="s">
        <v>649</v>
      </c>
      <c r="I43" s="452" t="s">
        <v>650</v>
      </c>
      <c r="J43" s="453">
        <v>99000</v>
      </c>
      <c r="K43" s="453" t="s">
        <v>617</v>
      </c>
      <c r="L43" s="454" t="s">
        <v>1612</v>
      </c>
      <c r="M43" s="455">
        <v>-933.86</v>
      </c>
      <c r="N43" s="456"/>
      <c r="O43" s="393"/>
    </row>
    <row r="44" spans="5:15" s="428" customFormat="1" ht="14.1" customHeight="1" outlineLevel="4">
      <c r="E44" s="452" t="s">
        <v>447</v>
      </c>
      <c r="F44" s="452" t="s">
        <v>606</v>
      </c>
      <c r="G44" s="452" t="s">
        <v>615</v>
      </c>
      <c r="H44" s="452">
        <v>799836</v>
      </c>
      <c r="I44" s="452" t="s">
        <v>616</v>
      </c>
      <c r="J44" s="453">
        <v>99000</v>
      </c>
      <c r="K44" s="453" t="s">
        <v>617</v>
      </c>
      <c r="L44" s="454" t="s">
        <v>1612</v>
      </c>
      <c r="M44" s="455">
        <v>933.86</v>
      </c>
      <c r="N44" s="456"/>
      <c r="O44" s="393"/>
    </row>
    <row r="45" spans="5:15" s="428" customFormat="1" ht="14.1" customHeight="1" outlineLevel="3">
      <c r="E45" s="456"/>
      <c r="F45" s="456"/>
      <c r="G45" s="456"/>
      <c r="H45" s="456"/>
      <c r="I45" s="456"/>
      <c r="J45" s="456"/>
      <c r="K45" s="456"/>
      <c r="L45" s="456"/>
      <c r="M45" s="455" t="s">
        <v>863</v>
      </c>
      <c r="N45" s="455">
        <v>0</v>
      </c>
      <c r="O45" s="393"/>
    </row>
    <row r="46" spans="5:15" s="428" customFormat="1" ht="14.1" customHeight="1" outlineLevel="4">
      <c r="E46" s="452" t="s">
        <v>447</v>
      </c>
      <c r="F46" s="452" t="s">
        <v>606</v>
      </c>
      <c r="G46" s="452" t="s">
        <v>651</v>
      </c>
      <c r="H46" s="452" t="s">
        <v>652</v>
      </c>
      <c r="I46" s="452" t="s">
        <v>653</v>
      </c>
      <c r="J46" s="453">
        <v>90000</v>
      </c>
      <c r="K46" s="453" t="s">
        <v>654</v>
      </c>
      <c r="L46" s="454" t="s">
        <v>1612</v>
      </c>
      <c r="M46" s="455">
        <v>3055146.4</v>
      </c>
      <c r="N46" s="456"/>
      <c r="O46" s="393"/>
    </row>
    <row r="47" spans="5:15" s="428" customFormat="1" ht="14.1" customHeight="1" outlineLevel="3">
      <c r="E47" s="456"/>
      <c r="F47" s="456"/>
      <c r="G47" s="456"/>
      <c r="H47" s="456"/>
      <c r="I47" s="456"/>
      <c r="J47" s="456"/>
      <c r="K47" s="456"/>
      <c r="L47" s="456"/>
      <c r="M47" s="455" t="s">
        <v>863</v>
      </c>
      <c r="N47" s="455">
        <v>3055146.4</v>
      </c>
      <c r="O47" s="393"/>
    </row>
    <row r="48" spans="5:15" s="428" customFormat="1" ht="14.1" customHeight="1" outlineLevel="4">
      <c r="E48" s="452" t="s">
        <v>447</v>
      </c>
      <c r="F48" s="452" t="s">
        <v>606</v>
      </c>
      <c r="G48" s="452" t="s">
        <v>634</v>
      </c>
      <c r="H48" s="452" t="s">
        <v>638</v>
      </c>
      <c r="I48" s="452" t="s">
        <v>655</v>
      </c>
      <c r="J48" s="453">
        <v>90000</v>
      </c>
      <c r="K48" s="453" t="s">
        <v>703</v>
      </c>
      <c r="L48" s="454" t="s">
        <v>1612</v>
      </c>
      <c r="M48" s="455">
        <v>332267.09999999998</v>
      </c>
      <c r="N48" s="456"/>
      <c r="O48" s="393"/>
    </row>
    <row r="49" spans="5:15" s="428" customFormat="1" ht="14.1" customHeight="1" outlineLevel="4">
      <c r="E49" s="452" t="s">
        <v>447</v>
      </c>
      <c r="F49" s="452" t="s">
        <v>606</v>
      </c>
      <c r="G49" s="452" t="s">
        <v>634</v>
      </c>
      <c r="H49" s="452" t="s">
        <v>638</v>
      </c>
      <c r="I49" s="452" t="s">
        <v>655</v>
      </c>
      <c r="J49" s="453">
        <v>90000</v>
      </c>
      <c r="K49" s="453" t="s">
        <v>703</v>
      </c>
      <c r="L49" s="454" t="s">
        <v>1612</v>
      </c>
      <c r="M49" s="455">
        <v>664534.19999999995</v>
      </c>
      <c r="N49" s="456"/>
      <c r="O49" s="393"/>
    </row>
    <row r="50" spans="5:15" s="428" customFormat="1" ht="14.1" customHeight="1" outlineLevel="4">
      <c r="E50" s="452" t="s">
        <v>447</v>
      </c>
      <c r="F50" s="452" t="s">
        <v>606</v>
      </c>
      <c r="G50" s="452" t="s">
        <v>634</v>
      </c>
      <c r="H50" s="452" t="s">
        <v>642</v>
      </c>
      <c r="I50" s="452" t="s">
        <v>656</v>
      </c>
      <c r="J50" s="453">
        <v>10101</v>
      </c>
      <c r="K50" s="453" t="s">
        <v>703</v>
      </c>
      <c r="L50" s="454" t="s">
        <v>1612</v>
      </c>
      <c r="M50" s="455">
        <v>21150000</v>
      </c>
      <c r="N50" s="456"/>
      <c r="O50" s="393"/>
    </row>
    <row r="51" spans="5:15" s="428" customFormat="1" ht="14.1" customHeight="1" outlineLevel="3">
      <c r="E51" s="456"/>
      <c r="F51" s="456"/>
      <c r="G51" s="456"/>
      <c r="H51" s="456"/>
      <c r="I51" s="456"/>
      <c r="J51" s="456"/>
      <c r="K51" s="456"/>
      <c r="L51" s="456"/>
      <c r="M51" s="455" t="s">
        <v>863</v>
      </c>
      <c r="N51" s="455">
        <v>22146801.300000001</v>
      </c>
      <c r="O51" s="393"/>
    </row>
    <row r="52" spans="5:15" s="428" customFormat="1" ht="14.1" customHeight="1" outlineLevel="4">
      <c r="E52" s="452" t="s">
        <v>447</v>
      </c>
      <c r="F52" s="452" t="s">
        <v>606</v>
      </c>
      <c r="G52" s="452" t="s">
        <v>628</v>
      </c>
      <c r="H52" s="452" t="s">
        <v>657</v>
      </c>
      <c r="I52" s="452" t="s">
        <v>659</v>
      </c>
      <c r="J52" s="453">
        <v>99000</v>
      </c>
      <c r="K52" s="453" t="s">
        <v>621</v>
      </c>
      <c r="L52" s="454" t="s">
        <v>1612</v>
      </c>
      <c r="M52" s="455">
        <v>605.32000000000005</v>
      </c>
      <c r="N52" s="456"/>
      <c r="O52" s="393"/>
    </row>
    <row r="53" spans="5:15" s="428" customFormat="1" ht="14.1" customHeight="1" outlineLevel="4">
      <c r="E53" s="452" t="s">
        <v>447</v>
      </c>
      <c r="F53" s="452" t="s">
        <v>606</v>
      </c>
      <c r="G53" s="452" t="s">
        <v>628</v>
      </c>
      <c r="H53" s="452" t="s">
        <v>657</v>
      </c>
      <c r="I53" s="452" t="s">
        <v>659</v>
      </c>
      <c r="J53" s="453">
        <v>99000</v>
      </c>
      <c r="K53" s="453" t="s">
        <v>621</v>
      </c>
      <c r="L53" s="454" t="s">
        <v>1612</v>
      </c>
      <c r="M53" s="455">
        <v>461.4</v>
      </c>
      <c r="N53" s="456"/>
      <c r="O53" s="393"/>
    </row>
    <row r="54" spans="5:15" s="428" customFormat="1" ht="14.1" customHeight="1" outlineLevel="4">
      <c r="E54" s="452" t="s">
        <v>447</v>
      </c>
      <c r="F54" s="452" t="s">
        <v>606</v>
      </c>
      <c r="G54" s="452" t="s">
        <v>628</v>
      </c>
      <c r="H54" s="452" t="s">
        <v>657</v>
      </c>
      <c r="I54" s="452" t="s">
        <v>658</v>
      </c>
      <c r="J54" s="453">
        <v>99000</v>
      </c>
      <c r="K54" s="453" t="s">
        <v>621</v>
      </c>
      <c r="L54" s="454" t="s">
        <v>1612</v>
      </c>
      <c r="M54" s="455">
        <v>330.3</v>
      </c>
      <c r="N54" s="456"/>
      <c r="O54" s="393"/>
    </row>
    <row r="55" spans="5:15" s="428" customFormat="1" ht="14.1" customHeight="1" outlineLevel="4">
      <c r="E55" s="456"/>
      <c r="F55" s="456"/>
      <c r="G55" s="456"/>
      <c r="H55" s="456"/>
      <c r="I55" s="456"/>
      <c r="J55" s="456"/>
      <c r="K55" s="456"/>
      <c r="L55" s="456"/>
      <c r="M55" s="456"/>
      <c r="N55" s="456"/>
      <c r="O55" s="393"/>
    </row>
    <row r="56" spans="5:15" s="428" customFormat="1" ht="14.1" customHeight="1" outlineLevel="3">
      <c r="E56" s="452" t="s">
        <v>447</v>
      </c>
      <c r="F56" s="452" t="s">
        <v>606</v>
      </c>
      <c r="G56" s="452" t="s">
        <v>634</v>
      </c>
      <c r="H56" s="452" t="s">
        <v>649</v>
      </c>
      <c r="I56" s="452" t="s">
        <v>660</v>
      </c>
      <c r="J56" s="453">
        <v>99000</v>
      </c>
      <c r="K56" s="453" t="s">
        <v>621</v>
      </c>
      <c r="L56" s="454" t="s">
        <v>1612</v>
      </c>
      <c r="M56" s="455">
        <v>-1397.02</v>
      </c>
      <c r="N56" s="456"/>
      <c r="O56" s="393"/>
    </row>
    <row r="57" spans="5:15" s="428" customFormat="1" ht="14.1" customHeight="1" outlineLevel="2">
      <c r="E57" s="456"/>
      <c r="F57" s="456"/>
      <c r="G57" s="456"/>
      <c r="H57" s="456"/>
      <c r="I57" s="456"/>
      <c r="J57" s="456"/>
      <c r="K57" s="456"/>
      <c r="L57" s="456"/>
      <c r="M57" s="455" t="s">
        <v>863</v>
      </c>
      <c r="N57" s="455">
        <v>0</v>
      </c>
      <c r="O57" s="393"/>
    </row>
    <row r="58" spans="5:15" s="428" customFormat="1" ht="14.1" customHeight="1" outlineLevel="2">
      <c r="E58" s="456"/>
      <c r="F58" s="456"/>
      <c r="G58" s="456"/>
      <c r="H58" s="456"/>
      <c r="I58" s="456"/>
      <c r="J58" s="456"/>
      <c r="K58" s="456"/>
      <c r="L58" s="456"/>
      <c r="M58" s="455" t="s">
        <v>1055</v>
      </c>
      <c r="N58" s="455">
        <v>27666109.399999999</v>
      </c>
      <c r="O58" s="393"/>
    </row>
    <row r="59" spans="5:15" s="428" customFormat="1" ht="14.1" customHeight="1" outlineLevel="4">
      <c r="E59" s="452" t="s">
        <v>447</v>
      </c>
      <c r="F59" s="452" t="s">
        <v>606</v>
      </c>
      <c r="G59" s="452" t="s">
        <v>634</v>
      </c>
      <c r="H59" s="452" t="s">
        <v>661</v>
      </c>
      <c r="I59" s="452" t="s">
        <v>662</v>
      </c>
      <c r="J59" s="453">
        <v>99000</v>
      </c>
      <c r="K59" s="453" t="s">
        <v>644</v>
      </c>
      <c r="L59" s="454" t="s">
        <v>1613</v>
      </c>
      <c r="M59" s="455">
        <v>179551</v>
      </c>
      <c r="N59" s="456"/>
      <c r="O59" s="393"/>
    </row>
    <row r="60" spans="5:15" s="428" customFormat="1" ht="14.1" customHeight="1" outlineLevel="4">
      <c r="E60" s="452" t="s">
        <v>447</v>
      </c>
      <c r="F60" s="452" t="s">
        <v>606</v>
      </c>
      <c r="G60" s="452" t="s">
        <v>634</v>
      </c>
      <c r="H60" s="452" t="s">
        <v>663</v>
      </c>
      <c r="I60" s="452" t="s">
        <v>664</v>
      </c>
      <c r="J60" s="453">
        <v>99000</v>
      </c>
      <c r="K60" s="453" t="s">
        <v>644</v>
      </c>
      <c r="L60" s="454" t="s">
        <v>1613</v>
      </c>
      <c r="M60" s="455">
        <v>-6178.4</v>
      </c>
      <c r="N60" s="456"/>
      <c r="O60" s="393"/>
    </row>
    <row r="61" spans="5:15" s="428" customFormat="1" ht="14.1" customHeight="1" outlineLevel="4">
      <c r="E61" s="452" t="s">
        <v>447</v>
      </c>
      <c r="F61" s="452" t="s">
        <v>606</v>
      </c>
      <c r="G61" s="452" t="s">
        <v>634</v>
      </c>
      <c r="H61" s="452" t="s">
        <v>661</v>
      </c>
      <c r="I61" s="452" t="s">
        <v>665</v>
      </c>
      <c r="J61" s="453">
        <v>99000</v>
      </c>
      <c r="K61" s="453" t="s">
        <v>644</v>
      </c>
      <c r="L61" s="454" t="s">
        <v>1613</v>
      </c>
      <c r="M61" s="455">
        <v>11249.29</v>
      </c>
      <c r="N61" s="456"/>
      <c r="O61" s="393"/>
    </row>
    <row r="62" spans="5:15" s="428" customFormat="1" ht="14.1" customHeight="1" outlineLevel="3">
      <c r="E62" s="456"/>
      <c r="F62" s="456"/>
      <c r="G62" s="456"/>
      <c r="H62" s="456"/>
      <c r="I62" s="456"/>
      <c r="J62" s="456"/>
      <c r="K62" s="456"/>
      <c r="L62" s="456"/>
      <c r="M62" s="455" t="s">
        <v>863</v>
      </c>
      <c r="N62" s="455">
        <v>184621.89</v>
      </c>
      <c r="O62" s="393"/>
    </row>
    <row r="63" spans="5:15" s="428" customFormat="1" ht="14.1" customHeight="1" outlineLevel="4">
      <c r="E63" s="452" t="s">
        <v>447</v>
      </c>
      <c r="F63" s="452" t="s">
        <v>606</v>
      </c>
      <c r="G63" s="452" t="s">
        <v>634</v>
      </c>
      <c r="H63" s="452" t="s">
        <v>666</v>
      </c>
      <c r="I63" s="452" t="s">
        <v>667</v>
      </c>
      <c r="J63" s="453">
        <v>99000</v>
      </c>
      <c r="K63" s="453" t="s">
        <v>617</v>
      </c>
      <c r="L63" s="454" t="s">
        <v>1613</v>
      </c>
      <c r="M63" s="455">
        <v>933.86</v>
      </c>
      <c r="N63" s="456"/>
      <c r="O63" s="393"/>
    </row>
    <row r="64" spans="5:15" s="428" customFormat="1" ht="14.1" customHeight="1" outlineLevel="3">
      <c r="E64" s="456"/>
      <c r="F64" s="456"/>
      <c r="G64" s="456"/>
      <c r="H64" s="456"/>
      <c r="I64" s="456"/>
      <c r="J64" s="456"/>
      <c r="K64" s="456"/>
      <c r="L64" s="456"/>
      <c r="M64" s="455" t="s">
        <v>863</v>
      </c>
      <c r="N64" s="455">
        <v>933.86</v>
      </c>
      <c r="O64" s="393"/>
    </row>
    <row r="65" spans="5:15" s="428" customFormat="1" ht="14.1" customHeight="1" outlineLevel="4">
      <c r="E65" s="452" t="s">
        <v>447</v>
      </c>
      <c r="F65" s="452" t="s">
        <v>606</v>
      </c>
      <c r="G65" s="452" t="s">
        <v>634</v>
      </c>
      <c r="H65" s="452" t="s">
        <v>663</v>
      </c>
      <c r="I65" s="452" t="s">
        <v>664</v>
      </c>
      <c r="J65" s="453">
        <v>90000</v>
      </c>
      <c r="K65" s="453" t="s">
        <v>703</v>
      </c>
      <c r="L65" s="454" t="s">
        <v>1613</v>
      </c>
      <c r="M65" s="455">
        <v>-1200000</v>
      </c>
      <c r="N65" s="456"/>
      <c r="O65" s="393"/>
    </row>
    <row r="66" spans="5:15" s="428" customFormat="1" ht="14.1" customHeight="1" outlineLevel="4">
      <c r="E66" s="452" t="s">
        <v>447</v>
      </c>
      <c r="F66" s="452" t="s">
        <v>606</v>
      </c>
      <c r="G66" s="452" t="s">
        <v>668</v>
      </c>
      <c r="H66" s="452" t="s">
        <v>669</v>
      </c>
      <c r="I66" s="452" t="s">
        <v>670</v>
      </c>
      <c r="J66" s="453">
        <v>90000</v>
      </c>
      <c r="K66" s="453" t="s">
        <v>703</v>
      </c>
      <c r="L66" s="454" t="s">
        <v>1613</v>
      </c>
      <c r="M66" s="455">
        <v>2850000</v>
      </c>
      <c r="N66" s="456"/>
      <c r="O66" s="393"/>
    </row>
    <row r="67" spans="5:15" s="428" customFormat="1" ht="14.1" customHeight="1" outlineLevel="3">
      <c r="E67" s="456"/>
      <c r="F67" s="456"/>
      <c r="G67" s="456"/>
      <c r="H67" s="456"/>
      <c r="I67" s="456"/>
      <c r="J67" s="456"/>
      <c r="K67" s="456"/>
      <c r="L67" s="456"/>
      <c r="M67" s="455" t="s">
        <v>863</v>
      </c>
      <c r="N67" s="455">
        <v>1650000</v>
      </c>
      <c r="O67" s="393"/>
    </row>
    <row r="68" spans="5:15" s="428" customFormat="1" ht="14.1" customHeight="1" outlineLevel="4">
      <c r="E68" s="452" t="s">
        <v>447</v>
      </c>
      <c r="F68" s="452" t="s">
        <v>606</v>
      </c>
      <c r="G68" s="452" t="s">
        <v>634</v>
      </c>
      <c r="H68" s="452" t="s">
        <v>666</v>
      </c>
      <c r="I68" s="452" t="s">
        <v>671</v>
      </c>
      <c r="J68" s="453">
        <v>99000</v>
      </c>
      <c r="K68" s="453" t="s">
        <v>621</v>
      </c>
      <c r="L68" s="454" t="s">
        <v>1613</v>
      </c>
      <c r="M68" s="455">
        <v>1397.02</v>
      </c>
      <c r="N68" s="456"/>
      <c r="O68" s="393"/>
    </row>
    <row r="69" spans="5:15" s="428" customFormat="1" ht="14.1" customHeight="1" outlineLevel="3">
      <c r="E69" s="456"/>
      <c r="F69" s="456"/>
      <c r="G69" s="456"/>
      <c r="H69" s="456"/>
      <c r="I69" s="456"/>
      <c r="J69" s="456"/>
      <c r="K69" s="456"/>
      <c r="L69" s="456"/>
      <c r="M69" s="455" t="s">
        <v>863</v>
      </c>
      <c r="N69" s="455">
        <v>1397.02</v>
      </c>
      <c r="O69" s="393"/>
    </row>
    <row r="70" spans="5:15" s="428" customFormat="1" ht="14.1" customHeight="1" outlineLevel="2">
      <c r="E70" s="456"/>
      <c r="F70" s="456"/>
      <c r="G70" s="456"/>
      <c r="H70" s="456"/>
      <c r="I70" s="456"/>
      <c r="J70" s="456"/>
      <c r="K70" s="456"/>
      <c r="L70" s="456"/>
      <c r="M70" s="455" t="s">
        <v>1055</v>
      </c>
      <c r="N70" s="455">
        <v>1836952.77</v>
      </c>
      <c r="O70" s="393"/>
    </row>
    <row r="71" spans="5:15" s="428" customFormat="1" ht="14.1" customHeight="1" outlineLevel="2">
      <c r="E71" s="452" t="s">
        <v>447</v>
      </c>
      <c r="F71" s="452" t="s">
        <v>606</v>
      </c>
      <c r="G71" s="452" t="s">
        <v>672</v>
      </c>
      <c r="H71" s="452" t="s">
        <v>673</v>
      </c>
      <c r="I71" s="452" t="s">
        <v>674</v>
      </c>
      <c r="J71" s="453">
        <v>99000</v>
      </c>
      <c r="K71" s="453" t="s">
        <v>675</v>
      </c>
      <c r="L71" s="454" t="s">
        <v>1614</v>
      </c>
      <c r="M71" s="455">
        <v>1425</v>
      </c>
      <c r="N71" s="456"/>
      <c r="O71" s="393"/>
    </row>
    <row r="72" spans="5:15" s="428" customFormat="1" ht="14.1" customHeight="1" outlineLevel="4">
      <c r="E72" s="456"/>
      <c r="F72" s="456"/>
      <c r="G72" s="456"/>
      <c r="H72" s="456"/>
      <c r="I72" s="456"/>
      <c r="J72" s="456"/>
      <c r="K72" s="456"/>
      <c r="L72" s="456"/>
      <c r="M72" s="455" t="s">
        <v>863</v>
      </c>
      <c r="N72" s="455">
        <v>1425</v>
      </c>
      <c r="O72" s="393"/>
    </row>
    <row r="73" spans="5:15" s="428" customFormat="1" ht="14.1" customHeight="1" outlineLevel="3">
      <c r="E73" s="452" t="s">
        <v>447</v>
      </c>
      <c r="F73" s="452" t="s">
        <v>606</v>
      </c>
      <c r="G73" s="452" t="s">
        <v>634</v>
      </c>
      <c r="H73" s="452" t="s">
        <v>678</v>
      </c>
      <c r="I73" s="452" t="s">
        <v>679</v>
      </c>
      <c r="J73" s="453">
        <v>99000</v>
      </c>
      <c r="K73" s="453" t="s">
        <v>644</v>
      </c>
      <c r="L73" s="454" t="s">
        <v>1614</v>
      </c>
      <c r="M73" s="455">
        <v>196081</v>
      </c>
      <c r="N73" s="456"/>
      <c r="O73" s="393"/>
    </row>
    <row r="74" spans="5:15" s="428" customFormat="1" ht="14.1" customHeight="1" outlineLevel="4">
      <c r="E74" s="452" t="s">
        <v>447</v>
      </c>
      <c r="F74" s="452" t="s">
        <v>606</v>
      </c>
      <c r="G74" s="452" t="s">
        <v>634</v>
      </c>
      <c r="H74" s="452" t="s">
        <v>676</v>
      </c>
      <c r="I74" s="452" t="s">
        <v>677</v>
      </c>
      <c r="J74" s="453">
        <v>99000</v>
      </c>
      <c r="K74" s="453" t="s">
        <v>644</v>
      </c>
      <c r="L74" s="454" t="s">
        <v>1614</v>
      </c>
      <c r="M74" s="455">
        <v>-5006.93</v>
      </c>
      <c r="N74" s="456"/>
      <c r="O74" s="393"/>
    </row>
    <row r="75" spans="5:15" s="428" customFormat="1" ht="14.1" customHeight="1" outlineLevel="4">
      <c r="E75" s="456"/>
      <c r="F75" s="456"/>
      <c r="G75" s="456"/>
      <c r="H75" s="456"/>
      <c r="I75" s="456"/>
      <c r="J75" s="456"/>
      <c r="K75" s="456"/>
      <c r="L75" s="456"/>
      <c r="M75" s="455" t="s">
        <v>863</v>
      </c>
      <c r="N75" s="455">
        <v>191074.07</v>
      </c>
      <c r="O75" s="393"/>
    </row>
    <row r="76" spans="5:15" s="428" customFormat="1" ht="14.1" customHeight="1" outlineLevel="3">
      <c r="E76" s="452" t="s">
        <v>447</v>
      </c>
      <c r="F76" s="452" t="s">
        <v>606</v>
      </c>
      <c r="G76" s="452" t="s">
        <v>680</v>
      </c>
      <c r="H76" s="452" t="s">
        <v>681</v>
      </c>
      <c r="I76" s="452" t="s">
        <v>682</v>
      </c>
      <c r="J76" s="453">
        <v>10100</v>
      </c>
      <c r="K76" s="453" t="s">
        <v>633</v>
      </c>
      <c r="L76" s="454" t="s">
        <v>1614</v>
      </c>
      <c r="M76" s="455">
        <v>2720000</v>
      </c>
      <c r="N76" s="456"/>
      <c r="O76" s="393"/>
    </row>
    <row r="77" spans="5:15" s="428" customFormat="1" ht="14.1" customHeight="1" outlineLevel="4">
      <c r="E77" s="456"/>
      <c r="F77" s="456"/>
      <c r="G77" s="456"/>
      <c r="H77" s="456"/>
      <c r="I77" s="456"/>
      <c r="J77" s="456"/>
      <c r="K77" s="456"/>
      <c r="L77" s="456"/>
      <c r="M77" s="455" t="s">
        <v>863</v>
      </c>
      <c r="N77" s="455">
        <v>2720000</v>
      </c>
      <c r="O77" s="393"/>
    </row>
    <row r="78" spans="5:15" s="428" customFormat="1" ht="14.1" customHeight="1" outlineLevel="3">
      <c r="E78" s="452" t="s">
        <v>447</v>
      </c>
      <c r="F78" s="452" t="s">
        <v>606</v>
      </c>
      <c r="G78" s="452" t="s">
        <v>651</v>
      </c>
      <c r="H78" s="452" t="s">
        <v>683</v>
      </c>
      <c r="I78" s="452" t="s">
        <v>684</v>
      </c>
      <c r="J78" s="453">
        <v>90000</v>
      </c>
      <c r="K78" s="453" t="s">
        <v>654</v>
      </c>
      <c r="L78" s="454" t="s">
        <v>1614</v>
      </c>
      <c r="M78" s="455">
        <v>2444117</v>
      </c>
      <c r="N78" s="456"/>
      <c r="O78" s="393"/>
    </row>
    <row r="79" spans="5:15" s="428" customFormat="1" ht="14.1" customHeight="1" outlineLevel="4">
      <c r="E79" s="456"/>
      <c r="F79" s="456"/>
      <c r="G79" s="456"/>
      <c r="H79" s="456"/>
      <c r="I79" s="456"/>
      <c r="J79" s="456"/>
      <c r="K79" s="456"/>
      <c r="L79" s="456"/>
      <c r="M79" s="455" t="s">
        <v>863</v>
      </c>
      <c r="N79" s="455">
        <v>2444117</v>
      </c>
      <c r="O79" s="393"/>
    </row>
    <row r="80" spans="5:15" s="428" customFormat="1" ht="14.1" customHeight="1" outlineLevel="3">
      <c r="E80" s="452" t="s">
        <v>447</v>
      </c>
      <c r="F80" s="452" t="s">
        <v>606</v>
      </c>
      <c r="G80" s="452" t="s">
        <v>816</v>
      </c>
      <c r="H80" s="452">
        <v>990406</v>
      </c>
      <c r="I80" s="452" t="s">
        <v>685</v>
      </c>
      <c r="J80" s="453">
        <v>90000</v>
      </c>
      <c r="K80" s="453" t="s">
        <v>703</v>
      </c>
      <c r="L80" s="454" t="s">
        <v>1614</v>
      </c>
      <c r="M80" s="455">
        <v>500000</v>
      </c>
      <c r="N80" s="456"/>
      <c r="O80" s="393"/>
    </row>
    <row r="81" spans="5:15" s="428" customFormat="1" ht="14.1" customHeight="1" outlineLevel="4">
      <c r="E81" s="452" t="s">
        <v>447</v>
      </c>
      <c r="F81" s="452" t="s">
        <v>606</v>
      </c>
      <c r="G81" s="452" t="s">
        <v>634</v>
      </c>
      <c r="H81" s="452" t="s">
        <v>676</v>
      </c>
      <c r="I81" s="452" t="s">
        <v>677</v>
      </c>
      <c r="J81" s="453">
        <v>90000</v>
      </c>
      <c r="K81" s="453" t="s">
        <v>703</v>
      </c>
      <c r="L81" s="454" t="s">
        <v>1614</v>
      </c>
      <c r="M81" s="455">
        <v>-2854071.89</v>
      </c>
      <c r="N81" s="456"/>
      <c r="O81" s="393"/>
    </row>
    <row r="82" spans="5:15" s="428" customFormat="1" ht="14.1" customHeight="1" outlineLevel="4">
      <c r="E82" s="456"/>
      <c r="F82" s="456"/>
      <c r="G82" s="456"/>
      <c r="H82" s="456"/>
      <c r="I82" s="456"/>
      <c r="J82" s="456"/>
      <c r="K82" s="456"/>
      <c r="L82" s="456"/>
      <c r="M82" s="455" t="s">
        <v>863</v>
      </c>
      <c r="N82" s="455">
        <v>-2354071.89</v>
      </c>
      <c r="O82" s="393"/>
    </row>
    <row r="83" spans="5:15" s="428" customFormat="1" ht="14.1" customHeight="1" outlineLevel="3">
      <c r="E83" s="456"/>
      <c r="F83" s="456"/>
      <c r="G83" s="456"/>
      <c r="H83" s="456"/>
      <c r="I83" s="456"/>
      <c r="J83" s="456"/>
      <c r="K83" s="456"/>
      <c r="L83" s="456"/>
      <c r="M83" s="455" t="s">
        <v>1055</v>
      </c>
      <c r="N83" s="455">
        <v>3002544.18</v>
      </c>
      <c r="O83" s="393"/>
    </row>
    <row r="84" spans="5:15" s="428" customFormat="1" ht="14.1" customHeight="1" outlineLevel="2">
      <c r="E84" s="452" t="s">
        <v>447</v>
      </c>
      <c r="F84" s="452" t="s">
        <v>606</v>
      </c>
      <c r="G84" s="452" t="s">
        <v>618</v>
      </c>
      <c r="H84" s="452" t="s">
        <v>686</v>
      </c>
      <c r="I84" s="452" t="s">
        <v>687</v>
      </c>
      <c r="J84" s="453">
        <v>99000</v>
      </c>
      <c r="K84" s="453" t="s">
        <v>621</v>
      </c>
      <c r="L84" s="454" t="s">
        <v>1615</v>
      </c>
      <c r="M84" s="455">
        <v>500.82</v>
      </c>
      <c r="N84" s="456"/>
      <c r="O84" s="393"/>
    </row>
    <row r="85" spans="5:15" s="428" customFormat="1" ht="14.1" customHeight="1" outlineLevel="2">
      <c r="E85" s="456"/>
      <c r="F85" s="456"/>
      <c r="G85" s="456"/>
      <c r="H85" s="456"/>
      <c r="I85" s="456"/>
      <c r="J85" s="456"/>
      <c r="K85" s="456"/>
      <c r="L85" s="456"/>
      <c r="M85" s="455" t="s">
        <v>863</v>
      </c>
      <c r="N85" s="455">
        <v>500.82</v>
      </c>
      <c r="O85" s="393"/>
    </row>
    <row r="86" spans="5:15" s="428" customFormat="1" ht="14.1" customHeight="1" outlineLevel="4">
      <c r="E86" s="456"/>
      <c r="F86" s="456"/>
      <c r="G86" s="456"/>
      <c r="H86" s="456"/>
      <c r="I86" s="456"/>
      <c r="J86" s="456"/>
      <c r="K86" s="456"/>
      <c r="L86" s="456"/>
      <c r="M86" s="455" t="s">
        <v>1055</v>
      </c>
      <c r="N86" s="455">
        <v>500.82</v>
      </c>
      <c r="O86" s="393"/>
    </row>
    <row r="87" spans="5:15" s="428" customFormat="1" ht="14.1" customHeight="1" outlineLevel="3">
      <c r="E87" s="452" t="s">
        <v>447</v>
      </c>
      <c r="F87" s="452" t="s">
        <v>606</v>
      </c>
      <c r="G87" s="452" t="s">
        <v>688</v>
      </c>
      <c r="H87" s="452">
        <v>99129</v>
      </c>
      <c r="I87" s="452" t="s">
        <v>689</v>
      </c>
      <c r="J87" s="453">
        <v>99000</v>
      </c>
      <c r="K87" s="453" t="s">
        <v>675</v>
      </c>
      <c r="L87" s="454" t="s">
        <v>1616</v>
      </c>
      <c r="M87" s="455">
        <v>183010.45</v>
      </c>
      <c r="N87" s="456"/>
      <c r="O87" s="393"/>
    </row>
    <row r="88" spans="5:15" s="428" customFormat="1" ht="14.1" customHeight="1" outlineLevel="2">
      <c r="E88" s="452" t="s">
        <v>447</v>
      </c>
      <c r="F88" s="452" t="s">
        <v>606</v>
      </c>
      <c r="G88" s="452" t="s">
        <v>688</v>
      </c>
      <c r="H88" s="452">
        <v>99128</v>
      </c>
      <c r="I88" s="452" t="s">
        <v>689</v>
      </c>
      <c r="J88" s="453">
        <v>99000</v>
      </c>
      <c r="K88" s="453" t="s">
        <v>675</v>
      </c>
      <c r="L88" s="454" t="s">
        <v>1616</v>
      </c>
      <c r="M88" s="455">
        <v>135431.96</v>
      </c>
      <c r="N88" s="456"/>
      <c r="O88" s="393"/>
    </row>
    <row r="89" spans="5:15" s="428" customFormat="1" ht="14.1" customHeight="1" outlineLevel="4">
      <c r="E89" s="456"/>
      <c r="F89" s="456"/>
      <c r="G89" s="456"/>
      <c r="H89" s="456"/>
      <c r="I89" s="456"/>
      <c r="J89" s="456"/>
      <c r="K89" s="456"/>
      <c r="L89" s="456"/>
      <c r="M89" s="455" t="s">
        <v>863</v>
      </c>
      <c r="N89" s="455">
        <v>318442.40999999997</v>
      </c>
      <c r="O89" s="393"/>
    </row>
    <row r="90" spans="5:15" s="428" customFormat="1" ht="14.1" customHeight="1" outlineLevel="4">
      <c r="E90" s="452" t="s">
        <v>447</v>
      </c>
      <c r="F90" s="452" t="s">
        <v>606</v>
      </c>
      <c r="G90" s="452" t="s">
        <v>634</v>
      </c>
      <c r="H90" s="452" t="s">
        <v>690</v>
      </c>
      <c r="I90" s="452" t="s">
        <v>691</v>
      </c>
      <c r="J90" s="453">
        <v>99000</v>
      </c>
      <c r="K90" s="453" t="s">
        <v>644</v>
      </c>
      <c r="L90" s="454" t="s">
        <v>1616</v>
      </c>
      <c r="M90" s="455">
        <v>194517</v>
      </c>
      <c r="N90" s="456"/>
      <c r="O90" s="393"/>
    </row>
    <row r="91" spans="5:15" s="428" customFormat="1" ht="14.1" customHeight="1" outlineLevel="3">
      <c r="E91" s="452" t="s">
        <v>447</v>
      </c>
      <c r="F91" s="452" t="s">
        <v>606</v>
      </c>
      <c r="G91" s="452" t="s">
        <v>634</v>
      </c>
      <c r="H91" s="452" t="s">
        <v>692</v>
      </c>
      <c r="I91" s="452" t="s">
        <v>677</v>
      </c>
      <c r="J91" s="453">
        <v>99000</v>
      </c>
      <c r="K91" s="453" t="s">
        <v>644</v>
      </c>
      <c r="L91" s="454" t="s">
        <v>1616</v>
      </c>
      <c r="M91" s="455">
        <v>-2940.76</v>
      </c>
      <c r="N91" s="456"/>
      <c r="O91" s="393"/>
    </row>
    <row r="92" spans="5:15" s="428" customFormat="1" ht="14.1" customHeight="1" outlineLevel="4">
      <c r="E92" s="452" t="s">
        <v>447</v>
      </c>
      <c r="F92" s="452" t="s">
        <v>606</v>
      </c>
      <c r="G92" s="452" t="s">
        <v>634</v>
      </c>
      <c r="H92" s="452" t="s">
        <v>690</v>
      </c>
      <c r="I92" s="452" t="s">
        <v>693</v>
      </c>
      <c r="J92" s="453">
        <v>99000</v>
      </c>
      <c r="K92" s="453" t="s">
        <v>644</v>
      </c>
      <c r="L92" s="454" t="s">
        <v>1616</v>
      </c>
      <c r="M92" s="455">
        <v>-79441</v>
      </c>
      <c r="N92" s="456"/>
      <c r="O92" s="393"/>
    </row>
    <row r="93" spans="5:15" s="428" customFormat="1" ht="14.1" customHeight="1" outlineLevel="4">
      <c r="E93" s="456"/>
      <c r="F93" s="456"/>
      <c r="G93" s="456"/>
      <c r="H93" s="456"/>
      <c r="I93" s="456"/>
      <c r="J93" s="456"/>
      <c r="K93" s="456"/>
      <c r="L93" s="456"/>
      <c r="M93" s="455" t="s">
        <v>863</v>
      </c>
      <c r="N93" s="455">
        <v>112135.24</v>
      </c>
      <c r="O93" s="393"/>
    </row>
    <row r="94" spans="5:15" s="428" customFormat="1" ht="14.1" customHeight="1" outlineLevel="4">
      <c r="E94" s="452" t="s">
        <v>447</v>
      </c>
      <c r="F94" s="452" t="s">
        <v>606</v>
      </c>
      <c r="G94" s="452" t="s">
        <v>634</v>
      </c>
      <c r="H94" s="452" t="s">
        <v>694</v>
      </c>
      <c r="I94" s="452" t="s">
        <v>696</v>
      </c>
      <c r="J94" s="453">
        <v>90000</v>
      </c>
      <c r="K94" s="453" t="s">
        <v>633</v>
      </c>
      <c r="L94" s="454" t="s">
        <v>1616</v>
      </c>
      <c r="M94" s="455">
        <v>1291080</v>
      </c>
      <c r="N94" s="456"/>
      <c r="O94" s="393"/>
    </row>
    <row r="95" spans="5:15" s="428" customFormat="1" ht="14.1" customHeight="1" outlineLevel="3">
      <c r="E95" s="452" t="s">
        <v>447</v>
      </c>
      <c r="F95" s="452" t="s">
        <v>606</v>
      </c>
      <c r="G95" s="452" t="s">
        <v>680</v>
      </c>
      <c r="H95" s="452" t="s">
        <v>697</v>
      </c>
      <c r="I95" s="452" t="s">
        <v>698</v>
      </c>
      <c r="J95" s="453">
        <v>10100</v>
      </c>
      <c r="K95" s="453" t="s">
        <v>633</v>
      </c>
      <c r="L95" s="454" t="s">
        <v>1616</v>
      </c>
      <c r="M95" s="455">
        <v>1632000</v>
      </c>
      <c r="N95" s="456"/>
      <c r="O95" s="393"/>
    </row>
    <row r="96" spans="5:15" s="428" customFormat="1" ht="14.1" customHeight="1" outlineLevel="4">
      <c r="E96" s="452" t="s">
        <v>447</v>
      </c>
      <c r="F96" s="452" t="s">
        <v>606</v>
      </c>
      <c r="G96" s="452" t="s">
        <v>634</v>
      </c>
      <c r="H96" s="452" t="s">
        <v>694</v>
      </c>
      <c r="I96" s="452" t="s">
        <v>695</v>
      </c>
      <c r="J96" s="453">
        <v>90000</v>
      </c>
      <c r="K96" s="453" t="s">
        <v>633</v>
      </c>
      <c r="L96" s="454" t="s">
        <v>1616</v>
      </c>
      <c r="M96" s="455">
        <v>396000</v>
      </c>
      <c r="N96" s="456"/>
      <c r="O96" s="393"/>
    </row>
    <row r="97" spans="5:15" s="428" customFormat="1" ht="14.1" customHeight="1" outlineLevel="4">
      <c r="E97" s="456"/>
      <c r="F97" s="456"/>
      <c r="G97" s="456"/>
      <c r="H97" s="456"/>
      <c r="I97" s="456"/>
      <c r="J97" s="456"/>
      <c r="K97" s="456"/>
      <c r="L97" s="456"/>
      <c r="M97" s="455" t="s">
        <v>863</v>
      </c>
      <c r="N97" s="455">
        <v>3319080</v>
      </c>
      <c r="O97" s="393"/>
    </row>
    <row r="98" spans="5:15" s="428" customFormat="1" ht="14.1" customHeight="1" outlineLevel="4">
      <c r="E98" s="452" t="s">
        <v>447</v>
      </c>
      <c r="F98" s="452" t="s">
        <v>606</v>
      </c>
      <c r="G98" s="452" t="s">
        <v>816</v>
      </c>
      <c r="H98" s="452">
        <v>990501</v>
      </c>
      <c r="I98" s="452" t="s">
        <v>670</v>
      </c>
      <c r="J98" s="453">
        <v>10200</v>
      </c>
      <c r="K98" s="453" t="s">
        <v>703</v>
      </c>
      <c r="L98" s="454" t="s">
        <v>1616</v>
      </c>
      <c r="M98" s="455">
        <v>500000</v>
      </c>
      <c r="N98" s="456"/>
      <c r="O98" s="393"/>
    </row>
    <row r="99" spans="5:15" s="428" customFormat="1" ht="14.1" customHeight="1" outlineLevel="3">
      <c r="E99" s="452" t="s">
        <v>447</v>
      </c>
      <c r="F99" s="452" t="s">
        <v>606</v>
      </c>
      <c r="G99" s="452" t="s">
        <v>699</v>
      </c>
      <c r="H99" s="452" t="s">
        <v>700</v>
      </c>
      <c r="I99" s="452" t="s">
        <v>701</v>
      </c>
      <c r="J99" s="453">
        <v>90000</v>
      </c>
      <c r="K99" s="453" t="s">
        <v>703</v>
      </c>
      <c r="L99" s="454" t="s">
        <v>1616</v>
      </c>
      <c r="M99" s="455">
        <v>252344</v>
      </c>
      <c r="N99" s="456"/>
      <c r="O99" s="393"/>
    </row>
    <row r="100" spans="5:15" s="428" customFormat="1" ht="14.1" customHeight="1" outlineLevel="4">
      <c r="E100" s="456"/>
      <c r="F100" s="456"/>
      <c r="G100" s="456"/>
      <c r="H100" s="456"/>
      <c r="I100" s="456"/>
      <c r="J100" s="456"/>
      <c r="K100" s="456"/>
      <c r="L100" s="456"/>
      <c r="M100" s="455" t="s">
        <v>863</v>
      </c>
      <c r="N100" s="455">
        <v>752344</v>
      </c>
      <c r="O100" s="393"/>
    </row>
    <row r="101" spans="5:15" s="428" customFormat="1" ht="14.1" customHeight="1" outlineLevel="4">
      <c r="E101" s="456"/>
      <c r="F101" s="456"/>
      <c r="G101" s="456"/>
      <c r="H101" s="456"/>
      <c r="I101" s="456"/>
      <c r="J101" s="456"/>
      <c r="K101" s="456"/>
      <c r="L101" s="456"/>
      <c r="M101" s="456"/>
      <c r="N101" s="456"/>
      <c r="O101" s="393"/>
    </row>
    <row r="102" spans="5:15" s="428" customFormat="1" ht="14.1" customHeight="1" outlineLevel="3">
      <c r="E102" s="452" t="s">
        <v>447</v>
      </c>
      <c r="F102" s="452" t="s">
        <v>606</v>
      </c>
      <c r="G102" s="452" t="s">
        <v>704</v>
      </c>
      <c r="H102" s="452" t="s">
        <v>707</v>
      </c>
      <c r="I102" s="452" t="s">
        <v>708</v>
      </c>
      <c r="J102" s="453">
        <v>99000</v>
      </c>
      <c r="K102" s="453" t="s">
        <v>621</v>
      </c>
      <c r="L102" s="454" t="s">
        <v>1616</v>
      </c>
      <c r="M102" s="455">
        <v>839.59</v>
      </c>
      <c r="N102" s="456"/>
      <c r="O102" s="393"/>
    </row>
    <row r="103" spans="5:15" s="428" customFormat="1" ht="14.1" customHeight="1" outlineLevel="4">
      <c r="E103" s="452" t="s">
        <v>447</v>
      </c>
      <c r="F103" s="452" t="s">
        <v>606</v>
      </c>
      <c r="G103" s="452" t="s">
        <v>704</v>
      </c>
      <c r="H103" s="452" t="s">
        <v>705</v>
      </c>
      <c r="I103" s="452" t="s">
        <v>706</v>
      </c>
      <c r="J103" s="453">
        <v>99000</v>
      </c>
      <c r="K103" s="453" t="s">
        <v>621</v>
      </c>
      <c r="L103" s="454" t="s">
        <v>1616</v>
      </c>
      <c r="M103" s="455">
        <v>1199.3599999999999</v>
      </c>
      <c r="N103" s="456"/>
      <c r="O103" s="393"/>
    </row>
    <row r="104" spans="5:15" s="428" customFormat="1" ht="14.1" customHeight="1" outlineLevel="4">
      <c r="E104" s="456"/>
      <c r="F104" s="456"/>
      <c r="G104" s="456"/>
      <c r="H104" s="456"/>
      <c r="I104" s="456"/>
      <c r="J104" s="456"/>
      <c r="K104" s="456"/>
      <c r="L104" s="456"/>
      <c r="M104" s="455" t="s">
        <v>863</v>
      </c>
      <c r="N104" s="455">
        <v>2038.95</v>
      </c>
      <c r="O104" s="393"/>
    </row>
    <row r="105" spans="5:15" s="428" customFormat="1" ht="14.1" customHeight="1" outlineLevel="3">
      <c r="E105" s="456"/>
      <c r="F105" s="456"/>
      <c r="G105" s="456"/>
      <c r="H105" s="456"/>
      <c r="I105" s="456"/>
      <c r="J105" s="456"/>
      <c r="K105" s="456"/>
      <c r="L105" s="456"/>
      <c r="M105" s="455" t="s">
        <v>1055</v>
      </c>
      <c r="N105" s="455">
        <v>4504040.5999999996</v>
      </c>
      <c r="O105" s="393"/>
    </row>
    <row r="106" spans="5:15" s="428" customFormat="1" ht="14.1" customHeight="1" outlineLevel="2">
      <c r="E106" s="452" t="s">
        <v>447</v>
      </c>
      <c r="F106" s="452" t="s">
        <v>606</v>
      </c>
      <c r="G106" s="452" t="s">
        <v>634</v>
      </c>
      <c r="H106" s="452" t="s">
        <v>717</v>
      </c>
      <c r="I106" s="452" t="s">
        <v>718</v>
      </c>
      <c r="J106" s="453">
        <v>99000</v>
      </c>
      <c r="K106" s="453" t="s">
        <v>637</v>
      </c>
      <c r="L106" s="454" t="s">
        <v>1617</v>
      </c>
      <c r="M106" s="455">
        <v>-5000000</v>
      </c>
      <c r="N106" s="456"/>
      <c r="O106" s="393"/>
    </row>
    <row r="107" spans="5:15" s="428" customFormat="1" ht="14.1" customHeight="1" outlineLevel="2">
      <c r="E107" s="456"/>
      <c r="F107" s="456"/>
      <c r="G107" s="456"/>
      <c r="H107" s="456"/>
      <c r="I107" s="456"/>
      <c r="J107" s="456"/>
      <c r="K107" s="456"/>
      <c r="L107" s="456"/>
      <c r="M107" s="455" t="s">
        <v>863</v>
      </c>
      <c r="N107" s="455">
        <v>-5000000</v>
      </c>
      <c r="O107" s="393"/>
    </row>
    <row r="108" spans="5:15" s="428" customFormat="1" ht="14.1" customHeight="1" outlineLevel="4">
      <c r="E108" s="452" t="s">
        <v>447</v>
      </c>
      <c r="F108" s="452" t="s">
        <v>606</v>
      </c>
      <c r="G108" s="452" t="s">
        <v>688</v>
      </c>
      <c r="H108" s="452">
        <v>99133</v>
      </c>
      <c r="I108" s="452" t="s">
        <v>689</v>
      </c>
      <c r="J108" s="453">
        <v>99000</v>
      </c>
      <c r="K108" s="453" t="s">
        <v>675</v>
      </c>
      <c r="L108" s="454" t="s">
        <v>1617</v>
      </c>
      <c r="M108" s="455">
        <v>24767.55</v>
      </c>
      <c r="N108" s="456"/>
      <c r="O108" s="393"/>
    </row>
    <row r="109" spans="5:15" s="428" customFormat="1" ht="14.1" customHeight="1" outlineLevel="3">
      <c r="E109" s="452" t="s">
        <v>447</v>
      </c>
      <c r="F109" s="452" t="s">
        <v>606</v>
      </c>
      <c r="G109" s="452" t="s">
        <v>688</v>
      </c>
      <c r="H109" s="452">
        <v>99134</v>
      </c>
      <c r="I109" s="452" t="s">
        <v>689</v>
      </c>
      <c r="J109" s="453">
        <v>99000</v>
      </c>
      <c r="K109" s="453" t="s">
        <v>675</v>
      </c>
      <c r="L109" s="454" t="s">
        <v>1617</v>
      </c>
      <c r="M109" s="455">
        <v>26120.07</v>
      </c>
      <c r="N109" s="456"/>
      <c r="O109" s="393"/>
    </row>
    <row r="110" spans="5:15" s="428" customFormat="1" ht="14.1" customHeight="1" outlineLevel="4">
      <c r="E110" s="452" t="s">
        <v>447</v>
      </c>
      <c r="F110" s="452" t="s">
        <v>606</v>
      </c>
      <c r="G110" s="452" t="s">
        <v>688</v>
      </c>
      <c r="H110" s="452">
        <v>99131</v>
      </c>
      <c r="I110" s="452" t="s">
        <v>689</v>
      </c>
      <c r="J110" s="453">
        <v>99000</v>
      </c>
      <c r="K110" s="453" t="s">
        <v>675</v>
      </c>
      <c r="L110" s="454" t="s">
        <v>1617</v>
      </c>
      <c r="M110" s="455">
        <v>22604.87</v>
      </c>
      <c r="N110" s="456"/>
      <c r="O110" s="393"/>
    </row>
    <row r="111" spans="5:15" s="428" customFormat="1" ht="14.1" customHeight="1" outlineLevel="4">
      <c r="E111" s="452" t="s">
        <v>447</v>
      </c>
      <c r="F111" s="452" t="s">
        <v>606</v>
      </c>
      <c r="G111" s="452" t="s">
        <v>688</v>
      </c>
      <c r="H111" s="452">
        <v>99132</v>
      </c>
      <c r="I111" s="452" t="s">
        <v>689</v>
      </c>
      <c r="J111" s="453">
        <v>99000</v>
      </c>
      <c r="K111" s="453" t="s">
        <v>675</v>
      </c>
      <c r="L111" s="454" t="s">
        <v>1617</v>
      </c>
      <c r="M111" s="455">
        <v>28671.86</v>
      </c>
      <c r="N111" s="456"/>
      <c r="O111" s="393"/>
    </row>
    <row r="112" spans="5:15" s="428" customFormat="1" ht="14.1" customHeight="1" outlineLevel="4">
      <c r="E112" s="456"/>
      <c r="F112" s="456"/>
      <c r="G112" s="456"/>
      <c r="H112" s="456"/>
      <c r="I112" s="456"/>
      <c r="J112" s="456"/>
      <c r="K112" s="456"/>
      <c r="L112" s="456"/>
      <c r="M112" s="455" t="s">
        <v>863</v>
      </c>
      <c r="N112" s="455">
        <v>102164.35</v>
      </c>
      <c r="O112" s="393"/>
    </row>
    <row r="113" spans="5:15" s="428" customFormat="1" ht="14.1" customHeight="1" outlineLevel="4">
      <c r="E113" s="452" t="s">
        <v>447</v>
      </c>
      <c r="F113" s="452" t="s">
        <v>606</v>
      </c>
      <c r="G113" s="452" t="s">
        <v>634</v>
      </c>
      <c r="H113" s="452" t="s">
        <v>719</v>
      </c>
      <c r="I113" s="452" t="s">
        <v>720</v>
      </c>
      <c r="J113" s="453">
        <v>90000</v>
      </c>
      <c r="K113" s="453" t="s">
        <v>640</v>
      </c>
      <c r="L113" s="454" t="s">
        <v>1617</v>
      </c>
      <c r="M113" s="455">
        <v>268110.40000000002</v>
      </c>
      <c r="N113" s="456"/>
      <c r="O113" s="393"/>
    </row>
    <row r="114" spans="5:15" s="428" customFormat="1" ht="14.1" customHeight="1" outlineLevel="3">
      <c r="E114" s="452" t="s">
        <v>447</v>
      </c>
      <c r="F114" s="452" t="s">
        <v>606</v>
      </c>
      <c r="G114" s="452" t="s">
        <v>699</v>
      </c>
      <c r="H114" s="452" t="s">
        <v>721</v>
      </c>
      <c r="I114" s="452" t="s">
        <v>722</v>
      </c>
      <c r="J114" s="453">
        <v>90000</v>
      </c>
      <c r="K114" s="453" t="s">
        <v>640</v>
      </c>
      <c r="L114" s="454" t="s">
        <v>1617</v>
      </c>
      <c r="M114" s="455">
        <v>5323.25</v>
      </c>
      <c r="N114" s="456"/>
      <c r="O114" s="393"/>
    </row>
    <row r="115" spans="5:15" s="428" customFormat="1" ht="14.1" customHeight="1" outlineLevel="4">
      <c r="E115" s="456"/>
      <c r="F115" s="456"/>
      <c r="G115" s="456"/>
      <c r="H115" s="456"/>
      <c r="I115" s="456"/>
      <c r="J115" s="456"/>
      <c r="K115" s="456"/>
      <c r="L115" s="456"/>
      <c r="M115" s="455" t="s">
        <v>863</v>
      </c>
      <c r="N115" s="455">
        <v>273433.65000000002</v>
      </c>
      <c r="O115" s="393"/>
    </row>
    <row r="116" spans="5:15" s="428" customFormat="1" ht="14.1" customHeight="1" outlineLevel="4">
      <c r="E116" s="452" t="s">
        <v>447</v>
      </c>
      <c r="F116" s="452" t="s">
        <v>606</v>
      </c>
      <c r="G116" s="452" t="s">
        <v>634</v>
      </c>
      <c r="H116" s="452" t="s">
        <v>723</v>
      </c>
      <c r="I116" s="452" t="s">
        <v>724</v>
      </c>
      <c r="J116" s="453">
        <v>99000</v>
      </c>
      <c r="K116" s="453" t="s">
        <v>644</v>
      </c>
      <c r="L116" s="454" t="s">
        <v>1617</v>
      </c>
      <c r="M116" s="455">
        <v>226003</v>
      </c>
      <c r="N116" s="456"/>
      <c r="O116" s="393"/>
    </row>
    <row r="117" spans="5:15" s="428" customFormat="1" ht="14.1" customHeight="1" outlineLevel="3">
      <c r="E117" s="456"/>
      <c r="F117" s="456"/>
      <c r="G117" s="456"/>
      <c r="H117" s="456"/>
      <c r="I117" s="456"/>
      <c r="J117" s="456"/>
      <c r="K117" s="456"/>
      <c r="L117" s="456"/>
      <c r="M117" s="455" t="s">
        <v>863</v>
      </c>
      <c r="N117" s="455">
        <v>226003</v>
      </c>
      <c r="O117" s="393"/>
    </row>
    <row r="118" spans="5:15" s="428" customFormat="1" ht="14.1" customHeight="1" outlineLevel="4">
      <c r="E118" s="452" t="s">
        <v>447</v>
      </c>
      <c r="F118" s="452" t="s">
        <v>606</v>
      </c>
      <c r="G118" s="452" t="s">
        <v>634</v>
      </c>
      <c r="H118" s="452" t="s">
        <v>725</v>
      </c>
      <c r="I118" s="452" t="s">
        <v>726</v>
      </c>
      <c r="J118" s="453">
        <v>99000</v>
      </c>
      <c r="K118" s="453" t="s">
        <v>617</v>
      </c>
      <c r="L118" s="454" t="s">
        <v>1617</v>
      </c>
      <c r="M118" s="455">
        <v>-10271.200000000001</v>
      </c>
      <c r="N118" s="456"/>
      <c r="O118" s="393"/>
    </row>
    <row r="119" spans="5:15" s="428" customFormat="1" ht="14.1" customHeight="1" outlineLevel="3">
      <c r="E119" s="456"/>
      <c r="F119" s="456"/>
      <c r="G119" s="456"/>
      <c r="H119" s="456"/>
      <c r="I119" s="456"/>
      <c r="J119" s="456"/>
      <c r="K119" s="456"/>
      <c r="L119" s="456"/>
      <c r="M119" s="455" t="s">
        <v>863</v>
      </c>
      <c r="N119" s="455">
        <v>-10271.200000000001</v>
      </c>
      <c r="O119" s="393"/>
    </row>
    <row r="120" spans="5:15" s="428" customFormat="1" ht="14.1" customHeight="1" outlineLevel="4">
      <c r="E120" s="452" t="s">
        <v>447</v>
      </c>
      <c r="F120" s="452" t="s">
        <v>606</v>
      </c>
      <c r="G120" s="452" t="s">
        <v>727</v>
      </c>
      <c r="H120" s="452" t="s">
        <v>728</v>
      </c>
      <c r="I120" s="452" t="s">
        <v>729</v>
      </c>
      <c r="J120" s="453">
        <v>10100</v>
      </c>
      <c r="K120" s="453" t="s">
        <v>633</v>
      </c>
      <c r="L120" s="454" t="s">
        <v>1617</v>
      </c>
      <c r="M120" s="455">
        <v>1632000</v>
      </c>
      <c r="N120" s="456"/>
      <c r="O120" s="393"/>
    </row>
    <row r="121" spans="5:15" s="428" customFormat="1" ht="14.1" customHeight="1" outlineLevel="3">
      <c r="E121" s="456"/>
      <c r="F121" s="456"/>
      <c r="G121" s="456"/>
      <c r="H121" s="456"/>
      <c r="I121" s="456"/>
      <c r="J121" s="456"/>
      <c r="K121" s="456"/>
      <c r="L121" s="456"/>
      <c r="M121" s="455" t="s">
        <v>863</v>
      </c>
      <c r="N121" s="455">
        <v>1632000</v>
      </c>
      <c r="O121" s="393"/>
    </row>
    <row r="122" spans="5:15" s="428" customFormat="1" ht="14.1" customHeight="1" outlineLevel="4">
      <c r="E122" s="452" t="s">
        <v>447</v>
      </c>
      <c r="F122" s="452" t="s">
        <v>606</v>
      </c>
      <c r="G122" s="452" t="s">
        <v>699</v>
      </c>
      <c r="H122" s="452" t="s">
        <v>730</v>
      </c>
      <c r="I122" s="452" t="s">
        <v>731</v>
      </c>
      <c r="J122" s="453">
        <v>99000</v>
      </c>
      <c r="K122" s="453" t="s">
        <v>732</v>
      </c>
      <c r="L122" s="454" t="s">
        <v>1617</v>
      </c>
      <c r="M122" s="455">
        <v>4671.74</v>
      </c>
      <c r="N122" s="456"/>
      <c r="O122" s="393"/>
    </row>
    <row r="123" spans="5:15" s="428" customFormat="1" ht="14.1" customHeight="1" outlineLevel="3">
      <c r="E123" s="456"/>
      <c r="F123" s="456"/>
      <c r="G123" s="456"/>
      <c r="H123" s="456"/>
      <c r="I123" s="456"/>
      <c r="J123" s="456"/>
      <c r="K123" s="456"/>
      <c r="L123" s="456"/>
      <c r="M123" s="455" t="s">
        <v>863</v>
      </c>
      <c r="N123" s="455">
        <v>4671.74</v>
      </c>
      <c r="O123" s="393"/>
    </row>
    <row r="124" spans="5:15" s="428" customFormat="1" ht="14.1" customHeight="1" outlineLevel="4">
      <c r="E124" s="452" t="s">
        <v>447</v>
      </c>
      <c r="F124" s="452" t="s">
        <v>606</v>
      </c>
      <c r="G124" s="452" t="s">
        <v>733</v>
      </c>
      <c r="H124" s="452">
        <v>991137</v>
      </c>
      <c r="I124" s="452" t="s">
        <v>734</v>
      </c>
      <c r="J124" s="453">
        <v>99000</v>
      </c>
      <c r="K124" s="453" t="s">
        <v>735</v>
      </c>
      <c r="L124" s="454" t="s">
        <v>1617</v>
      </c>
      <c r="M124" s="455">
        <v>7636.15</v>
      </c>
      <c r="N124" s="456"/>
      <c r="O124" s="393"/>
    </row>
    <row r="125" spans="5:15" s="428" customFormat="1" ht="14.1" customHeight="1" outlineLevel="3">
      <c r="E125" s="452" t="s">
        <v>447</v>
      </c>
      <c r="F125" s="452" t="s">
        <v>606</v>
      </c>
      <c r="G125" s="452" t="s">
        <v>733</v>
      </c>
      <c r="H125" s="452">
        <v>991233</v>
      </c>
      <c r="I125" s="452" t="s">
        <v>734</v>
      </c>
      <c r="J125" s="453">
        <v>99000</v>
      </c>
      <c r="K125" s="453" t="s">
        <v>735</v>
      </c>
      <c r="L125" s="454" t="s">
        <v>1617</v>
      </c>
      <c r="M125" s="455">
        <v>2475.23</v>
      </c>
      <c r="N125" s="456"/>
      <c r="O125" s="393"/>
    </row>
    <row r="126" spans="5:15" s="428" customFormat="1" ht="14.1" customHeight="1" outlineLevel="4">
      <c r="E126" s="456"/>
      <c r="F126" s="456"/>
      <c r="G126" s="456"/>
      <c r="H126" s="456"/>
      <c r="I126" s="456"/>
      <c r="J126" s="456"/>
      <c r="K126" s="456"/>
      <c r="L126" s="456"/>
      <c r="M126" s="455" t="s">
        <v>863</v>
      </c>
      <c r="N126" s="455">
        <v>10111.379999999999</v>
      </c>
      <c r="O126" s="393"/>
    </row>
    <row r="127" spans="5:15" s="428" customFormat="1" ht="14.1" customHeight="1" outlineLevel="4">
      <c r="E127" s="452" t="s">
        <v>447</v>
      </c>
      <c r="F127" s="452" t="s">
        <v>606</v>
      </c>
      <c r="G127" s="452" t="s">
        <v>699</v>
      </c>
      <c r="H127" s="452" t="s">
        <v>736</v>
      </c>
      <c r="I127" s="452" t="s">
        <v>737</v>
      </c>
      <c r="J127" s="453">
        <v>99000</v>
      </c>
      <c r="K127" s="453" t="s">
        <v>738</v>
      </c>
      <c r="L127" s="454" t="s">
        <v>1617</v>
      </c>
      <c r="M127" s="455">
        <v>53311.19</v>
      </c>
      <c r="N127" s="456"/>
      <c r="O127" s="393"/>
    </row>
    <row r="128" spans="5:15" s="428" customFormat="1" ht="14.1" customHeight="1" outlineLevel="3">
      <c r="E128" s="456"/>
      <c r="F128" s="456"/>
      <c r="G128" s="456"/>
      <c r="H128" s="456"/>
      <c r="I128" s="456"/>
      <c r="J128" s="456"/>
      <c r="K128" s="456"/>
      <c r="L128" s="456"/>
      <c r="M128" s="455" t="s">
        <v>863</v>
      </c>
      <c r="N128" s="455">
        <v>53311.19</v>
      </c>
      <c r="O128" s="393"/>
    </row>
    <row r="129" spans="5:15" s="428" customFormat="1" ht="14.1" customHeight="1" outlineLevel="4">
      <c r="E129" s="452" t="s">
        <v>447</v>
      </c>
      <c r="F129" s="452" t="s">
        <v>606</v>
      </c>
      <c r="G129" s="452" t="s">
        <v>816</v>
      </c>
      <c r="H129" s="452">
        <v>990601</v>
      </c>
      <c r="I129" s="452" t="s">
        <v>685</v>
      </c>
      <c r="J129" s="453">
        <v>10200</v>
      </c>
      <c r="K129" s="453" t="s">
        <v>703</v>
      </c>
      <c r="L129" s="454" t="s">
        <v>1617</v>
      </c>
      <c r="M129" s="455">
        <v>500000</v>
      </c>
      <c r="N129" s="456"/>
      <c r="O129" s="393"/>
    </row>
    <row r="130" spans="5:15" s="428" customFormat="1" ht="14.1" customHeight="1" outlineLevel="3">
      <c r="E130" s="452" t="s">
        <v>447</v>
      </c>
      <c r="F130" s="452" t="s">
        <v>606</v>
      </c>
      <c r="G130" s="452" t="s">
        <v>699</v>
      </c>
      <c r="H130" s="452" t="s">
        <v>739</v>
      </c>
      <c r="I130" s="452" t="s">
        <v>740</v>
      </c>
      <c r="J130" s="453">
        <v>90000</v>
      </c>
      <c r="K130" s="453" t="s">
        <v>703</v>
      </c>
      <c r="L130" s="454" t="s">
        <v>1617</v>
      </c>
      <c r="M130" s="455">
        <v>17664.080000000002</v>
      </c>
      <c r="N130" s="456"/>
      <c r="O130" s="393"/>
    </row>
    <row r="131" spans="5:15" s="428" customFormat="1" ht="14.1" customHeight="1" outlineLevel="4">
      <c r="E131" s="452" t="s">
        <v>447</v>
      </c>
      <c r="F131" s="452" t="s">
        <v>606</v>
      </c>
      <c r="G131" s="452" t="s">
        <v>688</v>
      </c>
      <c r="H131" s="452">
        <v>99130</v>
      </c>
      <c r="I131" s="452" t="s">
        <v>741</v>
      </c>
      <c r="J131" s="453">
        <v>90000</v>
      </c>
      <c r="K131" s="453" t="s">
        <v>703</v>
      </c>
      <c r="L131" s="454" t="s">
        <v>1617</v>
      </c>
      <c r="M131" s="455">
        <v>78641.11</v>
      </c>
      <c r="N131" s="456"/>
      <c r="O131" s="393"/>
    </row>
    <row r="132" spans="5:15" s="428" customFormat="1" ht="14.1" customHeight="1" outlineLevel="4">
      <c r="E132" s="452" t="s">
        <v>447</v>
      </c>
      <c r="F132" s="452" t="s">
        <v>606</v>
      </c>
      <c r="G132" s="452" t="s">
        <v>699</v>
      </c>
      <c r="H132" s="452" t="s">
        <v>739</v>
      </c>
      <c r="I132" s="452" t="s">
        <v>740</v>
      </c>
      <c r="J132" s="453">
        <v>90000</v>
      </c>
      <c r="K132" s="453" t="s">
        <v>703</v>
      </c>
      <c r="L132" s="454" t="s">
        <v>1617</v>
      </c>
      <c r="M132" s="455">
        <v>327.02</v>
      </c>
      <c r="N132" s="456"/>
      <c r="O132" s="393"/>
    </row>
    <row r="133" spans="5:15" s="428" customFormat="1" ht="14.1" customHeight="1" outlineLevel="4">
      <c r="E133" s="456"/>
      <c r="F133" s="456"/>
      <c r="G133" s="456"/>
      <c r="H133" s="456"/>
      <c r="I133" s="456"/>
      <c r="J133" s="456"/>
      <c r="K133" s="456"/>
      <c r="L133" s="456"/>
      <c r="M133" s="455" t="s">
        <v>863</v>
      </c>
      <c r="N133" s="455">
        <v>596632.21</v>
      </c>
      <c r="O133" s="393"/>
    </row>
    <row r="134" spans="5:15" s="428" customFormat="1" ht="14.1" customHeight="1" outlineLevel="4">
      <c r="E134" s="452" t="s">
        <v>447</v>
      </c>
      <c r="F134" s="452" t="s">
        <v>606</v>
      </c>
      <c r="G134" s="452" t="s">
        <v>742</v>
      </c>
      <c r="H134" s="452" t="s">
        <v>745</v>
      </c>
      <c r="I134" s="452" t="s">
        <v>746</v>
      </c>
      <c r="J134" s="453">
        <v>99000</v>
      </c>
      <c r="K134" s="453" t="s">
        <v>621</v>
      </c>
      <c r="L134" s="454" t="s">
        <v>1617</v>
      </c>
      <c r="M134" s="455">
        <v>321.95999999999998</v>
      </c>
      <c r="N134" s="456"/>
      <c r="O134" s="393"/>
    </row>
    <row r="135" spans="5:15" s="428" customFormat="1" ht="14.1" customHeight="1" outlineLevel="3">
      <c r="E135" s="452" t="s">
        <v>447</v>
      </c>
      <c r="F135" s="452" t="s">
        <v>606</v>
      </c>
      <c r="G135" s="452" t="s">
        <v>747</v>
      </c>
      <c r="H135" s="452" t="s">
        <v>748</v>
      </c>
      <c r="I135" s="452" t="s">
        <v>749</v>
      </c>
      <c r="J135" s="453">
        <v>99000</v>
      </c>
      <c r="K135" s="453" t="s">
        <v>621</v>
      </c>
      <c r="L135" s="454" t="s">
        <v>1617</v>
      </c>
      <c r="M135" s="455">
        <v>1209.54</v>
      </c>
      <c r="N135" s="456"/>
      <c r="O135" s="393"/>
    </row>
    <row r="136" spans="5:15" s="428" customFormat="1" ht="14.1" customHeight="1" outlineLevel="4">
      <c r="E136" s="456"/>
      <c r="F136" s="456"/>
      <c r="G136" s="456"/>
      <c r="H136" s="456"/>
      <c r="I136" s="456"/>
      <c r="J136" s="456"/>
      <c r="K136" s="456"/>
      <c r="L136" s="456"/>
      <c r="M136" s="455" t="s">
        <v>863</v>
      </c>
      <c r="N136" s="455">
        <v>1531.5</v>
      </c>
      <c r="O136" s="393"/>
    </row>
    <row r="137" spans="5:15" s="428" customFormat="1" ht="14.1" customHeight="1" outlineLevel="4">
      <c r="E137" s="456"/>
      <c r="F137" s="456"/>
      <c r="G137" s="456"/>
      <c r="H137" s="456"/>
      <c r="I137" s="456"/>
      <c r="J137" s="456"/>
      <c r="K137" s="456"/>
      <c r="L137" s="456"/>
      <c r="M137" s="455" t="s">
        <v>1055</v>
      </c>
      <c r="N137" s="455">
        <v>-2110412.1800000002</v>
      </c>
      <c r="O137" s="393"/>
    </row>
    <row r="138" spans="5:15" s="428" customFormat="1" ht="14.1" customHeight="1" outlineLevel="3">
      <c r="E138" s="452" t="s">
        <v>447</v>
      </c>
      <c r="F138" s="452" t="s">
        <v>606</v>
      </c>
      <c r="G138" s="452" t="s">
        <v>747</v>
      </c>
      <c r="H138" s="452" t="s">
        <v>784</v>
      </c>
      <c r="I138" s="452" t="s">
        <v>785</v>
      </c>
      <c r="J138" s="453">
        <v>99000</v>
      </c>
      <c r="K138" s="453" t="s">
        <v>621</v>
      </c>
      <c r="L138" s="454" t="s">
        <v>1618</v>
      </c>
      <c r="M138" s="455">
        <v>953.02</v>
      </c>
      <c r="N138" s="456"/>
      <c r="O138" s="393"/>
    </row>
    <row r="139" spans="5:15" s="428" customFormat="1" ht="14.1" customHeight="1" outlineLevel="2">
      <c r="E139" s="456"/>
      <c r="F139" s="456"/>
      <c r="G139" s="456"/>
      <c r="H139" s="456"/>
      <c r="I139" s="456"/>
      <c r="J139" s="456"/>
      <c r="K139" s="456"/>
      <c r="L139" s="456"/>
      <c r="M139" s="455" t="s">
        <v>863</v>
      </c>
      <c r="N139" s="455">
        <v>953.02</v>
      </c>
      <c r="O139" s="393"/>
    </row>
    <row r="140" spans="5:15" s="428" customFormat="1" ht="14.1" customHeight="1" outlineLevel="2">
      <c r="E140" s="456"/>
      <c r="F140" s="456"/>
      <c r="G140" s="456"/>
      <c r="H140" s="456"/>
      <c r="I140" s="456"/>
      <c r="J140" s="456"/>
      <c r="K140" s="456"/>
      <c r="L140" s="456"/>
      <c r="M140" s="455" t="s">
        <v>1055</v>
      </c>
      <c r="N140" s="455">
        <v>953.02</v>
      </c>
      <c r="O140" s="393"/>
    </row>
    <row r="141" spans="5:15" s="428" customFormat="1" ht="14.1" customHeight="1" outlineLevel="4">
      <c r="E141" s="452" t="s">
        <v>447</v>
      </c>
      <c r="F141" s="452" t="s">
        <v>606</v>
      </c>
      <c r="G141" s="452" t="s">
        <v>792</v>
      </c>
      <c r="H141" s="452" t="s">
        <v>797</v>
      </c>
      <c r="I141" s="452" t="s">
        <v>794</v>
      </c>
      <c r="J141" s="453">
        <v>99000</v>
      </c>
      <c r="K141" s="453" t="s">
        <v>675</v>
      </c>
      <c r="L141" s="454" t="s">
        <v>1619</v>
      </c>
      <c r="M141" s="455">
        <v>115801</v>
      </c>
      <c r="N141" s="456"/>
      <c r="O141" s="393"/>
    </row>
    <row r="142" spans="5:15" s="428" customFormat="1" ht="14.1" customHeight="1" outlineLevel="3">
      <c r="E142" s="452" t="s">
        <v>447</v>
      </c>
      <c r="F142" s="452" t="s">
        <v>606</v>
      </c>
      <c r="G142" s="452" t="s">
        <v>792</v>
      </c>
      <c r="H142" s="452" t="s">
        <v>793</v>
      </c>
      <c r="I142" s="452" t="s">
        <v>794</v>
      </c>
      <c r="J142" s="453">
        <v>99000</v>
      </c>
      <c r="K142" s="453" t="s">
        <v>675</v>
      </c>
      <c r="L142" s="454" t="s">
        <v>1619</v>
      </c>
      <c r="M142" s="455">
        <v>7535.6</v>
      </c>
      <c r="N142" s="456"/>
      <c r="O142" s="393"/>
    </row>
    <row r="143" spans="5:15" s="428" customFormat="1" ht="14.1" customHeight="1" outlineLevel="2">
      <c r="E143" s="452" t="s">
        <v>447</v>
      </c>
      <c r="F143" s="452" t="s">
        <v>606</v>
      </c>
      <c r="G143" s="452" t="s">
        <v>792</v>
      </c>
      <c r="H143" s="452" t="s">
        <v>795</v>
      </c>
      <c r="I143" s="452" t="s">
        <v>794</v>
      </c>
      <c r="J143" s="453">
        <v>99000</v>
      </c>
      <c r="K143" s="453" t="s">
        <v>675</v>
      </c>
      <c r="L143" s="454" t="s">
        <v>1619</v>
      </c>
      <c r="M143" s="455">
        <v>107223.2</v>
      </c>
      <c r="N143" s="456"/>
      <c r="O143" s="393"/>
    </row>
    <row r="144" spans="5:15" s="428" customFormat="1" ht="14.1" customHeight="1" outlineLevel="4">
      <c r="E144" s="452" t="s">
        <v>447</v>
      </c>
      <c r="F144" s="452" t="s">
        <v>606</v>
      </c>
      <c r="G144" s="452" t="s">
        <v>792</v>
      </c>
      <c r="H144" s="452" t="s">
        <v>798</v>
      </c>
      <c r="I144" s="452" t="s">
        <v>794</v>
      </c>
      <c r="J144" s="453">
        <v>99000</v>
      </c>
      <c r="K144" s="453" t="s">
        <v>675</v>
      </c>
      <c r="L144" s="454" t="s">
        <v>1619</v>
      </c>
      <c r="M144" s="455">
        <v>329902.3</v>
      </c>
      <c r="N144" s="456"/>
      <c r="O144" s="393"/>
    </row>
    <row r="145" spans="5:15" s="428" customFormat="1" ht="14.1" customHeight="1" outlineLevel="4">
      <c r="E145" s="452" t="s">
        <v>447</v>
      </c>
      <c r="F145" s="452" t="s">
        <v>606</v>
      </c>
      <c r="G145" s="452" t="s">
        <v>634</v>
      </c>
      <c r="H145" s="452" t="s">
        <v>788</v>
      </c>
      <c r="I145" s="452" t="s">
        <v>789</v>
      </c>
      <c r="J145" s="453">
        <v>99000</v>
      </c>
      <c r="K145" s="453" t="s">
        <v>675</v>
      </c>
      <c r="L145" s="454" t="s">
        <v>1619</v>
      </c>
      <c r="M145" s="455">
        <v>250000</v>
      </c>
      <c r="N145" s="456"/>
      <c r="O145" s="393"/>
    </row>
    <row r="146" spans="5:15" s="428" customFormat="1" ht="14.1" customHeight="1" outlineLevel="4">
      <c r="E146" s="452" t="s">
        <v>447</v>
      </c>
      <c r="F146" s="452" t="s">
        <v>606</v>
      </c>
      <c r="G146" s="452" t="s">
        <v>792</v>
      </c>
      <c r="H146" s="452" t="s">
        <v>793</v>
      </c>
      <c r="I146" s="452" t="s">
        <v>794</v>
      </c>
      <c r="J146" s="453">
        <v>99000</v>
      </c>
      <c r="K146" s="453" t="s">
        <v>675</v>
      </c>
      <c r="L146" s="454" t="s">
        <v>1619</v>
      </c>
      <c r="M146" s="455">
        <v>16543</v>
      </c>
      <c r="N146" s="456"/>
      <c r="O146" s="393"/>
    </row>
    <row r="147" spans="5:15" s="428" customFormat="1" ht="14.1" customHeight="1" outlineLevel="4">
      <c r="E147" s="452" t="s">
        <v>447</v>
      </c>
      <c r="F147" s="452" t="s">
        <v>606</v>
      </c>
      <c r="G147" s="452" t="s">
        <v>792</v>
      </c>
      <c r="H147" s="452" t="s">
        <v>797</v>
      </c>
      <c r="I147" s="452" t="s">
        <v>794</v>
      </c>
      <c r="J147" s="453">
        <v>99000</v>
      </c>
      <c r="K147" s="453" t="s">
        <v>675</v>
      </c>
      <c r="L147" s="454" t="s">
        <v>1619</v>
      </c>
      <c r="M147" s="455">
        <v>52749.2</v>
      </c>
      <c r="N147" s="456"/>
      <c r="O147" s="393"/>
    </row>
    <row r="148" spans="5:15" s="428" customFormat="1" ht="14.1" customHeight="1" outlineLevel="4">
      <c r="E148" s="456"/>
      <c r="F148" s="456"/>
      <c r="G148" s="456"/>
      <c r="H148" s="456"/>
      <c r="I148" s="456"/>
      <c r="J148" s="456"/>
      <c r="K148" s="456"/>
      <c r="L148" s="456"/>
      <c r="M148" s="456"/>
      <c r="N148" s="456"/>
      <c r="O148" s="393"/>
    </row>
    <row r="149" spans="5:15" s="428" customFormat="1" ht="14.1" customHeight="1" outlineLevel="4">
      <c r="E149" s="452" t="s">
        <v>447</v>
      </c>
      <c r="F149" s="452" t="s">
        <v>606</v>
      </c>
      <c r="G149" s="452" t="s">
        <v>792</v>
      </c>
      <c r="H149" s="452" t="s">
        <v>796</v>
      </c>
      <c r="I149" s="452" t="s">
        <v>794</v>
      </c>
      <c r="J149" s="453">
        <v>99000</v>
      </c>
      <c r="K149" s="453" t="s">
        <v>675</v>
      </c>
      <c r="L149" s="454" t="s">
        <v>1619</v>
      </c>
      <c r="M149" s="455">
        <v>188515.6</v>
      </c>
      <c r="N149" s="456"/>
      <c r="O149" s="393"/>
    </row>
    <row r="150" spans="5:15" s="428" customFormat="1" ht="14.1" customHeight="1" outlineLevel="4">
      <c r="E150" s="452" t="s">
        <v>447</v>
      </c>
      <c r="F150" s="452" t="s">
        <v>606</v>
      </c>
      <c r="G150" s="452" t="s">
        <v>792</v>
      </c>
      <c r="H150" s="452" t="s">
        <v>793</v>
      </c>
      <c r="I150" s="452" t="s">
        <v>794</v>
      </c>
      <c r="J150" s="453">
        <v>99000</v>
      </c>
      <c r="K150" s="453" t="s">
        <v>675</v>
      </c>
      <c r="L150" s="454" t="s">
        <v>1619</v>
      </c>
      <c r="M150" s="455">
        <v>15326.6</v>
      </c>
      <c r="N150" s="456"/>
      <c r="O150" s="393"/>
    </row>
    <row r="151" spans="5:15" s="428" customFormat="1" ht="14.1" customHeight="1" outlineLevel="4">
      <c r="E151" s="452" t="s">
        <v>447</v>
      </c>
      <c r="F151" s="452" t="s">
        <v>606</v>
      </c>
      <c r="G151" s="452" t="s">
        <v>699</v>
      </c>
      <c r="H151" s="452" t="s">
        <v>790</v>
      </c>
      <c r="I151" s="452" t="s">
        <v>791</v>
      </c>
      <c r="J151" s="453">
        <v>99000</v>
      </c>
      <c r="K151" s="453" t="s">
        <v>675</v>
      </c>
      <c r="L151" s="454" t="s">
        <v>1619</v>
      </c>
      <c r="M151" s="455">
        <v>62060.03</v>
      </c>
      <c r="N151" s="456"/>
      <c r="O151" s="393"/>
    </row>
    <row r="152" spans="5:15" s="428" customFormat="1" ht="14.1" customHeight="1" outlineLevel="4">
      <c r="E152" s="452" t="s">
        <v>447</v>
      </c>
      <c r="F152" s="452" t="s">
        <v>606</v>
      </c>
      <c r="G152" s="452" t="s">
        <v>634</v>
      </c>
      <c r="H152" s="452" t="s">
        <v>786</v>
      </c>
      <c r="I152" s="452" t="s">
        <v>787</v>
      </c>
      <c r="J152" s="453">
        <v>99000</v>
      </c>
      <c r="K152" s="453" t="s">
        <v>675</v>
      </c>
      <c r="L152" s="454" t="s">
        <v>1619</v>
      </c>
      <c r="M152" s="455">
        <v>-26120.07</v>
      </c>
      <c r="N152" s="456"/>
      <c r="O152" s="393"/>
    </row>
    <row r="153" spans="5:15" s="428" customFormat="1" ht="14.1" customHeight="1" outlineLevel="4">
      <c r="E153" s="452" t="s">
        <v>447</v>
      </c>
      <c r="F153" s="452" t="s">
        <v>606</v>
      </c>
      <c r="G153" s="452" t="s">
        <v>634</v>
      </c>
      <c r="H153" s="452" t="s">
        <v>786</v>
      </c>
      <c r="I153" s="452" t="s">
        <v>787</v>
      </c>
      <c r="J153" s="453">
        <v>99000</v>
      </c>
      <c r="K153" s="453" t="s">
        <v>675</v>
      </c>
      <c r="L153" s="454" t="s">
        <v>1619</v>
      </c>
      <c r="M153" s="455">
        <v>-24767.55</v>
      </c>
      <c r="N153" s="456"/>
      <c r="O153" s="393"/>
    </row>
    <row r="154" spans="5:15" s="428" customFormat="1" ht="14.1" customHeight="1" outlineLevel="4">
      <c r="E154" s="452" t="s">
        <v>447</v>
      </c>
      <c r="F154" s="452" t="s">
        <v>606</v>
      </c>
      <c r="G154" s="452" t="s">
        <v>634</v>
      </c>
      <c r="H154" s="452" t="s">
        <v>786</v>
      </c>
      <c r="I154" s="452" t="s">
        <v>787</v>
      </c>
      <c r="J154" s="453">
        <v>99000</v>
      </c>
      <c r="K154" s="453" t="s">
        <v>675</v>
      </c>
      <c r="L154" s="454" t="s">
        <v>1619</v>
      </c>
      <c r="M154" s="455">
        <v>-28671.86</v>
      </c>
      <c r="N154" s="456"/>
      <c r="O154" s="393"/>
    </row>
    <row r="155" spans="5:15" s="428" customFormat="1" ht="14.1" customHeight="1" outlineLevel="4">
      <c r="E155" s="452" t="s">
        <v>447</v>
      </c>
      <c r="F155" s="452" t="s">
        <v>606</v>
      </c>
      <c r="G155" s="452" t="s">
        <v>634</v>
      </c>
      <c r="H155" s="452" t="s">
        <v>786</v>
      </c>
      <c r="I155" s="452" t="s">
        <v>787</v>
      </c>
      <c r="J155" s="453">
        <v>99000</v>
      </c>
      <c r="K155" s="453" t="s">
        <v>675</v>
      </c>
      <c r="L155" s="454" t="s">
        <v>1619</v>
      </c>
      <c r="M155" s="455">
        <v>-22604.87</v>
      </c>
      <c r="N155" s="456"/>
      <c r="O155" s="393"/>
    </row>
    <row r="156" spans="5:15" s="428" customFormat="1" ht="14.1" customHeight="1" outlineLevel="4">
      <c r="E156" s="452" t="s">
        <v>447</v>
      </c>
      <c r="F156" s="452" t="s">
        <v>606</v>
      </c>
      <c r="G156" s="452" t="s">
        <v>634</v>
      </c>
      <c r="H156" s="452" t="s">
        <v>786</v>
      </c>
      <c r="I156" s="452" t="s">
        <v>787</v>
      </c>
      <c r="J156" s="453">
        <v>99000</v>
      </c>
      <c r="K156" s="453" t="s">
        <v>675</v>
      </c>
      <c r="L156" s="454" t="s">
        <v>1619</v>
      </c>
      <c r="M156" s="455">
        <v>-183010.45</v>
      </c>
      <c r="N156" s="456"/>
      <c r="O156" s="393"/>
    </row>
    <row r="157" spans="5:15" s="428" customFormat="1" ht="14.1" customHeight="1" outlineLevel="4">
      <c r="E157" s="452" t="s">
        <v>447</v>
      </c>
      <c r="F157" s="452" t="s">
        <v>606</v>
      </c>
      <c r="G157" s="452" t="s">
        <v>634</v>
      </c>
      <c r="H157" s="452" t="s">
        <v>786</v>
      </c>
      <c r="I157" s="452" t="s">
        <v>787</v>
      </c>
      <c r="J157" s="453">
        <v>99000</v>
      </c>
      <c r="K157" s="453" t="s">
        <v>675</v>
      </c>
      <c r="L157" s="454" t="s">
        <v>1619</v>
      </c>
      <c r="M157" s="455">
        <v>-62060.03</v>
      </c>
      <c r="N157" s="456"/>
      <c r="O157" s="393"/>
    </row>
    <row r="158" spans="5:15" s="428" customFormat="1" ht="14.1" customHeight="1" outlineLevel="4">
      <c r="E158" s="452" t="s">
        <v>447</v>
      </c>
      <c r="F158" s="452" t="s">
        <v>606</v>
      </c>
      <c r="G158" s="452" t="s">
        <v>792</v>
      </c>
      <c r="H158" s="452" t="s">
        <v>793</v>
      </c>
      <c r="I158" s="452" t="s">
        <v>794</v>
      </c>
      <c r="J158" s="453">
        <v>99000</v>
      </c>
      <c r="K158" s="453" t="s">
        <v>675</v>
      </c>
      <c r="L158" s="454" t="s">
        <v>1619</v>
      </c>
      <c r="M158" s="455">
        <v>74059.7</v>
      </c>
      <c r="N158" s="456"/>
      <c r="O158" s="393"/>
    </row>
    <row r="159" spans="5:15" s="428" customFormat="1" ht="14.1" customHeight="1" outlineLevel="4">
      <c r="E159" s="452" t="s">
        <v>447</v>
      </c>
      <c r="F159" s="452" t="s">
        <v>606</v>
      </c>
      <c r="G159" s="452" t="s">
        <v>634</v>
      </c>
      <c r="H159" s="452" t="s">
        <v>786</v>
      </c>
      <c r="I159" s="452" t="s">
        <v>787</v>
      </c>
      <c r="J159" s="453">
        <v>99000</v>
      </c>
      <c r="K159" s="453" t="s">
        <v>675</v>
      </c>
      <c r="L159" s="454" t="s">
        <v>1619</v>
      </c>
      <c r="M159" s="455">
        <v>-135431.96</v>
      </c>
      <c r="N159" s="456"/>
      <c r="O159" s="393"/>
    </row>
    <row r="160" spans="5:15" s="428" customFormat="1" ht="14.1" customHeight="1" outlineLevel="4">
      <c r="E160" s="456"/>
      <c r="F160" s="456"/>
      <c r="G160" s="456"/>
      <c r="H160" s="456"/>
      <c r="I160" s="456"/>
      <c r="J160" s="456"/>
      <c r="K160" s="456"/>
      <c r="L160" s="456"/>
      <c r="M160" s="455" t="s">
        <v>863</v>
      </c>
      <c r="N160" s="455">
        <v>737049.44</v>
      </c>
      <c r="O160" s="393"/>
    </row>
    <row r="161" spans="5:15" s="428" customFormat="1" ht="14.1" customHeight="1" outlineLevel="4">
      <c r="E161" s="452" t="s">
        <v>447</v>
      </c>
      <c r="F161" s="452" t="s">
        <v>606</v>
      </c>
      <c r="G161" s="452" t="s">
        <v>634</v>
      </c>
      <c r="H161" s="452" t="s">
        <v>799</v>
      </c>
      <c r="I161" s="452" t="s">
        <v>634</v>
      </c>
      <c r="J161" s="453">
        <v>99000</v>
      </c>
      <c r="K161" s="453" t="s">
        <v>644</v>
      </c>
      <c r="L161" s="454" t="s">
        <v>1619</v>
      </c>
      <c r="M161" s="455">
        <v>218114</v>
      </c>
      <c r="N161" s="456"/>
      <c r="O161" s="393"/>
    </row>
    <row r="162" spans="5:15" s="428" customFormat="1" ht="14.1" customHeight="1" outlineLevel="3">
      <c r="E162" s="456"/>
      <c r="F162" s="456"/>
      <c r="G162" s="456"/>
      <c r="H162" s="456"/>
      <c r="I162" s="456"/>
      <c r="J162" s="456"/>
      <c r="K162" s="456"/>
      <c r="L162" s="456"/>
      <c r="M162" s="455" t="s">
        <v>863</v>
      </c>
      <c r="N162" s="455">
        <v>218114</v>
      </c>
      <c r="O162" s="393"/>
    </row>
    <row r="163" spans="5:15" s="428" customFormat="1" ht="14.1" customHeight="1" outlineLevel="4">
      <c r="E163" s="452" t="s">
        <v>447</v>
      </c>
      <c r="F163" s="452" t="s">
        <v>606</v>
      </c>
      <c r="G163" s="452" t="s">
        <v>611</v>
      </c>
      <c r="H163" s="452" t="s">
        <v>800</v>
      </c>
      <c r="I163" s="452" t="s">
        <v>801</v>
      </c>
      <c r="J163" s="453">
        <v>90000</v>
      </c>
      <c r="K163" s="453" t="s">
        <v>610</v>
      </c>
      <c r="L163" s="454" t="s">
        <v>1619</v>
      </c>
      <c r="M163" s="455">
        <v>315565.77</v>
      </c>
      <c r="N163" s="456"/>
      <c r="O163" s="393"/>
    </row>
    <row r="164" spans="5:15" s="428" customFormat="1" ht="14.1" customHeight="1" outlineLevel="3">
      <c r="E164" s="452" t="s">
        <v>447</v>
      </c>
      <c r="F164" s="452" t="s">
        <v>606</v>
      </c>
      <c r="G164" s="452" t="s">
        <v>611</v>
      </c>
      <c r="H164" s="452" t="s">
        <v>802</v>
      </c>
      <c r="I164" s="452" t="s">
        <v>803</v>
      </c>
      <c r="J164" s="453">
        <v>90000</v>
      </c>
      <c r="K164" s="453" t="s">
        <v>610</v>
      </c>
      <c r="L164" s="454" t="s">
        <v>1619</v>
      </c>
      <c r="M164" s="455">
        <v>7000</v>
      </c>
      <c r="N164" s="456"/>
      <c r="O164" s="393"/>
    </row>
    <row r="165" spans="5:15" s="428" customFormat="1" ht="14.1" customHeight="1" outlineLevel="4">
      <c r="E165" s="456"/>
      <c r="F165" s="456"/>
      <c r="G165" s="456"/>
      <c r="H165" s="456"/>
      <c r="I165" s="456"/>
      <c r="J165" s="456"/>
      <c r="K165" s="456"/>
      <c r="L165" s="456"/>
      <c r="M165" s="455" t="s">
        <v>863</v>
      </c>
      <c r="N165" s="455">
        <v>322565.77</v>
      </c>
      <c r="O165" s="393"/>
    </row>
    <row r="166" spans="5:15" s="428" customFormat="1" ht="14.1" customHeight="1" outlineLevel="4">
      <c r="E166" s="452" t="s">
        <v>447</v>
      </c>
      <c r="F166" s="452" t="s">
        <v>606</v>
      </c>
      <c r="G166" s="452" t="s">
        <v>611</v>
      </c>
      <c r="H166" s="452">
        <v>10319831</v>
      </c>
      <c r="I166" s="452" t="s">
        <v>616</v>
      </c>
      <c r="J166" s="453">
        <v>99000</v>
      </c>
      <c r="K166" s="453" t="s">
        <v>617</v>
      </c>
      <c r="L166" s="454" t="s">
        <v>1619</v>
      </c>
      <c r="M166" s="455">
        <v>2585.04</v>
      </c>
      <c r="N166" s="456"/>
      <c r="O166" s="393"/>
    </row>
    <row r="167" spans="5:15" s="428" customFormat="1" ht="14.1" customHeight="1" outlineLevel="3">
      <c r="E167" s="456"/>
      <c r="F167" s="456"/>
      <c r="G167" s="456"/>
      <c r="H167" s="456"/>
      <c r="I167" s="456"/>
      <c r="J167" s="456"/>
      <c r="K167" s="456"/>
      <c r="L167" s="456"/>
      <c r="M167" s="455" t="s">
        <v>863</v>
      </c>
      <c r="N167" s="455">
        <v>2585.04</v>
      </c>
      <c r="O167" s="393"/>
    </row>
    <row r="168" spans="5:15" s="428" customFormat="1" ht="14.1" customHeight="1" outlineLevel="4">
      <c r="E168" s="452" t="s">
        <v>447</v>
      </c>
      <c r="F168" s="452" t="s">
        <v>606</v>
      </c>
      <c r="G168" s="452" t="s">
        <v>680</v>
      </c>
      <c r="H168" s="452" t="s">
        <v>804</v>
      </c>
      <c r="I168" s="452" t="s">
        <v>805</v>
      </c>
      <c r="J168" s="453">
        <v>10100</v>
      </c>
      <c r="K168" s="453" t="s">
        <v>633</v>
      </c>
      <c r="L168" s="454" t="s">
        <v>1619</v>
      </c>
      <c r="M168" s="455">
        <v>1632000</v>
      </c>
      <c r="N168" s="456"/>
      <c r="O168" s="393"/>
    </row>
    <row r="169" spans="5:15" s="428" customFormat="1" ht="14.1" customHeight="1" outlineLevel="3">
      <c r="E169" s="456"/>
      <c r="F169" s="456"/>
      <c r="G169" s="456"/>
      <c r="H169" s="456"/>
      <c r="I169" s="456"/>
      <c r="J169" s="456"/>
      <c r="K169" s="456"/>
      <c r="L169" s="456"/>
      <c r="M169" s="455" t="s">
        <v>863</v>
      </c>
      <c r="N169" s="455">
        <v>1632000</v>
      </c>
      <c r="O169" s="393"/>
    </row>
    <row r="170" spans="5:15" s="428" customFormat="1" ht="14.1" customHeight="1" outlineLevel="4">
      <c r="E170" s="452" t="s">
        <v>447</v>
      </c>
      <c r="F170" s="452" t="s">
        <v>606</v>
      </c>
      <c r="G170" s="452" t="s">
        <v>699</v>
      </c>
      <c r="H170" s="452" t="s">
        <v>813</v>
      </c>
      <c r="I170" s="452" t="s">
        <v>791</v>
      </c>
      <c r="J170" s="453">
        <v>99000</v>
      </c>
      <c r="K170" s="453" t="s">
        <v>732</v>
      </c>
      <c r="L170" s="454" t="s">
        <v>1619</v>
      </c>
      <c r="M170" s="455">
        <v>56199.77</v>
      </c>
      <c r="N170" s="456"/>
      <c r="O170" s="393"/>
    </row>
    <row r="171" spans="5:15" s="428" customFormat="1" ht="14.1" customHeight="1" outlineLevel="3">
      <c r="E171" s="452" t="s">
        <v>447</v>
      </c>
      <c r="F171" s="452" t="s">
        <v>606</v>
      </c>
      <c r="G171" s="452" t="s">
        <v>699</v>
      </c>
      <c r="H171" s="452" t="s">
        <v>808</v>
      </c>
      <c r="I171" s="452" t="s">
        <v>809</v>
      </c>
      <c r="J171" s="453">
        <v>99000</v>
      </c>
      <c r="K171" s="453" t="s">
        <v>732</v>
      </c>
      <c r="L171" s="454" t="s">
        <v>1619</v>
      </c>
      <c r="M171" s="455">
        <v>3440.53</v>
      </c>
      <c r="N171" s="456"/>
      <c r="O171" s="393"/>
    </row>
    <row r="172" spans="5:15" s="428" customFormat="1" ht="14.1" customHeight="1" outlineLevel="4">
      <c r="E172" s="452" t="s">
        <v>447</v>
      </c>
      <c r="F172" s="452" t="s">
        <v>606</v>
      </c>
      <c r="G172" s="452" t="s">
        <v>810</v>
      </c>
      <c r="H172" s="452" t="s">
        <v>811</v>
      </c>
      <c r="I172" s="452" t="s">
        <v>812</v>
      </c>
      <c r="J172" s="453">
        <v>99000</v>
      </c>
      <c r="K172" s="453" t="s">
        <v>732</v>
      </c>
      <c r="L172" s="454" t="s">
        <v>1619</v>
      </c>
      <c r="M172" s="455">
        <v>100</v>
      </c>
      <c r="N172" s="456"/>
      <c r="O172" s="393"/>
    </row>
    <row r="173" spans="5:15" s="428" customFormat="1" ht="14.1" customHeight="1" outlineLevel="4">
      <c r="E173" s="452" t="s">
        <v>447</v>
      </c>
      <c r="F173" s="452" t="s">
        <v>606</v>
      </c>
      <c r="G173" s="452" t="s">
        <v>699</v>
      </c>
      <c r="H173" s="452" t="s">
        <v>806</v>
      </c>
      <c r="I173" s="452" t="s">
        <v>807</v>
      </c>
      <c r="J173" s="453">
        <v>99000</v>
      </c>
      <c r="K173" s="453" t="s">
        <v>732</v>
      </c>
      <c r="L173" s="454" t="s">
        <v>1619</v>
      </c>
      <c r="M173" s="455">
        <v>6680.84</v>
      </c>
      <c r="N173" s="456"/>
      <c r="O173" s="393"/>
    </row>
    <row r="174" spans="5:15" s="428" customFormat="1" ht="14.1" customHeight="1" outlineLevel="4">
      <c r="E174" s="456"/>
      <c r="F174" s="456"/>
      <c r="G174" s="456"/>
      <c r="H174" s="456"/>
      <c r="I174" s="456"/>
      <c r="J174" s="456"/>
      <c r="K174" s="456"/>
      <c r="L174" s="456"/>
      <c r="M174" s="455" t="s">
        <v>863</v>
      </c>
      <c r="N174" s="455">
        <v>66421.14</v>
      </c>
      <c r="O174" s="393"/>
    </row>
    <row r="175" spans="5:15" s="428" customFormat="1" ht="14.1" customHeight="1" outlineLevel="4">
      <c r="E175" s="452" t="s">
        <v>447</v>
      </c>
      <c r="F175" s="452" t="s">
        <v>606</v>
      </c>
      <c r="G175" s="452" t="s">
        <v>634</v>
      </c>
      <c r="H175" s="452" t="s">
        <v>814</v>
      </c>
      <c r="I175" s="452" t="s">
        <v>815</v>
      </c>
      <c r="J175" s="453">
        <v>90000</v>
      </c>
      <c r="K175" s="453" t="s">
        <v>654</v>
      </c>
      <c r="L175" s="454" t="s">
        <v>1619</v>
      </c>
      <c r="M175" s="455">
        <v>-1531632</v>
      </c>
      <c r="N175" s="456"/>
      <c r="O175" s="393"/>
    </row>
    <row r="176" spans="5:15" s="428" customFormat="1" ht="14.1" customHeight="1" outlineLevel="3">
      <c r="E176" s="456"/>
      <c r="F176" s="456"/>
      <c r="G176" s="456"/>
      <c r="H176" s="456"/>
      <c r="I176" s="456"/>
      <c r="J176" s="456"/>
      <c r="K176" s="456"/>
      <c r="L176" s="456"/>
      <c r="M176" s="455" t="s">
        <v>863</v>
      </c>
      <c r="N176" s="455">
        <v>-1531632</v>
      </c>
      <c r="O176" s="393"/>
    </row>
    <row r="177" spans="5:15" s="428" customFormat="1" ht="14.1" customHeight="1" outlineLevel="4">
      <c r="E177" s="452" t="s">
        <v>447</v>
      </c>
      <c r="F177" s="452" t="s">
        <v>606</v>
      </c>
      <c r="G177" s="452" t="s">
        <v>634</v>
      </c>
      <c r="H177" s="452" t="s">
        <v>786</v>
      </c>
      <c r="I177" s="452" t="s">
        <v>787</v>
      </c>
      <c r="J177" s="453">
        <v>90000</v>
      </c>
      <c r="K177" s="453" t="s">
        <v>703</v>
      </c>
      <c r="L177" s="454" t="s">
        <v>1619</v>
      </c>
      <c r="M177" s="455">
        <v>-78641.11</v>
      </c>
      <c r="N177" s="456"/>
      <c r="O177" s="393"/>
    </row>
    <row r="178" spans="5:15" s="428" customFormat="1" ht="14.1" customHeight="1" outlineLevel="3">
      <c r="E178" s="452" t="s">
        <v>447</v>
      </c>
      <c r="F178" s="452" t="s">
        <v>606</v>
      </c>
      <c r="G178" s="452" t="s">
        <v>816</v>
      </c>
      <c r="H178" s="452">
        <v>990701</v>
      </c>
      <c r="I178" s="452" t="s">
        <v>817</v>
      </c>
      <c r="J178" s="453">
        <v>10200</v>
      </c>
      <c r="K178" s="453" t="s">
        <v>703</v>
      </c>
      <c r="L178" s="454" t="s">
        <v>1619</v>
      </c>
      <c r="M178" s="455">
        <v>500000</v>
      </c>
      <c r="N178" s="456"/>
      <c r="O178" s="393"/>
    </row>
    <row r="179" spans="5:15" s="428" customFormat="1" ht="14.1" customHeight="1" outlineLevel="4">
      <c r="E179" s="456"/>
      <c r="F179" s="456"/>
      <c r="G179" s="456"/>
      <c r="H179" s="456"/>
      <c r="I179" s="456"/>
      <c r="J179" s="456"/>
      <c r="K179" s="456"/>
      <c r="L179" s="456"/>
      <c r="M179" s="455" t="s">
        <v>863</v>
      </c>
      <c r="N179" s="455">
        <v>421358.89</v>
      </c>
      <c r="O179" s="393"/>
    </row>
    <row r="180" spans="5:15" s="428" customFormat="1" ht="14.1" customHeight="1" outlineLevel="4">
      <c r="E180" s="452" t="s">
        <v>447</v>
      </c>
      <c r="F180" s="452" t="s">
        <v>606</v>
      </c>
      <c r="G180" s="452" t="s">
        <v>628</v>
      </c>
      <c r="H180" s="452" t="s">
        <v>824</v>
      </c>
      <c r="I180" s="452" t="s">
        <v>832</v>
      </c>
      <c r="J180" s="453">
        <v>99000</v>
      </c>
      <c r="K180" s="453" t="s">
        <v>621</v>
      </c>
      <c r="L180" s="454" t="s">
        <v>1619</v>
      </c>
      <c r="M180" s="455">
        <v>2182.8000000000002</v>
      </c>
      <c r="N180" s="456"/>
      <c r="O180" s="393"/>
    </row>
    <row r="181" spans="5:15" s="428" customFormat="1" ht="14.1" customHeight="1" outlineLevel="3">
      <c r="E181" s="452" t="s">
        <v>447</v>
      </c>
      <c r="F181" s="452" t="s">
        <v>606</v>
      </c>
      <c r="G181" s="452" t="s">
        <v>628</v>
      </c>
      <c r="H181" s="452" t="s">
        <v>828</v>
      </c>
      <c r="I181" s="452" t="s">
        <v>833</v>
      </c>
      <c r="J181" s="453">
        <v>99000</v>
      </c>
      <c r="K181" s="453" t="s">
        <v>621</v>
      </c>
      <c r="L181" s="454" t="s">
        <v>1619</v>
      </c>
      <c r="M181" s="455">
        <v>978.73</v>
      </c>
      <c r="N181" s="456"/>
      <c r="O181" s="393"/>
    </row>
    <row r="182" spans="5:15" s="428" customFormat="1" ht="14.1" customHeight="1" outlineLevel="4">
      <c r="E182" s="452" t="s">
        <v>447</v>
      </c>
      <c r="F182" s="452" t="s">
        <v>606</v>
      </c>
      <c r="G182" s="452" t="s">
        <v>704</v>
      </c>
      <c r="H182" s="452" t="s">
        <v>830</v>
      </c>
      <c r="I182" s="452" t="s">
        <v>831</v>
      </c>
      <c r="J182" s="453">
        <v>99000</v>
      </c>
      <c r="K182" s="453" t="s">
        <v>621</v>
      </c>
      <c r="L182" s="454" t="s">
        <v>1619</v>
      </c>
      <c r="M182" s="455">
        <v>1117.25</v>
      </c>
      <c r="N182" s="456"/>
      <c r="O182" s="393"/>
    </row>
    <row r="183" spans="5:15" s="428" customFormat="1" ht="14.1" customHeight="1" outlineLevel="4">
      <c r="E183" s="452" t="s">
        <v>447</v>
      </c>
      <c r="F183" s="452" t="s">
        <v>606</v>
      </c>
      <c r="G183" s="452" t="s">
        <v>742</v>
      </c>
      <c r="H183" s="452" t="s">
        <v>825</v>
      </c>
      <c r="I183" s="452" t="s">
        <v>829</v>
      </c>
      <c r="J183" s="453">
        <v>99000</v>
      </c>
      <c r="K183" s="453" t="s">
        <v>621</v>
      </c>
      <c r="L183" s="454" t="s">
        <v>1619</v>
      </c>
      <c r="M183" s="455">
        <v>1157.17</v>
      </c>
      <c r="N183" s="456"/>
      <c r="O183" s="393"/>
    </row>
    <row r="184" spans="5:15" s="428" customFormat="1" ht="14.1" customHeight="1" outlineLevel="4">
      <c r="E184" s="452" t="s">
        <v>447</v>
      </c>
      <c r="F184" s="452" t="s">
        <v>606</v>
      </c>
      <c r="G184" s="452" t="s">
        <v>821</v>
      </c>
      <c r="H184" s="452" t="s">
        <v>822</v>
      </c>
      <c r="I184" s="452" t="s">
        <v>819</v>
      </c>
      <c r="J184" s="453">
        <v>99000</v>
      </c>
      <c r="K184" s="453" t="s">
        <v>621</v>
      </c>
      <c r="L184" s="454" t="s">
        <v>1619</v>
      </c>
      <c r="M184" s="455">
        <v>5551.71</v>
      </c>
      <c r="N184" s="456"/>
      <c r="O184" s="393"/>
    </row>
    <row r="185" spans="5:15" s="428" customFormat="1" ht="14.1" customHeight="1" outlineLevel="4">
      <c r="E185" s="452" t="s">
        <v>447</v>
      </c>
      <c r="F185" s="452" t="s">
        <v>606</v>
      </c>
      <c r="G185" s="452" t="s">
        <v>821</v>
      </c>
      <c r="H185" s="452" t="s">
        <v>822</v>
      </c>
      <c r="I185" s="452" t="s">
        <v>823</v>
      </c>
      <c r="J185" s="453">
        <v>99000</v>
      </c>
      <c r="K185" s="453" t="s">
        <v>621</v>
      </c>
      <c r="L185" s="454" t="s">
        <v>1619</v>
      </c>
      <c r="M185" s="455">
        <v>34.19</v>
      </c>
      <c r="N185" s="456"/>
      <c r="O185" s="393"/>
    </row>
    <row r="186" spans="5:15" s="428" customFormat="1" ht="14.1" customHeight="1" outlineLevel="4">
      <c r="E186" s="452" t="s">
        <v>447</v>
      </c>
      <c r="F186" s="452" t="s">
        <v>606</v>
      </c>
      <c r="G186" s="452" t="s">
        <v>628</v>
      </c>
      <c r="H186" s="452" t="s">
        <v>824</v>
      </c>
      <c r="I186" s="452" t="s">
        <v>658</v>
      </c>
      <c r="J186" s="453">
        <v>99000</v>
      </c>
      <c r="K186" s="453" t="s">
        <v>621</v>
      </c>
      <c r="L186" s="454" t="s">
        <v>1619</v>
      </c>
      <c r="M186" s="455">
        <v>37.619999999999997</v>
      </c>
      <c r="N186" s="456"/>
      <c r="O186" s="393"/>
    </row>
    <row r="187" spans="5:15" s="428" customFormat="1" ht="14.1" customHeight="1" outlineLevel="4">
      <c r="E187" s="452" t="s">
        <v>447</v>
      </c>
      <c r="F187" s="452" t="s">
        <v>606</v>
      </c>
      <c r="G187" s="452" t="s">
        <v>742</v>
      </c>
      <c r="H187" s="452" t="s">
        <v>825</v>
      </c>
      <c r="I187" s="452" t="s">
        <v>658</v>
      </c>
      <c r="J187" s="453">
        <v>99000</v>
      </c>
      <c r="K187" s="453" t="s">
        <v>621</v>
      </c>
      <c r="L187" s="454" t="s">
        <v>1619</v>
      </c>
      <c r="M187" s="455">
        <v>27.79</v>
      </c>
      <c r="N187" s="456"/>
      <c r="O187" s="393"/>
    </row>
    <row r="188" spans="5:15" s="428" customFormat="1" ht="14.1" customHeight="1" outlineLevel="4">
      <c r="E188" s="452" t="s">
        <v>447</v>
      </c>
      <c r="F188" s="452" t="s">
        <v>606</v>
      </c>
      <c r="G188" s="452" t="s">
        <v>628</v>
      </c>
      <c r="H188" s="452" t="s">
        <v>828</v>
      </c>
      <c r="I188" s="452" t="s">
        <v>658</v>
      </c>
      <c r="J188" s="453">
        <v>99000</v>
      </c>
      <c r="K188" s="453" t="s">
        <v>621</v>
      </c>
      <c r="L188" s="454" t="s">
        <v>1619</v>
      </c>
      <c r="M188" s="455">
        <v>259.17</v>
      </c>
      <c r="N188" s="456"/>
      <c r="O188" s="393"/>
    </row>
    <row r="189" spans="5:15" s="428" customFormat="1" ht="14.1" customHeight="1" outlineLevel="4">
      <c r="E189" s="452" t="s">
        <v>447</v>
      </c>
      <c r="F189" s="452" t="s">
        <v>606</v>
      </c>
      <c r="G189" s="452" t="s">
        <v>821</v>
      </c>
      <c r="H189" s="452" t="s">
        <v>822</v>
      </c>
      <c r="I189" s="452" t="s">
        <v>658</v>
      </c>
      <c r="J189" s="453">
        <v>99000</v>
      </c>
      <c r="K189" s="453" t="s">
        <v>621</v>
      </c>
      <c r="L189" s="454" t="s">
        <v>1619</v>
      </c>
      <c r="M189" s="455">
        <v>170.25</v>
      </c>
      <c r="N189" s="456"/>
      <c r="O189" s="393"/>
    </row>
    <row r="190" spans="5:15" s="428" customFormat="1" ht="14.1" customHeight="1" outlineLevel="4">
      <c r="E190" s="452" t="s">
        <v>447</v>
      </c>
      <c r="F190" s="452" t="s">
        <v>606</v>
      </c>
      <c r="G190" s="452" t="s">
        <v>742</v>
      </c>
      <c r="H190" s="452" t="s">
        <v>818</v>
      </c>
      <c r="I190" s="452" t="s">
        <v>819</v>
      </c>
      <c r="J190" s="453">
        <v>99000</v>
      </c>
      <c r="K190" s="453" t="s">
        <v>621</v>
      </c>
      <c r="L190" s="454" t="s">
        <v>1619</v>
      </c>
      <c r="M190" s="455">
        <v>303.20999999999998</v>
      </c>
      <c r="N190" s="456"/>
      <c r="O190" s="393"/>
    </row>
    <row r="191" spans="5:15" s="428" customFormat="1" ht="14.1" customHeight="1" outlineLevel="4">
      <c r="E191" s="456"/>
      <c r="F191" s="456"/>
      <c r="G191" s="456"/>
      <c r="H191" s="456"/>
      <c r="I191" s="456"/>
      <c r="J191" s="456"/>
      <c r="K191" s="456"/>
      <c r="L191" s="456"/>
      <c r="M191" s="455" t="s">
        <v>863</v>
      </c>
      <c r="N191" s="455">
        <v>11819.89</v>
      </c>
      <c r="O191" s="393"/>
    </row>
    <row r="192" spans="5:15" s="428" customFormat="1" ht="14.1" customHeight="1" outlineLevel="4">
      <c r="E192" s="456"/>
      <c r="F192" s="456"/>
      <c r="G192" s="456"/>
      <c r="H192" s="456"/>
      <c r="I192" s="456"/>
      <c r="J192" s="456"/>
      <c r="K192" s="456"/>
      <c r="L192" s="456"/>
      <c r="M192" s="455" t="s">
        <v>1055</v>
      </c>
      <c r="N192" s="455">
        <v>1880282.17</v>
      </c>
      <c r="O192" s="393"/>
    </row>
    <row r="193" spans="5:15" s="428" customFormat="1" ht="14.1" customHeight="1" outlineLevel="3">
      <c r="E193" s="452" t="s">
        <v>447</v>
      </c>
      <c r="F193" s="452" t="s">
        <v>606</v>
      </c>
      <c r="G193" s="452" t="s">
        <v>651</v>
      </c>
      <c r="H193" s="452" t="s">
        <v>837</v>
      </c>
      <c r="I193" s="452" t="s">
        <v>839</v>
      </c>
      <c r="J193" s="453">
        <v>99000</v>
      </c>
      <c r="K193" s="453" t="s">
        <v>675</v>
      </c>
      <c r="L193" s="454" t="s">
        <v>1620</v>
      </c>
      <c r="M193" s="455">
        <v>20000</v>
      </c>
      <c r="N193" s="456"/>
      <c r="O193" s="393"/>
    </row>
    <row r="194" spans="5:15" s="428" customFormat="1" ht="14.1" customHeight="1" outlineLevel="2">
      <c r="E194" s="452" t="s">
        <v>447</v>
      </c>
      <c r="F194" s="452" t="s">
        <v>606</v>
      </c>
      <c r="G194" s="452" t="s">
        <v>651</v>
      </c>
      <c r="H194" s="452" t="s">
        <v>837</v>
      </c>
      <c r="I194" s="452" t="s">
        <v>838</v>
      </c>
      <c r="J194" s="453">
        <v>99000</v>
      </c>
      <c r="K194" s="453" t="s">
        <v>675</v>
      </c>
      <c r="L194" s="454" t="s">
        <v>1620</v>
      </c>
      <c r="M194" s="455">
        <v>100000</v>
      </c>
      <c r="N194" s="456"/>
      <c r="O194" s="393"/>
    </row>
    <row r="195" spans="5:15" s="428" customFormat="1" ht="14.1" customHeight="1" outlineLevel="2">
      <c r="E195" s="452" t="s">
        <v>447</v>
      </c>
      <c r="F195" s="452" t="s">
        <v>606</v>
      </c>
      <c r="G195" s="452" t="s">
        <v>834</v>
      </c>
      <c r="H195" s="452" t="s">
        <v>835</v>
      </c>
      <c r="I195" s="452" t="s">
        <v>836</v>
      </c>
      <c r="J195" s="453">
        <v>99000</v>
      </c>
      <c r="K195" s="453" t="s">
        <v>675</v>
      </c>
      <c r="L195" s="454" t="s">
        <v>1620</v>
      </c>
      <c r="M195" s="455">
        <v>278580</v>
      </c>
      <c r="N195" s="456"/>
      <c r="O195" s="393"/>
    </row>
    <row r="196" spans="5:15" s="428" customFormat="1" ht="14.1" customHeight="1" outlineLevel="4">
      <c r="E196" s="452" t="s">
        <v>447</v>
      </c>
      <c r="F196" s="452" t="s">
        <v>606</v>
      </c>
      <c r="G196" s="452" t="s">
        <v>651</v>
      </c>
      <c r="H196" s="452" t="s">
        <v>840</v>
      </c>
      <c r="I196" s="452" t="s">
        <v>841</v>
      </c>
      <c r="J196" s="453">
        <v>99000</v>
      </c>
      <c r="K196" s="453" t="s">
        <v>675</v>
      </c>
      <c r="L196" s="454" t="s">
        <v>1620</v>
      </c>
      <c r="M196" s="455">
        <v>80000</v>
      </c>
      <c r="N196" s="456"/>
      <c r="O196" s="393"/>
    </row>
    <row r="197" spans="5:15" s="428" customFormat="1" ht="14.1" customHeight="1" outlineLevel="4">
      <c r="E197" s="456"/>
      <c r="F197" s="456"/>
      <c r="G197" s="456"/>
      <c r="H197" s="456"/>
      <c r="I197" s="456"/>
      <c r="J197" s="456"/>
      <c r="K197" s="456"/>
      <c r="L197" s="456"/>
      <c r="M197" s="456"/>
      <c r="N197" s="456"/>
      <c r="O197" s="393"/>
    </row>
    <row r="198" spans="5:15" s="428" customFormat="1" ht="14.1" customHeight="1" outlineLevel="4">
      <c r="E198" s="456"/>
      <c r="F198" s="456"/>
      <c r="G198" s="456"/>
      <c r="H198" s="456"/>
      <c r="I198" s="456"/>
      <c r="J198" s="456"/>
      <c r="K198" s="456"/>
      <c r="L198" s="456"/>
      <c r="M198" s="455" t="s">
        <v>863</v>
      </c>
      <c r="N198" s="455">
        <v>478580</v>
      </c>
      <c r="O198" s="393"/>
    </row>
    <row r="199" spans="5:15" s="428" customFormat="1" ht="14.1" customHeight="1" outlineLevel="4">
      <c r="E199" s="452" t="s">
        <v>447</v>
      </c>
      <c r="F199" s="452" t="s">
        <v>606</v>
      </c>
      <c r="G199" s="452" t="s">
        <v>634</v>
      </c>
      <c r="H199" s="452" t="s">
        <v>853</v>
      </c>
      <c r="I199" s="452" t="s">
        <v>854</v>
      </c>
      <c r="J199" s="453">
        <v>90000</v>
      </c>
      <c r="K199" s="453" t="s">
        <v>610</v>
      </c>
      <c r="L199" s="454" t="s">
        <v>1620</v>
      </c>
      <c r="M199" s="455">
        <v>-149519.93</v>
      </c>
      <c r="N199" s="456"/>
      <c r="O199" s="393"/>
    </row>
    <row r="200" spans="5:15" s="428" customFormat="1" ht="14.1" customHeight="1" outlineLevel="3">
      <c r="E200" s="452" t="s">
        <v>447</v>
      </c>
      <c r="F200" s="452" t="s">
        <v>606</v>
      </c>
      <c r="G200" s="452" t="s">
        <v>634</v>
      </c>
      <c r="H200" s="452" t="s">
        <v>851</v>
      </c>
      <c r="I200" s="452" t="s">
        <v>852</v>
      </c>
      <c r="J200" s="453">
        <v>90000</v>
      </c>
      <c r="K200" s="453" t="s">
        <v>610</v>
      </c>
      <c r="L200" s="454" t="s">
        <v>1620</v>
      </c>
      <c r="M200" s="455">
        <v>-7000</v>
      </c>
      <c r="N200" s="456"/>
      <c r="O200" s="393"/>
    </row>
    <row r="201" spans="5:15" s="428" customFormat="1" ht="14.1" customHeight="1" outlineLevel="4">
      <c r="E201" s="456"/>
      <c r="F201" s="456"/>
      <c r="G201" s="456"/>
      <c r="H201" s="456"/>
      <c r="I201" s="456"/>
      <c r="J201" s="456"/>
      <c r="K201" s="456"/>
      <c r="L201" s="456"/>
      <c r="M201" s="455" t="s">
        <v>863</v>
      </c>
      <c r="N201" s="455">
        <v>-156519.93</v>
      </c>
      <c r="O201" s="393"/>
    </row>
    <row r="202" spans="5:15" s="428" customFormat="1" ht="14.1" customHeight="1" outlineLevel="4">
      <c r="E202" s="452" t="s">
        <v>447</v>
      </c>
      <c r="F202" s="452" t="s">
        <v>606</v>
      </c>
      <c r="G202" s="452" t="s">
        <v>680</v>
      </c>
      <c r="H202" s="452" t="s">
        <v>858</v>
      </c>
      <c r="I202" s="452" t="s">
        <v>682</v>
      </c>
      <c r="J202" s="453">
        <v>10100</v>
      </c>
      <c r="K202" s="453" t="s">
        <v>633</v>
      </c>
      <c r="L202" s="454" t="s">
        <v>1620</v>
      </c>
      <c r="M202" s="455">
        <v>1632000</v>
      </c>
      <c r="N202" s="456"/>
      <c r="O202" s="393"/>
    </row>
    <row r="203" spans="5:15" s="428" customFormat="1" ht="14.1" customHeight="1" outlineLevel="3">
      <c r="E203" s="452" t="s">
        <v>447</v>
      </c>
      <c r="F203" s="452" t="s">
        <v>606</v>
      </c>
      <c r="G203" s="452" t="s">
        <v>855</v>
      </c>
      <c r="H203" s="452" t="s">
        <v>856</v>
      </c>
      <c r="I203" s="452" t="s">
        <v>857</v>
      </c>
      <c r="J203" s="453">
        <v>10100</v>
      </c>
      <c r="K203" s="453" t="s">
        <v>633</v>
      </c>
      <c r="L203" s="454" t="s">
        <v>1620</v>
      </c>
      <c r="M203" s="455">
        <v>510000</v>
      </c>
      <c r="N203" s="456"/>
      <c r="O203" s="393"/>
    </row>
    <row r="204" spans="5:15" s="428" customFormat="1" ht="14.1" customHeight="1" outlineLevel="4">
      <c r="E204" s="456"/>
      <c r="F204" s="456"/>
      <c r="G204" s="456"/>
      <c r="H204" s="456"/>
      <c r="I204" s="456"/>
      <c r="J204" s="456"/>
      <c r="K204" s="456"/>
      <c r="L204" s="456"/>
      <c r="M204" s="455" t="s">
        <v>863</v>
      </c>
      <c r="N204" s="455">
        <v>2142000</v>
      </c>
      <c r="O204" s="393"/>
    </row>
    <row r="205" spans="5:15" s="428" customFormat="1" ht="14.1" customHeight="1" outlineLevel="4">
      <c r="E205" s="452" t="s">
        <v>447</v>
      </c>
      <c r="F205" s="452" t="s">
        <v>606</v>
      </c>
      <c r="G205" s="452" t="s">
        <v>699</v>
      </c>
      <c r="H205" s="452" t="s">
        <v>859</v>
      </c>
      <c r="I205" s="452" t="s">
        <v>862</v>
      </c>
      <c r="J205" s="453">
        <v>99000</v>
      </c>
      <c r="K205" s="453" t="s">
        <v>732</v>
      </c>
      <c r="L205" s="454" t="s">
        <v>1620</v>
      </c>
      <c r="M205" s="455">
        <v>97500</v>
      </c>
      <c r="N205" s="456"/>
      <c r="O205" s="393"/>
    </row>
    <row r="206" spans="5:15" s="428" customFormat="1" ht="14.1" customHeight="1" outlineLevel="3">
      <c r="E206" s="456"/>
      <c r="F206" s="456"/>
      <c r="G206" s="456"/>
      <c r="H206" s="456"/>
      <c r="I206" s="456"/>
      <c r="J206" s="456"/>
      <c r="K206" s="456"/>
      <c r="L206" s="456"/>
      <c r="M206" s="455" t="s">
        <v>863</v>
      </c>
      <c r="N206" s="455">
        <v>97500</v>
      </c>
      <c r="O206" s="393"/>
    </row>
    <row r="207" spans="5:15" s="428" customFormat="1" ht="14.1" customHeight="1" outlineLevel="4">
      <c r="E207" s="452" t="s">
        <v>447</v>
      </c>
      <c r="F207" s="452" t="s">
        <v>606</v>
      </c>
      <c r="G207" s="452" t="s">
        <v>865</v>
      </c>
      <c r="H207" s="452">
        <v>906809</v>
      </c>
      <c r="I207" s="452" t="s">
        <v>866</v>
      </c>
      <c r="J207" s="453">
        <v>99000</v>
      </c>
      <c r="K207" s="453" t="s">
        <v>735</v>
      </c>
      <c r="L207" s="454" t="s">
        <v>1620</v>
      </c>
      <c r="M207" s="455">
        <v>969.25</v>
      </c>
      <c r="N207" s="456"/>
      <c r="O207" s="393"/>
    </row>
    <row r="208" spans="5:15" s="428" customFormat="1" ht="14.1" customHeight="1" outlineLevel="3">
      <c r="E208" s="452" t="s">
        <v>447</v>
      </c>
      <c r="F208" s="452" t="s">
        <v>606</v>
      </c>
      <c r="G208" s="452" t="s">
        <v>733</v>
      </c>
      <c r="H208" s="452">
        <v>991865</v>
      </c>
      <c r="I208" s="452" t="s">
        <v>867</v>
      </c>
      <c r="J208" s="453">
        <v>99000</v>
      </c>
      <c r="K208" s="453" t="s">
        <v>735</v>
      </c>
      <c r="L208" s="454" t="s">
        <v>1620</v>
      </c>
      <c r="M208" s="455">
        <v>8599.99</v>
      </c>
      <c r="N208" s="456"/>
      <c r="O208" s="393"/>
    </row>
    <row r="209" spans="5:15" s="428" customFormat="1" ht="14.1" customHeight="1" outlineLevel="4">
      <c r="E209" s="452" t="s">
        <v>447</v>
      </c>
      <c r="F209" s="452" t="s">
        <v>606</v>
      </c>
      <c r="G209" s="452" t="s">
        <v>733</v>
      </c>
      <c r="H209" s="452">
        <v>991581</v>
      </c>
      <c r="I209" s="452" t="s">
        <v>864</v>
      </c>
      <c r="J209" s="453">
        <v>99000</v>
      </c>
      <c r="K209" s="453" t="s">
        <v>735</v>
      </c>
      <c r="L209" s="454" t="s">
        <v>1620</v>
      </c>
      <c r="M209" s="455">
        <v>3916.79</v>
      </c>
      <c r="N209" s="456"/>
      <c r="O209" s="393"/>
    </row>
    <row r="210" spans="5:15" s="428" customFormat="1" ht="14.1" customHeight="1" outlineLevel="4">
      <c r="E210" s="456"/>
      <c r="F210" s="456"/>
      <c r="G210" s="456"/>
      <c r="H210" s="456"/>
      <c r="I210" s="456"/>
      <c r="J210" s="456"/>
      <c r="K210" s="456"/>
      <c r="L210" s="456"/>
      <c r="M210" s="455" t="s">
        <v>863</v>
      </c>
      <c r="N210" s="455">
        <v>13486.03</v>
      </c>
      <c r="O210" s="393"/>
    </row>
    <row r="211" spans="5:15" s="428" customFormat="1" ht="14.1" customHeight="1" outlineLevel="4">
      <c r="E211" s="452" t="s">
        <v>447</v>
      </c>
      <c r="F211" s="452" t="s">
        <v>606</v>
      </c>
      <c r="G211" s="452" t="s">
        <v>816</v>
      </c>
      <c r="H211" s="452">
        <v>990801</v>
      </c>
      <c r="I211" s="452" t="s">
        <v>868</v>
      </c>
      <c r="J211" s="453">
        <v>10200</v>
      </c>
      <c r="K211" s="453" t="s">
        <v>703</v>
      </c>
      <c r="L211" s="454" t="s">
        <v>1620</v>
      </c>
      <c r="M211" s="455">
        <v>500000</v>
      </c>
      <c r="N211" s="456"/>
      <c r="O211" s="393"/>
    </row>
    <row r="212" spans="5:15" s="428" customFormat="1" ht="14.1" customHeight="1" outlineLevel="3">
      <c r="E212" s="456"/>
      <c r="F212" s="456"/>
      <c r="G212" s="456"/>
      <c r="H212" s="456"/>
      <c r="I212" s="456"/>
      <c r="J212" s="456"/>
      <c r="K212" s="456"/>
      <c r="L212" s="456"/>
      <c r="M212" s="455" t="s">
        <v>863</v>
      </c>
      <c r="N212" s="455">
        <v>500000</v>
      </c>
      <c r="O212" s="393"/>
    </row>
    <row r="213" spans="5:15" s="428" customFormat="1" ht="14.1" customHeight="1" outlineLevel="4">
      <c r="E213" s="452" t="s">
        <v>447</v>
      </c>
      <c r="F213" s="452" t="s">
        <v>606</v>
      </c>
      <c r="G213" s="452" t="s">
        <v>821</v>
      </c>
      <c r="H213" s="452" t="s">
        <v>869</v>
      </c>
      <c r="I213" s="452" t="s">
        <v>658</v>
      </c>
      <c r="J213" s="453">
        <v>99000</v>
      </c>
      <c r="K213" s="453" t="s">
        <v>621</v>
      </c>
      <c r="L213" s="454" t="s">
        <v>1620</v>
      </c>
      <c r="M213" s="455">
        <v>7.58</v>
      </c>
      <c r="N213" s="456"/>
      <c r="O213" s="393"/>
    </row>
    <row r="214" spans="5:15" s="428" customFormat="1" ht="14.1" customHeight="1" outlineLevel="3">
      <c r="E214" s="452" t="s">
        <v>447</v>
      </c>
      <c r="F214" s="452" t="s">
        <v>606</v>
      </c>
      <c r="G214" s="452" t="s">
        <v>821</v>
      </c>
      <c r="H214" s="452" t="s">
        <v>869</v>
      </c>
      <c r="I214" s="452" t="s">
        <v>870</v>
      </c>
      <c r="J214" s="453">
        <v>99000</v>
      </c>
      <c r="K214" s="453" t="s">
        <v>621</v>
      </c>
      <c r="L214" s="454" t="s">
        <v>1620</v>
      </c>
      <c r="M214" s="455">
        <v>419.3</v>
      </c>
      <c r="N214" s="456"/>
      <c r="O214" s="393"/>
    </row>
    <row r="215" spans="5:15" s="428" customFormat="1" ht="14.1" customHeight="1" outlineLevel="4">
      <c r="E215" s="456"/>
      <c r="F215" s="456"/>
      <c r="G215" s="456"/>
      <c r="H215" s="456"/>
      <c r="I215" s="456"/>
      <c r="J215" s="456"/>
      <c r="K215" s="456"/>
      <c r="L215" s="456"/>
      <c r="M215" s="455" t="s">
        <v>863</v>
      </c>
      <c r="N215" s="455">
        <v>426.88</v>
      </c>
      <c r="O215" s="393"/>
    </row>
    <row r="216" spans="5:15" s="428" customFormat="1" ht="14.1" customHeight="1" outlineLevel="4">
      <c r="E216" s="456"/>
      <c r="F216" s="456"/>
      <c r="G216" s="456"/>
      <c r="H216" s="456"/>
      <c r="I216" s="456"/>
      <c r="J216" s="456"/>
      <c r="K216" s="456"/>
      <c r="L216" s="456"/>
      <c r="M216" s="455" t="s">
        <v>1055</v>
      </c>
      <c r="N216" s="455">
        <v>3075472.98</v>
      </c>
      <c r="O216" s="393"/>
    </row>
    <row r="217" spans="5:15" s="428" customFormat="1" ht="14.1" customHeight="1" outlineLevel="3">
      <c r="E217" s="452" t="s">
        <v>447</v>
      </c>
      <c r="F217" s="452" t="s">
        <v>606</v>
      </c>
      <c r="G217" s="452" t="s">
        <v>651</v>
      </c>
      <c r="H217" s="452" t="s">
        <v>837</v>
      </c>
      <c r="I217" s="452" t="s">
        <v>1056</v>
      </c>
      <c r="J217" s="453">
        <v>99000</v>
      </c>
      <c r="K217" s="453" t="s">
        <v>1057</v>
      </c>
      <c r="L217" s="454" t="s">
        <v>1621</v>
      </c>
      <c r="M217" s="455">
        <v>150000</v>
      </c>
      <c r="N217" s="456"/>
      <c r="O217" s="393"/>
    </row>
    <row r="218" spans="5:15" s="428" customFormat="1" ht="14.1" customHeight="1" outlineLevel="2">
      <c r="E218" s="452" t="s">
        <v>447</v>
      </c>
      <c r="F218" s="452" t="s">
        <v>606</v>
      </c>
      <c r="G218" s="452" t="s">
        <v>651</v>
      </c>
      <c r="H218" s="452" t="s">
        <v>837</v>
      </c>
      <c r="I218" s="452" t="s">
        <v>1058</v>
      </c>
      <c r="J218" s="453">
        <v>99000</v>
      </c>
      <c r="K218" s="453" t="s">
        <v>1057</v>
      </c>
      <c r="L218" s="454" t="s">
        <v>1621</v>
      </c>
      <c r="M218" s="455">
        <v>80000</v>
      </c>
      <c r="N218" s="456"/>
      <c r="O218" s="393"/>
    </row>
    <row r="219" spans="5:15" s="428" customFormat="1" ht="14.1" customHeight="1" outlineLevel="2">
      <c r="E219" s="452" t="s">
        <v>447</v>
      </c>
      <c r="F219" s="452" t="s">
        <v>606</v>
      </c>
      <c r="G219" s="452" t="s">
        <v>1059</v>
      </c>
      <c r="H219" s="452">
        <v>10</v>
      </c>
      <c r="I219" s="452" t="s">
        <v>1060</v>
      </c>
      <c r="J219" s="453">
        <v>99000</v>
      </c>
      <c r="K219" s="453" t="s">
        <v>1057</v>
      </c>
      <c r="L219" s="454" t="s">
        <v>1621</v>
      </c>
      <c r="M219" s="455">
        <v>10132</v>
      </c>
      <c r="N219" s="456"/>
      <c r="O219" s="393"/>
    </row>
    <row r="220" spans="5:15" s="428" customFormat="1" ht="14.1" customHeight="1" outlineLevel="4">
      <c r="E220" s="456"/>
      <c r="F220" s="456"/>
      <c r="G220" s="456"/>
      <c r="H220" s="456"/>
      <c r="I220" s="456"/>
      <c r="J220" s="456"/>
      <c r="K220" s="456"/>
      <c r="L220" s="456"/>
      <c r="M220" s="455" t="s">
        <v>863</v>
      </c>
      <c r="N220" s="455">
        <v>240132</v>
      </c>
      <c r="O220" s="393"/>
    </row>
    <row r="221" spans="5:15" s="428" customFormat="1" ht="14.1" customHeight="1" outlineLevel="4">
      <c r="E221" s="452" t="s">
        <v>447</v>
      </c>
      <c r="F221" s="452" t="s">
        <v>606</v>
      </c>
      <c r="G221" s="452" t="s">
        <v>634</v>
      </c>
      <c r="H221" s="452" t="s">
        <v>1061</v>
      </c>
      <c r="I221" s="452" t="s">
        <v>1062</v>
      </c>
      <c r="J221" s="453">
        <v>99000</v>
      </c>
      <c r="K221" s="453" t="s">
        <v>675</v>
      </c>
      <c r="L221" s="454" t="s">
        <v>1621</v>
      </c>
      <c r="M221" s="455">
        <v>-907656.2</v>
      </c>
      <c r="N221" s="456"/>
      <c r="O221" s="393"/>
    </row>
    <row r="222" spans="5:15" s="428" customFormat="1" ht="14.1" customHeight="1" outlineLevel="4">
      <c r="E222" s="452" t="s">
        <v>447</v>
      </c>
      <c r="F222" s="452" t="s">
        <v>606</v>
      </c>
      <c r="G222" s="452" t="s">
        <v>1063</v>
      </c>
      <c r="H222" s="452">
        <v>2792</v>
      </c>
      <c r="I222" s="452" t="s">
        <v>1064</v>
      </c>
      <c r="J222" s="453">
        <v>99000</v>
      </c>
      <c r="K222" s="453" t="s">
        <v>675</v>
      </c>
      <c r="L222" s="454" t="s">
        <v>1621</v>
      </c>
      <c r="M222" s="455">
        <v>545437.80000000005</v>
      </c>
      <c r="N222" s="456"/>
      <c r="O222" s="393"/>
    </row>
    <row r="223" spans="5:15" s="428" customFormat="1" ht="14.1" customHeight="1" outlineLevel="3">
      <c r="E223" s="456"/>
      <c r="F223" s="456"/>
      <c r="G223" s="456"/>
      <c r="H223" s="456"/>
      <c r="I223" s="456"/>
      <c r="J223" s="456"/>
      <c r="K223" s="456"/>
      <c r="L223" s="456"/>
      <c r="M223" s="455" t="s">
        <v>863</v>
      </c>
      <c r="N223" s="455">
        <v>-362218.4</v>
      </c>
      <c r="O223" s="393"/>
    </row>
    <row r="224" spans="5:15" s="428" customFormat="1" ht="14.1" customHeight="1" outlineLevel="4">
      <c r="E224" s="452" t="s">
        <v>447</v>
      </c>
      <c r="F224" s="452" t="s">
        <v>606</v>
      </c>
      <c r="G224" s="452" t="s">
        <v>634</v>
      </c>
      <c r="H224" s="452" t="s">
        <v>1065</v>
      </c>
      <c r="I224" s="452" t="s">
        <v>634</v>
      </c>
      <c r="J224" s="453">
        <v>99000</v>
      </c>
      <c r="K224" s="453" t="s">
        <v>644</v>
      </c>
      <c r="L224" s="454" t="s">
        <v>1621</v>
      </c>
      <c r="M224" s="455">
        <v>250137</v>
      </c>
      <c r="N224" s="456"/>
      <c r="O224" s="393"/>
    </row>
    <row r="225" spans="5:15" s="428" customFormat="1" ht="14.1" customHeight="1" outlineLevel="3">
      <c r="E225" s="452" t="s">
        <v>447</v>
      </c>
      <c r="F225" s="452" t="s">
        <v>606</v>
      </c>
      <c r="G225" s="452" t="s">
        <v>634</v>
      </c>
      <c r="H225" s="452" t="s">
        <v>1065</v>
      </c>
      <c r="I225" s="452" t="s">
        <v>634</v>
      </c>
      <c r="J225" s="453">
        <v>99000</v>
      </c>
      <c r="K225" s="453" t="s">
        <v>644</v>
      </c>
      <c r="L225" s="454" t="s">
        <v>1621</v>
      </c>
      <c r="M225" s="455">
        <v>230971</v>
      </c>
      <c r="N225" s="456"/>
      <c r="O225" s="393"/>
    </row>
    <row r="226" spans="5:15" s="428" customFormat="1" ht="14.1" customHeight="1" outlineLevel="4">
      <c r="E226" s="456"/>
      <c r="F226" s="456"/>
      <c r="G226" s="456"/>
      <c r="H226" s="456"/>
      <c r="I226" s="456"/>
      <c r="J226" s="456"/>
      <c r="K226" s="456"/>
      <c r="L226" s="456"/>
      <c r="M226" s="455" t="s">
        <v>863</v>
      </c>
      <c r="N226" s="455">
        <v>481108</v>
      </c>
      <c r="O226" s="393"/>
    </row>
    <row r="227" spans="5:15" s="428" customFormat="1" ht="14.1" customHeight="1" outlineLevel="4">
      <c r="E227" s="452" t="s">
        <v>447</v>
      </c>
      <c r="F227" s="452" t="s">
        <v>606</v>
      </c>
      <c r="G227" s="452" t="s">
        <v>873</v>
      </c>
      <c r="H227" s="452">
        <v>124115</v>
      </c>
      <c r="I227" s="452" t="s">
        <v>874</v>
      </c>
      <c r="J227" s="453">
        <v>99000</v>
      </c>
      <c r="K227" s="453" t="s">
        <v>617</v>
      </c>
      <c r="L227" s="454" t="s">
        <v>1621</v>
      </c>
      <c r="M227" s="455">
        <v>23476.13</v>
      </c>
      <c r="N227" s="456"/>
      <c r="O227" s="393"/>
    </row>
    <row r="228" spans="5:15" s="428" customFormat="1" ht="14.1" customHeight="1" outlineLevel="3">
      <c r="E228" s="452" t="s">
        <v>447</v>
      </c>
      <c r="F228" s="452" t="s">
        <v>606</v>
      </c>
      <c r="G228" s="452" t="s">
        <v>611</v>
      </c>
      <c r="H228" s="452">
        <v>10327884</v>
      </c>
      <c r="I228" s="452" t="s">
        <v>871</v>
      </c>
      <c r="J228" s="453">
        <v>99000</v>
      </c>
      <c r="K228" s="453" t="s">
        <v>617</v>
      </c>
      <c r="L228" s="454" t="s">
        <v>1621</v>
      </c>
      <c r="M228" s="455">
        <v>2387.16</v>
      </c>
      <c r="N228" s="456"/>
      <c r="O228" s="393"/>
    </row>
    <row r="229" spans="5:15" s="428" customFormat="1" ht="14.1" customHeight="1" outlineLevel="4">
      <c r="E229" s="452" t="s">
        <v>447</v>
      </c>
      <c r="F229" s="452" t="s">
        <v>606</v>
      </c>
      <c r="G229" s="452" t="s">
        <v>611</v>
      </c>
      <c r="H229" s="452">
        <v>10319830</v>
      </c>
      <c r="I229" s="452" t="s">
        <v>872</v>
      </c>
      <c r="J229" s="453">
        <v>99000</v>
      </c>
      <c r="K229" s="453" t="s">
        <v>617</v>
      </c>
      <c r="L229" s="454" t="s">
        <v>1621</v>
      </c>
      <c r="M229" s="455">
        <v>7055.46</v>
      </c>
      <c r="N229" s="456"/>
      <c r="O229" s="393"/>
    </row>
    <row r="230" spans="5:15" s="428" customFormat="1" ht="14.1" customHeight="1" outlineLevel="3">
      <c r="E230" s="452" t="s">
        <v>447</v>
      </c>
      <c r="F230" s="452" t="s">
        <v>606</v>
      </c>
      <c r="G230" s="452" t="s">
        <v>873</v>
      </c>
      <c r="H230" s="452" t="s">
        <v>1066</v>
      </c>
      <c r="I230" s="452" t="s">
        <v>1067</v>
      </c>
      <c r="J230" s="453">
        <v>99000</v>
      </c>
      <c r="K230" s="453" t="s">
        <v>617</v>
      </c>
      <c r="L230" s="454" t="s">
        <v>1621</v>
      </c>
      <c r="M230" s="455">
        <v>5034.12</v>
      </c>
      <c r="N230" s="456"/>
      <c r="O230" s="393"/>
    </row>
    <row r="231" spans="5:15" s="428" customFormat="1" ht="14.1" customHeight="1" outlineLevel="4">
      <c r="E231" s="456"/>
      <c r="F231" s="456"/>
      <c r="G231" s="456"/>
      <c r="H231" s="456"/>
      <c r="I231" s="456"/>
      <c r="J231" s="456"/>
      <c r="K231" s="456"/>
      <c r="L231" s="456"/>
      <c r="M231" s="455" t="s">
        <v>863</v>
      </c>
      <c r="N231" s="455">
        <v>37952.870000000003</v>
      </c>
      <c r="O231" s="393"/>
    </row>
    <row r="232" spans="5:15" s="428" customFormat="1" ht="14.1" customHeight="1" outlineLevel="3">
      <c r="E232" s="452" t="s">
        <v>447</v>
      </c>
      <c r="F232" s="452" t="s">
        <v>606</v>
      </c>
      <c r="G232" s="452" t="s">
        <v>680</v>
      </c>
      <c r="H232" s="452" t="s">
        <v>875</v>
      </c>
      <c r="I232" s="452" t="s">
        <v>876</v>
      </c>
      <c r="J232" s="453">
        <v>10100</v>
      </c>
      <c r="K232" s="453" t="s">
        <v>633</v>
      </c>
      <c r="L232" s="454" t="s">
        <v>1621</v>
      </c>
      <c r="M232" s="455">
        <v>1632000</v>
      </c>
      <c r="N232" s="456"/>
      <c r="O232" s="393"/>
    </row>
    <row r="233" spans="5:15" s="428" customFormat="1" ht="14.1" customHeight="1" outlineLevel="2">
      <c r="E233" s="456"/>
      <c r="F233" s="456"/>
      <c r="G233" s="456"/>
      <c r="H233" s="456"/>
      <c r="I233" s="456"/>
      <c r="J233" s="456"/>
      <c r="K233" s="456"/>
      <c r="L233" s="456"/>
      <c r="M233" s="455" t="s">
        <v>863</v>
      </c>
      <c r="N233" s="455">
        <v>1632000</v>
      </c>
      <c r="O233" s="393"/>
    </row>
    <row r="234" spans="5:15" s="428" customFormat="1" ht="14.1" customHeight="1">
      <c r="E234" s="452" t="s">
        <v>447</v>
      </c>
      <c r="F234" s="452" t="s">
        <v>606</v>
      </c>
      <c r="G234" s="452" t="s">
        <v>877</v>
      </c>
      <c r="H234" s="452" t="s">
        <v>878</v>
      </c>
      <c r="I234" s="452">
        <v>2922</v>
      </c>
      <c r="J234" s="453">
        <v>99000</v>
      </c>
      <c r="K234" s="453" t="s">
        <v>732</v>
      </c>
      <c r="L234" s="454" t="s">
        <v>1621</v>
      </c>
      <c r="M234" s="455">
        <v>47620.5</v>
      </c>
      <c r="N234" s="456"/>
      <c r="O234" s="393"/>
    </row>
    <row r="235" spans="5:15" s="428" customFormat="1" ht="14.1" customHeight="1">
      <c r="E235" s="452" t="s">
        <v>447</v>
      </c>
      <c r="F235" s="452" t="s">
        <v>606</v>
      </c>
      <c r="G235" s="452" t="s">
        <v>1068</v>
      </c>
      <c r="H235" s="452" t="s">
        <v>1069</v>
      </c>
      <c r="I235" s="452" t="s">
        <v>1070</v>
      </c>
      <c r="J235" s="453">
        <v>99000</v>
      </c>
      <c r="K235" s="453" t="s">
        <v>732</v>
      </c>
      <c r="L235" s="454" t="s">
        <v>1621</v>
      </c>
      <c r="M235" s="455">
        <v>12500</v>
      </c>
      <c r="N235" s="456"/>
      <c r="O235" s="393"/>
    </row>
    <row r="236" spans="5:15" s="428" customFormat="1" ht="14.1" customHeight="1">
      <c r="E236" s="452" t="s">
        <v>447</v>
      </c>
      <c r="F236" s="452" t="s">
        <v>606</v>
      </c>
      <c r="G236" s="452" t="s">
        <v>877</v>
      </c>
      <c r="H236" s="452" t="s">
        <v>878</v>
      </c>
      <c r="I236" s="452" t="s">
        <v>879</v>
      </c>
      <c r="J236" s="453">
        <v>99000</v>
      </c>
      <c r="K236" s="453" t="s">
        <v>732</v>
      </c>
      <c r="L236" s="454" t="s">
        <v>1621</v>
      </c>
      <c r="M236" s="455">
        <v>45905</v>
      </c>
      <c r="N236" s="456"/>
      <c r="O236" s="393"/>
    </row>
    <row r="237" spans="5:15" s="428" customFormat="1" ht="14.1" customHeight="1">
      <c r="E237" s="456"/>
      <c r="F237" s="456"/>
      <c r="G237" s="456"/>
      <c r="H237" s="456"/>
      <c r="I237" s="456"/>
      <c r="J237" s="456"/>
      <c r="K237" s="456"/>
      <c r="L237" s="456"/>
      <c r="M237" s="455" t="s">
        <v>863</v>
      </c>
      <c r="N237" s="455">
        <v>106025.5</v>
      </c>
      <c r="O237" s="393"/>
    </row>
    <row r="238" spans="5:15" s="428" customFormat="1" ht="14.1" customHeight="1">
      <c r="E238" s="452" t="s">
        <v>447</v>
      </c>
      <c r="F238" s="452" t="s">
        <v>606</v>
      </c>
      <c r="G238" s="452" t="s">
        <v>733</v>
      </c>
      <c r="H238" s="452">
        <v>992147</v>
      </c>
      <c r="I238" s="452" t="s">
        <v>880</v>
      </c>
      <c r="J238" s="453">
        <v>99000</v>
      </c>
      <c r="K238" s="453" t="s">
        <v>735</v>
      </c>
      <c r="L238" s="454" t="s">
        <v>1621</v>
      </c>
      <c r="M238" s="455">
        <v>2197.5300000000002</v>
      </c>
      <c r="N238" s="456"/>
      <c r="O238" s="393"/>
    </row>
    <row r="239" spans="5:15" s="428" customFormat="1" ht="14.1" customHeight="1">
      <c r="E239" s="452" t="s">
        <v>447</v>
      </c>
      <c r="F239" s="452" t="s">
        <v>606</v>
      </c>
      <c r="G239" s="452" t="s">
        <v>733</v>
      </c>
      <c r="H239" s="452">
        <v>992444</v>
      </c>
      <c r="I239" s="452" t="s">
        <v>1071</v>
      </c>
      <c r="J239" s="453">
        <v>99000</v>
      </c>
      <c r="K239" s="453" t="s">
        <v>735</v>
      </c>
      <c r="L239" s="454" t="s">
        <v>1621</v>
      </c>
      <c r="M239" s="455">
        <v>981.83</v>
      </c>
      <c r="N239" s="456"/>
      <c r="O239" s="393"/>
    </row>
    <row r="240" spans="5:15" s="428" customFormat="1" ht="14.1" customHeight="1">
      <c r="E240" s="456"/>
      <c r="F240" s="456"/>
      <c r="G240" s="456"/>
      <c r="H240" s="456"/>
      <c r="I240" s="456"/>
      <c r="J240" s="456"/>
      <c r="K240" s="456"/>
      <c r="L240" s="456"/>
      <c r="M240" s="455" t="s">
        <v>863</v>
      </c>
      <c r="N240" s="455">
        <v>3179.36</v>
      </c>
      <c r="O240" s="393"/>
    </row>
    <row r="241" spans="5:15" s="428" customFormat="1" ht="14.1" customHeight="1">
      <c r="E241" s="452" t="s">
        <v>447</v>
      </c>
      <c r="F241" s="452" t="s">
        <v>606</v>
      </c>
      <c r="G241" s="452" t="s">
        <v>834</v>
      </c>
      <c r="H241" s="452" t="s">
        <v>1127</v>
      </c>
      <c r="I241" s="452" t="s">
        <v>1128</v>
      </c>
      <c r="J241" s="453">
        <v>90000</v>
      </c>
      <c r="K241" s="453" t="s">
        <v>703</v>
      </c>
      <c r="L241" s="454" t="s">
        <v>1621</v>
      </c>
      <c r="M241" s="455">
        <v>7168</v>
      </c>
      <c r="N241" s="456"/>
      <c r="O241" s="393"/>
    </row>
    <row r="242" spans="5:15" s="428" customFormat="1" ht="14.1" customHeight="1">
      <c r="E242" s="452" t="s">
        <v>447</v>
      </c>
      <c r="F242" s="452" t="s">
        <v>606</v>
      </c>
      <c r="G242" s="452" t="s">
        <v>834</v>
      </c>
      <c r="H242" s="452" t="s">
        <v>1125</v>
      </c>
      <c r="I242" s="452" t="s">
        <v>1126</v>
      </c>
      <c r="J242" s="453">
        <v>90000</v>
      </c>
      <c r="K242" s="453" t="s">
        <v>703</v>
      </c>
      <c r="L242" s="454" t="s">
        <v>1621</v>
      </c>
      <c r="M242" s="455">
        <v>104297</v>
      </c>
      <c r="N242" s="456"/>
      <c r="O242" s="393"/>
    </row>
    <row r="243" spans="5:15" s="428" customFormat="1" ht="14.1" customHeight="1">
      <c r="E243" s="452" t="s">
        <v>447</v>
      </c>
      <c r="F243" s="452" t="s">
        <v>606</v>
      </c>
      <c r="G243" s="452" t="s">
        <v>1073</v>
      </c>
      <c r="H243" s="452" t="s">
        <v>1075</v>
      </c>
      <c r="I243" s="452" t="s">
        <v>1076</v>
      </c>
      <c r="J243" s="453">
        <v>90000</v>
      </c>
      <c r="K243" s="453" t="s">
        <v>703</v>
      </c>
      <c r="L243" s="454" t="s">
        <v>1621</v>
      </c>
      <c r="M243" s="455">
        <v>17510.900000000001</v>
      </c>
      <c r="N243" s="456"/>
      <c r="O243" s="393"/>
    </row>
    <row r="244" spans="5:15" s="428" customFormat="1" ht="14.1" customHeight="1">
      <c r="E244" s="456"/>
      <c r="F244" s="456"/>
      <c r="G244" s="456"/>
      <c r="H244" s="456"/>
      <c r="I244" s="456"/>
      <c r="J244" s="456"/>
      <c r="K244" s="456"/>
      <c r="L244" s="456"/>
      <c r="M244" s="456"/>
      <c r="N244" s="456"/>
      <c r="O244" s="393"/>
    </row>
    <row r="245" spans="5:15" s="428" customFormat="1" ht="14.1" customHeight="1">
      <c r="E245" s="452" t="s">
        <v>447</v>
      </c>
      <c r="F245" s="452" t="s">
        <v>606</v>
      </c>
      <c r="G245" s="452" t="s">
        <v>816</v>
      </c>
      <c r="H245" s="452">
        <v>990901</v>
      </c>
      <c r="I245" s="452" t="s">
        <v>689</v>
      </c>
      <c r="J245" s="453">
        <v>10200</v>
      </c>
      <c r="K245" s="453" t="s">
        <v>703</v>
      </c>
      <c r="L245" s="454" t="s">
        <v>1621</v>
      </c>
      <c r="M245" s="455">
        <v>500000</v>
      </c>
      <c r="N245" s="456"/>
      <c r="O245" s="393"/>
    </row>
    <row r="246" spans="5:15" s="428" customFormat="1" ht="14.1" customHeight="1">
      <c r="E246" s="452" t="s">
        <v>447</v>
      </c>
      <c r="F246" s="452" t="s">
        <v>606</v>
      </c>
      <c r="G246" s="452" t="s">
        <v>634</v>
      </c>
      <c r="H246" s="452" t="s">
        <v>1061</v>
      </c>
      <c r="I246" s="452" t="s">
        <v>1062</v>
      </c>
      <c r="J246" s="453">
        <v>90000</v>
      </c>
      <c r="K246" s="453" t="s">
        <v>703</v>
      </c>
      <c r="L246" s="454" t="s">
        <v>1621</v>
      </c>
      <c r="M246" s="455">
        <v>250000</v>
      </c>
      <c r="N246" s="456"/>
      <c r="O246" s="393"/>
    </row>
    <row r="247" spans="5:15" s="428" customFormat="1" ht="14.1" customHeight="1">
      <c r="E247" s="452" t="s">
        <v>447</v>
      </c>
      <c r="F247" s="452" t="s">
        <v>606</v>
      </c>
      <c r="G247" s="452" t="s">
        <v>651</v>
      </c>
      <c r="H247" s="452">
        <v>2953</v>
      </c>
      <c r="I247" s="452" t="s">
        <v>1072</v>
      </c>
      <c r="J247" s="453">
        <v>90000</v>
      </c>
      <c r="K247" s="453" t="s">
        <v>703</v>
      </c>
      <c r="L247" s="454" t="s">
        <v>1621</v>
      </c>
      <c r="M247" s="455">
        <v>63659.61</v>
      </c>
      <c r="N247" s="456"/>
      <c r="O247" s="393"/>
    </row>
    <row r="248" spans="5:15" s="428" customFormat="1" ht="14.1" customHeight="1">
      <c r="E248" s="452" t="s">
        <v>447</v>
      </c>
      <c r="F248" s="452" t="s">
        <v>606</v>
      </c>
      <c r="G248" s="452" t="s">
        <v>1073</v>
      </c>
      <c r="H248" s="452" t="s">
        <v>1074</v>
      </c>
      <c r="I248" s="452" t="s">
        <v>634</v>
      </c>
      <c r="J248" s="453">
        <v>90000</v>
      </c>
      <c r="K248" s="453" t="s">
        <v>703</v>
      </c>
      <c r="L248" s="454" t="s">
        <v>1621</v>
      </c>
      <c r="M248" s="455">
        <v>22413.15</v>
      </c>
      <c r="N248" s="456"/>
      <c r="O248" s="393"/>
    </row>
    <row r="249" spans="5:15" s="428" customFormat="1" ht="14.1" customHeight="1">
      <c r="E249" s="452" t="s">
        <v>447</v>
      </c>
      <c r="F249" s="452" t="s">
        <v>606</v>
      </c>
      <c r="G249" s="452" t="s">
        <v>651</v>
      </c>
      <c r="H249" s="452">
        <v>2954</v>
      </c>
      <c r="I249" s="452" t="s">
        <v>1129</v>
      </c>
      <c r="J249" s="453">
        <v>90000</v>
      </c>
      <c r="K249" s="453" t="s">
        <v>703</v>
      </c>
      <c r="L249" s="454" t="s">
        <v>1621</v>
      </c>
      <c r="M249" s="455">
        <v>463226.2</v>
      </c>
      <c r="N249" s="456"/>
      <c r="O249" s="393"/>
    </row>
    <row r="250" spans="5:15" s="428" customFormat="1" ht="14.1" customHeight="1">
      <c r="E250" s="456"/>
      <c r="F250" s="456"/>
      <c r="G250" s="456"/>
      <c r="H250" s="456"/>
      <c r="I250" s="456"/>
      <c r="J250" s="456"/>
      <c r="K250" s="456"/>
      <c r="L250" s="456"/>
      <c r="M250" s="455" t="s">
        <v>863</v>
      </c>
      <c r="N250" s="455">
        <v>1428274.86</v>
      </c>
      <c r="O250" s="393"/>
    </row>
    <row r="251" spans="5:15" s="428" customFormat="1" ht="14.1" customHeight="1">
      <c r="E251" s="452" t="s">
        <v>447</v>
      </c>
      <c r="F251" s="452" t="s">
        <v>606</v>
      </c>
      <c r="G251" s="452" t="s">
        <v>704</v>
      </c>
      <c r="H251" s="452" t="s">
        <v>1131</v>
      </c>
      <c r="I251" s="452" t="s">
        <v>1132</v>
      </c>
      <c r="J251" s="453">
        <v>99000</v>
      </c>
      <c r="K251" s="453" t="s">
        <v>621</v>
      </c>
      <c r="L251" s="454" t="s">
        <v>1621</v>
      </c>
      <c r="M251" s="455">
        <v>1145.46</v>
      </c>
      <c r="N251" s="456"/>
      <c r="O251" s="393"/>
    </row>
    <row r="252" spans="5:15" s="428" customFormat="1" ht="14.1" customHeight="1">
      <c r="E252" s="452" t="s">
        <v>447</v>
      </c>
      <c r="F252" s="452" t="s">
        <v>606</v>
      </c>
      <c r="G252" s="452" t="s">
        <v>821</v>
      </c>
      <c r="H252" s="452" t="s">
        <v>1130</v>
      </c>
      <c r="I252" s="452" t="s">
        <v>870</v>
      </c>
      <c r="J252" s="453">
        <v>99000</v>
      </c>
      <c r="K252" s="453" t="s">
        <v>621</v>
      </c>
      <c r="L252" s="454" t="s">
        <v>1621</v>
      </c>
      <c r="M252" s="455">
        <v>2025.33</v>
      </c>
      <c r="N252" s="456"/>
      <c r="O252" s="393"/>
    </row>
    <row r="253" spans="5:15" s="428" customFormat="1" ht="14.1" customHeight="1">
      <c r="E253" s="452" t="s">
        <v>447</v>
      </c>
      <c r="F253" s="452" t="s">
        <v>606</v>
      </c>
      <c r="G253" s="452" t="s">
        <v>821</v>
      </c>
      <c r="H253" s="452" t="s">
        <v>1130</v>
      </c>
      <c r="I253" s="452" t="s">
        <v>658</v>
      </c>
      <c r="J253" s="453">
        <v>99000</v>
      </c>
      <c r="K253" s="453" t="s">
        <v>621</v>
      </c>
      <c r="L253" s="454" t="s">
        <v>1621</v>
      </c>
      <c r="M253" s="455">
        <v>73.48</v>
      </c>
      <c r="N253" s="456"/>
      <c r="O253" s="393"/>
    </row>
    <row r="254" spans="5:15" s="428" customFormat="1" ht="14.1" customHeight="1">
      <c r="E254" s="456"/>
      <c r="F254" s="456"/>
      <c r="G254" s="456"/>
      <c r="H254" s="456"/>
      <c r="I254" s="456"/>
      <c r="J254" s="456"/>
      <c r="K254" s="456"/>
      <c r="L254" s="456"/>
      <c r="M254" s="455" t="s">
        <v>863</v>
      </c>
      <c r="N254" s="455">
        <v>3244.27</v>
      </c>
      <c r="O254" s="393"/>
    </row>
    <row r="255" spans="5:15" s="428" customFormat="1" ht="14.1" customHeight="1">
      <c r="E255" s="456"/>
      <c r="F255" s="456"/>
      <c r="G255" s="456"/>
      <c r="H255" s="456"/>
      <c r="I255" s="456"/>
      <c r="J255" s="456"/>
      <c r="K255" s="456"/>
      <c r="L255" s="456"/>
      <c r="M255" s="455" t="s">
        <v>1055</v>
      </c>
      <c r="N255" s="455">
        <v>3569698.46</v>
      </c>
      <c r="O255" s="393"/>
    </row>
    <row r="256" spans="5:15" s="428" customFormat="1" ht="14.1" customHeight="1">
      <c r="E256" s="452" t="s">
        <v>447</v>
      </c>
      <c r="F256" s="452" t="s">
        <v>606</v>
      </c>
      <c r="G256" s="452" t="s">
        <v>651</v>
      </c>
      <c r="H256" s="452" t="s">
        <v>840</v>
      </c>
      <c r="I256" s="452" t="s">
        <v>1136</v>
      </c>
      <c r="J256" s="453">
        <v>99000</v>
      </c>
      <c r="K256" s="453" t="s">
        <v>1057</v>
      </c>
      <c r="L256" s="454" t="s">
        <v>1622</v>
      </c>
      <c r="M256" s="455">
        <v>39007.08</v>
      </c>
      <c r="N256" s="456"/>
      <c r="O256" s="393"/>
    </row>
    <row r="257" spans="5:15" s="428" customFormat="1" ht="14.1" customHeight="1">
      <c r="E257" s="452" t="s">
        <v>447</v>
      </c>
      <c r="F257" s="452" t="s">
        <v>606</v>
      </c>
      <c r="G257" s="452" t="s">
        <v>1059</v>
      </c>
      <c r="H257" s="452">
        <v>11</v>
      </c>
      <c r="I257" s="452" t="s">
        <v>1133</v>
      </c>
      <c r="J257" s="453">
        <v>99000</v>
      </c>
      <c r="K257" s="453" t="s">
        <v>1057</v>
      </c>
      <c r="L257" s="454" t="s">
        <v>1622</v>
      </c>
      <c r="M257" s="455">
        <v>52750</v>
      </c>
      <c r="N257" s="456"/>
      <c r="O257" s="393"/>
    </row>
    <row r="258" spans="5:15" s="428" customFormat="1" ht="14.1" customHeight="1">
      <c r="E258" s="452" t="s">
        <v>447</v>
      </c>
      <c r="F258" s="452" t="s">
        <v>606</v>
      </c>
      <c r="G258" s="452" t="s">
        <v>855</v>
      </c>
      <c r="H258" s="452" t="s">
        <v>1137</v>
      </c>
      <c r="I258" s="452" t="s">
        <v>1072</v>
      </c>
      <c r="J258" s="453">
        <v>99000</v>
      </c>
      <c r="K258" s="453" t="s">
        <v>1057</v>
      </c>
      <c r="L258" s="454" t="s">
        <v>1622</v>
      </c>
      <c r="M258" s="455">
        <v>9030.98</v>
      </c>
      <c r="N258" s="456"/>
      <c r="O258" s="393"/>
    </row>
    <row r="259" spans="5:15" s="428" customFormat="1" ht="14.1" customHeight="1">
      <c r="E259" s="452" t="s">
        <v>447</v>
      </c>
      <c r="F259" s="452" t="s">
        <v>606</v>
      </c>
      <c r="G259" s="452" t="s">
        <v>651</v>
      </c>
      <c r="H259" s="452" t="s">
        <v>837</v>
      </c>
      <c r="I259" s="452" t="s">
        <v>1135</v>
      </c>
      <c r="J259" s="453">
        <v>99000</v>
      </c>
      <c r="K259" s="453" t="s">
        <v>1057</v>
      </c>
      <c r="L259" s="454" t="s">
        <v>1622</v>
      </c>
      <c r="M259" s="455">
        <v>100000</v>
      </c>
      <c r="N259" s="456"/>
      <c r="O259" s="393"/>
    </row>
    <row r="260" spans="5:15" s="428" customFormat="1" ht="14.1" customHeight="1">
      <c r="E260" s="452" t="s">
        <v>447</v>
      </c>
      <c r="F260" s="452" t="s">
        <v>606</v>
      </c>
      <c r="G260" s="452" t="s">
        <v>651</v>
      </c>
      <c r="H260" s="452" t="s">
        <v>837</v>
      </c>
      <c r="I260" s="452" t="s">
        <v>1134</v>
      </c>
      <c r="J260" s="453">
        <v>99000</v>
      </c>
      <c r="K260" s="453" t="s">
        <v>1057</v>
      </c>
      <c r="L260" s="454" t="s">
        <v>1622</v>
      </c>
      <c r="M260" s="455">
        <v>125000</v>
      </c>
      <c r="N260" s="456"/>
      <c r="O260" s="393"/>
    </row>
    <row r="261" spans="5:15" s="428" customFormat="1" ht="14.1" customHeight="1">
      <c r="E261" s="456"/>
      <c r="F261" s="456"/>
      <c r="G261" s="456"/>
      <c r="H261" s="456"/>
      <c r="I261" s="456"/>
      <c r="J261" s="456"/>
      <c r="K261" s="456"/>
      <c r="L261" s="456"/>
      <c r="M261" s="455" t="s">
        <v>863</v>
      </c>
      <c r="N261" s="455">
        <v>325788.06</v>
      </c>
      <c r="O261" s="393"/>
    </row>
    <row r="262" spans="5:15" s="428" customFormat="1" ht="14.1" customHeight="1">
      <c r="E262" s="452" t="s">
        <v>447</v>
      </c>
      <c r="F262" s="452" t="s">
        <v>606</v>
      </c>
      <c r="G262" s="452" t="s">
        <v>651</v>
      </c>
      <c r="H262" s="452" t="s">
        <v>837</v>
      </c>
      <c r="I262" s="452" t="s">
        <v>1138</v>
      </c>
      <c r="J262" s="453">
        <v>99000</v>
      </c>
      <c r="K262" s="453" t="s">
        <v>675</v>
      </c>
      <c r="L262" s="454" t="s">
        <v>1622</v>
      </c>
      <c r="M262" s="455">
        <v>755700</v>
      </c>
      <c r="N262" s="456"/>
      <c r="O262" s="393"/>
    </row>
    <row r="263" spans="5:15" s="428" customFormat="1" ht="14.1" customHeight="1">
      <c r="E263" s="456"/>
      <c r="F263" s="456"/>
      <c r="G263" s="456"/>
      <c r="H263" s="456"/>
      <c r="I263" s="456"/>
      <c r="J263" s="456"/>
      <c r="K263" s="456"/>
      <c r="L263" s="456"/>
      <c r="M263" s="455" t="s">
        <v>863</v>
      </c>
      <c r="N263" s="455">
        <v>755700</v>
      </c>
      <c r="O263" s="393"/>
    </row>
    <row r="264" spans="5:15" s="428" customFormat="1" ht="14.1" customHeight="1">
      <c r="E264" s="452" t="s">
        <v>447</v>
      </c>
      <c r="F264" s="452" t="s">
        <v>606</v>
      </c>
      <c r="G264" s="452" t="s">
        <v>634</v>
      </c>
      <c r="H264" s="452" t="s">
        <v>1139</v>
      </c>
      <c r="I264" s="452" t="s">
        <v>634</v>
      </c>
      <c r="J264" s="453">
        <v>99000</v>
      </c>
      <c r="K264" s="453" t="s">
        <v>644</v>
      </c>
      <c r="L264" s="454" t="s">
        <v>1622</v>
      </c>
      <c r="M264" s="455">
        <v>268825</v>
      </c>
      <c r="N264" s="456"/>
      <c r="O264" s="393"/>
    </row>
    <row r="265" spans="5:15" s="428" customFormat="1" ht="14.1" customHeight="1">
      <c r="E265" s="456"/>
      <c r="F265" s="456"/>
      <c r="G265" s="456"/>
      <c r="H265" s="456"/>
      <c r="I265" s="456"/>
      <c r="J265" s="456"/>
      <c r="K265" s="456"/>
      <c r="L265" s="456"/>
      <c r="M265" s="455" t="s">
        <v>863</v>
      </c>
      <c r="N265" s="455">
        <v>268825</v>
      </c>
      <c r="O265" s="393"/>
    </row>
    <row r="266" spans="5:15" s="428" customFormat="1" ht="14.1" customHeight="1">
      <c r="E266" s="452" t="s">
        <v>447</v>
      </c>
      <c r="F266" s="452" t="s">
        <v>606</v>
      </c>
      <c r="G266" s="452" t="s">
        <v>611</v>
      </c>
      <c r="H266" s="452">
        <v>10337504</v>
      </c>
      <c r="I266" s="452" t="s">
        <v>1140</v>
      </c>
      <c r="J266" s="453">
        <v>99000</v>
      </c>
      <c r="K266" s="453" t="s">
        <v>617</v>
      </c>
      <c r="L266" s="454" t="s">
        <v>1622</v>
      </c>
      <c r="M266" s="455">
        <v>2771.63</v>
      </c>
      <c r="N266" s="456"/>
      <c r="O266" s="393"/>
    </row>
    <row r="267" spans="5:15" s="428" customFormat="1" ht="14.1" customHeight="1">
      <c r="E267" s="456"/>
      <c r="F267" s="456"/>
      <c r="G267" s="456"/>
      <c r="H267" s="456"/>
      <c r="I267" s="456"/>
      <c r="J267" s="456"/>
      <c r="K267" s="456"/>
      <c r="L267" s="456"/>
      <c r="M267" s="455" t="s">
        <v>863</v>
      </c>
      <c r="N267" s="455">
        <v>2771.63</v>
      </c>
      <c r="O267" s="393"/>
    </row>
    <row r="268" spans="5:15" s="428" customFormat="1" ht="14.1" customHeight="1">
      <c r="E268" s="452" t="s">
        <v>447</v>
      </c>
      <c r="F268" s="452" t="s">
        <v>606</v>
      </c>
      <c r="G268" s="452" t="s">
        <v>792</v>
      </c>
      <c r="H268" s="452">
        <v>390402</v>
      </c>
      <c r="I268" s="452" t="s">
        <v>1141</v>
      </c>
      <c r="J268" s="453">
        <v>90000</v>
      </c>
      <c r="K268" s="453" t="s">
        <v>633</v>
      </c>
      <c r="L268" s="454" t="s">
        <v>1622</v>
      </c>
      <c r="M268" s="455">
        <v>57410.7</v>
      </c>
      <c r="N268" s="456"/>
      <c r="O268" s="393"/>
    </row>
    <row r="269" spans="5:15" s="428" customFormat="1" ht="14.1" customHeight="1">
      <c r="E269" s="456"/>
      <c r="F269" s="456"/>
      <c r="G269" s="456"/>
      <c r="H269" s="456"/>
      <c r="I269" s="456"/>
      <c r="J269" s="456"/>
      <c r="K269" s="456"/>
      <c r="L269" s="456"/>
      <c r="M269" s="455" t="s">
        <v>863</v>
      </c>
      <c r="N269" s="455">
        <v>57410.7</v>
      </c>
      <c r="O269" s="393"/>
    </row>
    <row r="270" spans="5:15" s="428" customFormat="1" ht="14.1" customHeight="1">
      <c r="E270" s="452" t="s">
        <v>447</v>
      </c>
      <c r="F270" s="452" t="s">
        <v>606</v>
      </c>
      <c r="G270" s="452" t="s">
        <v>855</v>
      </c>
      <c r="H270" s="452" t="s">
        <v>1147</v>
      </c>
      <c r="I270" s="452" t="s">
        <v>1148</v>
      </c>
      <c r="J270" s="453">
        <v>99000</v>
      </c>
      <c r="K270" s="453" t="s">
        <v>732</v>
      </c>
      <c r="L270" s="454" t="s">
        <v>1622</v>
      </c>
      <c r="M270" s="455">
        <v>5000</v>
      </c>
      <c r="N270" s="456"/>
      <c r="O270" s="393"/>
    </row>
    <row r="271" spans="5:15" s="428" customFormat="1" ht="14.1" customHeight="1">
      <c r="E271" s="452" t="s">
        <v>447</v>
      </c>
      <c r="F271" s="452" t="s">
        <v>606</v>
      </c>
      <c r="G271" s="452" t="s">
        <v>699</v>
      </c>
      <c r="H271" s="452" t="s">
        <v>1146</v>
      </c>
      <c r="I271" s="452" t="s">
        <v>1064</v>
      </c>
      <c r="J271" s="453">
        <v>99000</v>
      </c>
      <c r="K271" s="453" t="s">
        <v>732</v>
      </c>
      <c r="L271" s="454" t="s">
        <v>1622</v>
      </c>
      <c r="M271" s="455">
        <v>15834</v>
      </c>
      <c r="N271" s="456"/>
      <c r="O271" s="393"/>
    </row>
    <row r="272" spans="5:15" s="428" customFormat="1" ht="14.1" customHeight="1">
      <c r="E272" s="452" t="s">
        <v>447</v>
      </c>
      <c r="F272" s="452" t="s">
        <v>606</v>
      </c>
      <c r="G272" s="452" t="s">
        <v>699</v>
      </c>
      <c r="H272" s="452" t="s">
        <v>1144</v>
      </c>
      <c r="I272" s="452" t="s">
        <v>1145</v>
      </c>
      <c r="J272" s="453">
        <v>99000</v>
      </c>
      <c r="K272" s="453" t="s">
        <v>732</v>
      </c>
      <c r="L272" s="454" t="s">
        <v>1622</v>
      </c>
      <c r="M272" s="455">
        <v>15834</v>
      </c>
      <c r="N272" s="456"/>
      <c r="O272" s="393"/>
    </row>
    <row r="273" spans="5:15" s="428" customFormat="1" ht="14.1" customHeight="1">
      <c r="E273" s="452" t="s">
        <v>447</v>
      </c>
      <c r="F273" s="452" t="s">
        <v>606</v>
      </c>
      <c r="G273" s="452" t="s">
        <v>855</v>
      </c>
      <c r="H273" s="452" t="s">
        <v>1142</v>
      </c>
      <c r="I273" s="452" t="s">
        <v>1143</v>
      </c>
      <c r="J273" s="453">
        <v>99000</v>
      </c>
      <c r="K273" s="453" t="s">
        <v>732</v>
      </c>
      <c r="L273" s="454" t="s">
        <v>1622</v>
      </c>
      <c r="M273" s="455">
        <v>5000</v>
      </c>
      <c r="N273" s="456"/>
      <c r="O273" s="393"/>
    </row>
    <row r="274" spans="5:15" s="428" customFormat="1" ht="14.1" customHeight="1">
      <c r="E274" s="456"/>
      <c r="F274" s="456"/>
      <c r="G274" s="456"/>
      <c r="H274" s="456"/>
      <c r="I274" s="456"/>
      <c r="J274" s="456"/>
      <c r="K274" s="456"/>
      <c r="L274" s="456"/>
      <c r="M274" s="455" t="s">
        <v>863</v>
      </c>
      <c r="N274" s="455">
        <v>41668</v>
      </c>
      <c r="O274" s="393"/>
    </row>
    <row r="275" spans="5:15" s="428" customFormat="1" ht="14.1" customHeight="1">
      <c r="E275" s="452" t="s">
        <v>447</v>
      </c>
      <c r="F275" s="452" t="s">
        <v>606</v>
      </c>
      <c r="G275" s="452" t="s">
        <v>865</v>
      </c>
      <c r="H275" s="452" t="s">
        <v>1149</v>
      </c>
      <c r="I275" s="452" t="s">
        <v>1150</v>
      </c>
      <c r="J275" s="453">
        <v>99000</v>
      </c>
      <c r="K275" s="453" t="s">
        <v>735</v>
      </c>
      <c r="L275" s="454" t="s">
        <v>1622</v>
      </c>
      <c r="M275" s="455">
        <v>1848.15</v>
      </c>
      <c r="N275" s="456"/>
      <c r="O275" s="393"/>
    </row>
    <row r="276" spans="5:15" s="428" customFormat="1" ht="14.1" customHeight="1">
      <c r="E276" s="456"/>
      <c r="F276" s="456"/>
      <c r="G276" s="456"/>
      <c r="H276" s="456"/>
      <c r="I276" s="456"/>
      <c r="J276" s="456"/>
      <c r="K276" s="456"/>
      <c r="L276" s="456"/>
      <c r="M276" s="455" t="s">
        <v>863</v>
      </c>
      <c r="N276" s="455">
        <v>1848.15</v>
      </c>
      <c r="O276" s="393"/>
    </row>
    <row r="277" spans="5:15" s="428" customFormat="1" ht="14.1" customHeight="1">
      <c r="E277" s="452" t="s">
        <v>447</v>
      </c>
      <c r="F277" s="452" t="s">
        <v>606</v>
      </c>
      <c r="G277" s="452" t="s">
        <v>680</v>
      </c>
      <c r="H277" s="452" t="s">
        <v>1230</v>
      </c>
      <c r="I277" s="452" t="s">
        <v>1231</v>
      </c>
      <c r="J277" s="453">
        <v>90000</v>
      </c>
      <c r="K277" s="453" t="s">
        <v>703</v>
      </c>
      <c r="L277" s="454" t="s">
        <v>1622</v>
      </c>
      <c r="M277" s="455">
        <v>1632000</v>
      </c>
      <c r="N277" s="456"/>
      <c r="O277" s="393"/>
    </row>
    <row r="278" spans="5:15" s="428" customFormat="1" ht="14.1" customHeight="1">
      <c r="E278" s="452" t="s">
        <v>447</v>
      </c>
      <c r="F278" s="452" t="s">
        <v>606</v>
      </c>
      <c r="G278" s="452" t="s">
        <v>651</v>
      </c>
      <c r="H278" s="452" t="s">
        <v>1151</v>
      </c>
      <c r="I278" s="452" t="s">
        <v>1152</v>
      </c>
      <c r="J278" s="453">
        <v>90000</v>
      </c>
      <c r="K278" s="453" t="s">
        <v>703</v>
      </c>
      <c r="L278" s="454" t="s">
        <v>1622</v>
      </c>
      <c r="M278" s="455">
        <v>127328.22</v>
      </c>
      <c r="N278" s="456"/>
      <c r="O278" s="393"/>
    </row>
    <row r="279" spans="5:15" s="428" customFormat="1" ht="14.1" customHeight="1">
      <c r="E279" s="452" t="s">
        <v>447</v>
      </c>
      <c r="F279" s="452" t="s">
        <v>606</v>
      </c>
      <c r="G279" s="452" t="s">
        <v>1235</v>
      </c>
      <c r="H279" s="452" t="s">
        <v>1215</v>
      </c>
      <c r="I279" s="452" t="s">
        <v>1064</v>
      </c>
      <c r="J279" s="453">
        <v>90000</v>
      </c>
      <c r="K279" s="453" t="s">
        <v>703</v>
      </c>
      <c r="L279" s="454" t="s">
        <v>1622</v>
      </c>
      <c r="M279" s="455">
        <v>9000</v>
      </c>
      <c r="N279" s="457"/>
      <c r="O279" s="393"/>
    </row>
    <row r="280" spans="5:15" s="428" customFormat="1" ht="14.1" customHeight="1">
      <c r="E280" s="452" t="s">
        <v>447</v>
      </c>
      <c r="F280" s="452" t="s">
        <v>606</v>
      </c>
      <c r="G280" s="452" t="s">
        <v>855</v>
      </c>
      <c r="H280" s="452" t="s">
        <v>1247</v>
      </c>
      <c r="I280" s="452" t="s">
        <v>1248</v>
      </c>
      <c r="J280" s="453">
        <v>90000</v>
      </c>
      <c r="K280" s="453" t="s">
        <v>703</v>
      </c>
      <c r="L280" s="454" t="s">
        <v>1622</v>
      </c>
      <c r="M280" s="455">
        <v>203476.5</v>
      </c>
      <c r="N280" s="457"/>
      <c r="O280" s="393"/>
    </row>
    <row r="281" spans="5:15" s="428" customFormat="1" ht="14.1" customHeight="1">
      <c r="E281" s="452" t="s">
        <v>447</v>
      </c>
      <c r="F281" s="452" t="s">
        <v>606</v>
      </c>
      <c r="G281" s="452" t="s">
        <v>834</v>
      </c>
      <c r="H281" s="452" t="s">
        <v>1242</v>
      </c>
      <c r="I281" s="452" t="s">
        <v>1064</v>
      </c>
      <c r="J281" s="453">
        <v>90000</v>
      </c>
      <c r="K281" s="453" t="s">
        <v>703</v>
      </c>
      <c r="L281" s="454" t="s">
        <v>1622</v>
      </c>
      <c r="M281" s="455">
        <v>10985</v>
      </c>
      <c r="N281" s="457"/>
      <c r="O281" s="393"/>
    </row>
    <row r="282" spans="5:15" s="428" customFormat="1" ht="14.1" customHeight="1">
      <c r="E282" s="452" t="s">
        <v>447</v>
      </c>
      <c r="F282" s="452" t="s">
        <v>606</v>
      </c>
      <c r="G282" s="452" t="s">
        <v>834</v>
      </c>
      <c r="H282" s="452" t="s">
        <v>1241</v>
      </c>
      <c r="I282" s="452" t="s">
        <v>1064</v>
      </c>
      <c r="J282" s="453">
        <v>90000</v>
      </c>
      <c r="K282" s="453" t="s">
        <v>703</v>
      </c>
      <c r="L282" s="454" t="s">
        <v>1622</v>
      </c>
      <c r="M282" s="455">
        <v>5289</v>
      </c>
      <c r="N282" s="457"/>
      <c r="O282" s="393"/>
    </row>
    <row r="283" spans="5:15" s="428" customFormat="1" ht="14.1" customHeight="1">
      <c r="E283" s="452" t="s">
        <v>447</v>
      </c>
      <c r="F283" s="452" t="s">
        <v>606</v>
      </c>
      <c r="G283" s="452" t="s">
        <v>855</v>
      </c>
      <c r="H283" s="452" t="s">
        <v>1245</v>
      </c>
      <c r="I283" s="452" t="s">
        <v>1246</v>
      </c>
      <c r="J283" s="453">
        <v>90000</v>
      </c>
      <c r="K283" s="453" t="s">
        <v>703</v>
      </c>
      <c r="L283" s="454" t="s">
        <v>1622</v>
      </c>
      <c r="M283" s="455">
        <v>11145.5</v>
      </c>
      <c r="N283" s="457"/>
      <c r="O283" s="393"/>
    </row>
    <row r="284" spans="5:15" s="428" customFormat="1" ht="14.1" customHeight="1">
      <c r="E284" s="452" t="s">
        <v>447</v>
      </c>
      <c r="F284" s="452" t="s">
        <v>606</v>
      </c>
      <c r="G284" s="452" t="s">
        <v>651</v>
      </c>
      <c r="H284" s="452" t="s">
        <v>1243</v>
      </c>
      <c r="I284" s="452" t="s">
        <v>1244</v>
      </c>
      <c r="J284" s="453">
        <v>90000</v>
      </c>
      <c r="K284" s="453" t="s">
        <v>703</v>
      </c>
      <c r="L284" s="454" t="s">
        <v>1622</v>
      </c>
      <c r="M284" s="455">
        <v>630000</v>
      </c>
      <c r="N284" s="457"/>
      <c r="O284" s="393"/>
    </row>
    <row r="285" spans="5:15" s="428" customFormat="1" ht="14.1" customHeight="1">
      <c r="E285" s="452" t="s">
        <v>447</v>
      </c>
      <c r="F285" s="452" t="s">
        <v>606</v>
      </c>
      <c r="G285" s="452" t="s">
        <v>634</v>
      </c>
      <c r="H285" s="452" t="s">
        <v>1237</v>
      </c>
      <c r="I285" s="452" t="s">
        <v>1238</v>
      </c>
      <c r="J285" s="453">
        <v>90000</v>
      </c>
      <c r="K285" s="453" t="s">
        <v>703</v>
      </c>
      <c r="L285" s="454" t="s">
        <v>1622</v>
      </c>
      <c r="M285" s="455">
        <v>586754</v>
      </c>
      <c r="N285" s="457"/>
      <c r="O285" s="393"/>
    </row>
    <row r="286" spans="5:15" s="428" customFormat="1" ht="14.1" customHeight="1">
      <c r="E286" s="452" t="s">
        <v>447</v>
      </c>
      <c r="F286" s="452" t="s">
        <v>606</v>
      </c>
      <c r="G286" s="452" t="s">
        <v>1063</v>
      </c>
      <c r="H286" s="452">
        <v>2822</v>
      </c>
      <c r="I286" s="452" t="s">
        <v>1216</v>
      </c>
      <c r="J286" s="453">
        <v>90000</v>
      </c>
      <c r="K286" s="453" t="s">
        <v>703</v>
      </c>
      <c r="L286" s="454" t="s">
        <v>1622</v>
      </c>
      <c r="M286" s="455">
        <v>272718.90000000002</v>
      </c>
      <c r="N286" s="457"/>
      <c r="O286" s="393"/>
    </row>
    <row r="287" spans="5:15" s="428" customFormat="1" ht="14.1" customHeight="1">
      <c r="E287" s="452" t="s">
        <v>447</v>
      </c>
      <c r="F287" s="452" t="s">
        <v>606</v>
      </c>
      <c r="G287" s="452" t="s">
        <v>1063</v>
      </c>
      <c r="H287" s="452">
        <v>2821</v>
      </c>
      <c r="I287" s="452" t="s">
        <v>1216</v>
      </c>
      <c r="J287" s="453">
        <v>90000</v>
      </c>
      <c r="K287" s="453" t="s">
        <v>703</v>
      </c>
      <c r="L287" s="454" t="s">
        <v>1622</v>
      </c>
      <c r="M287" s="455">
        <v>136359.45000000001</v>
      </c>
      <c r="N287" s="457"/>
      <c r="O287" s="393"/>
    </row>
    <row r="288" spans="5:15" s="428" customFormat="1" ht="14.1" customHeight="1">
      <c r="E288" s="452" t="s">
        <v>447</v>
      </c>
      <c r="F288" s="452" t="s">
        <v>606</v>
      </c>
      <c r="G288" s="452" t="s">
        <v>816</v>
      </c>
      <c r="H288" s="452">
        <v>991001</v>
      </c>
      <c r="I288" s="452" t="s">
        <v>1221</v>
      </c>
      <c r="J288" s="453">
        <v>90000</v>
      </c>
      <c r="K288" s="453" t="s">
        <v>703</v>
      </c>
      <c r="L288" s="454" t="s">
        <v>1622</v>
      </c>
      <c r="M288" s="455">
        <v>500000</v>
      </c>
      <c r="N288" s="457"/>
      <c r="O288" s="393"/>
    </row>
    <row r="289" spans="5:15" s="428" customFormat="1" ht="14.1" customHeight="1">
      <c r="E289" s="452" t="s">
        <v>447</v>
      </c>
      <c r="F289" s="452" t="s">
        <v>606</v>
      </c>
      <c r="G289" s="452" t="s">
        <v>834</v>
      </c>
      <c r="H289" s="452" t="s">
        <v>1234</v>
      </c>
      <c r="I289" s="452" t="s">
        <v>1064</v>
      </c>
      <c r="J289" s="453">
        <v>90000</v>
      </c>
      <c r="K289" s="453" t="s">
        <v>703</v>
      </c>
      <c r="L289" s="454" t="s">
        <v>1622</v>
      </c>
      <c r="M289" s="455">
        <v>129539</v>
      </c>
      <c r="N289" s="457"/>
      <c r="O289" s="393"/>
    </row>
    <row r="290" spans="5:15" s="428" customFormat="1" ht="14.1" customHeight="1">
      <c r="E290" s="452" t="s">
        <v>447</v>
      </c>
      <c r="F290" s="452" t="s">
        <v>606</v>
      </c>
      <c r="G290" s="452" t="s">
        <v>834</v>
      </c>
      <c r="H290" s="452" t="s">
        <v>1225</v>
      </c>
      <c r="I290" s="452" t="s">
        <v>1064</v>
      </c>
      <c r="J290" s="453">
        <v>90000</v>
      </c>
      <c r="K290" s="453" t="s">
        <v>703</v>
      </c>
      <c r="L290" s="454" t="s">
        <v>1622</v>
      </c>
      <c r="M290" s="455">
        <v>34500</v>
      </c>
      <c r="N290" s="457"/>
      <c r="O290" s="393"/>
    </row>
    <row r="291" spans="5:15" s="428" customFormat="1" ht="14.1" customHeight="1">
      <c r="E291" s="452" t="s">
        <v>447</v>
      </c>
      <c r="F291" s="452" t="s">
        <v>606</v>
      </c>
      <c r="G291" s="452" t="s">
        <v>1218</v>
      </c>
      <c r="H291" s="452">
        <v>3420329</v>
      </c>
      <c r="I291" s="452" t="s">
        <v>1220</v>
      </c>
      <c r="J291" s="453">
        <v>90000</v>
      </c>
      <c r="K291" s="453" t="s">
        <v>703</v>
      </c>
      <c r="L291" s="454" t="s">
        <v>1622</v>
      </c>
      <c r="M291" s="455">
        <v>6980</v>
      </c>
      <c r="N291" s="457"/>
      <c r="O291" s="393"/>
    </row>
    <row r="292" spans="5:15" s="428" customFormat="1" ht="14.1" customHeight="1">
      <c r="E292" s="452" t="s">
        <v>447</v>
      </c>
      <c r="F292" s="452" t="s">
        <v>606</v>
      </c>
      <c r="G292" s="452" t="s">
        <v>834</v>
      </c>
      <c r="H292" s="452" t="s">
        <v>1239</v>
      </c>
      <c r="I292" s="452" t="s">
        <v>1064</v>
      </c>
      <c r="J292" s="453">
        <v>90000</v>
      </c>
      <c r="K292" s="453" t="s">
        <v>703</v>
      </c>
      <c r="L292" s="454" t="s">
        <v>1622</v>
      </c>
      <c r="M292" s="455">
        <v>49370</v>
      </c>
      <c r="N292" s="457"/>
      <c r="O292" s="393"/>
    </row>
    <row r="293" spans="5:15" s="428" customFormat="1" ht="14.1" customHeight="1">
      <c r="E293" s="456"/>
      <c r="F293" s="456"/>
      <c r="G293" s="456"/>
      <c r="H293" s="456"/>
      <c r="I293" s="456"/>
      <c r="J293" s="456"/>
      <c r="K293" s="456"/>
      <c r="L293" s="456"/>
      <c r="M293" s="456"/>
      <c r="N293" s="457"/>
      <c r="O293" s="393"/>
    </row>
    <row r="294" spans="5:15" s="428" customFormat="1" ht="14.1" customHeight="1">
      <c r="E294" s="452" t="s">
        <v>447</v>
      </c>
      <c r="F294" s="452" t="s">
        <v>606</v>
      </c>
      <c r="G294" s="452" t="s">
        <v>877</v>
      </c>
      <c r="H294" s="452">
        <v>7997</v>
      </c>
      <c r="I294" s="452" t="s">
        <v>1222</v>
      </c>
      <c r="J294" s="453">
        <v>90000</v>
      </c>
      <c r="K294" s="453" t="s">
        <v>703</v>
      </c>
      <c r="L294" s="454" t="s">
        <v>1622</v>
      </c>
      <c r="M294" s="455">
        <v>54196.5</v>
      </c>
      <c r="N294" s="457"/>
      <c r="O294" s="393"/>
    </row>
    <row r="295" spans="5:15" s="428" customFormat="1" ht="14.1" customHeight="1">
      <c r="E295" s="452" t="s">
        <v>447</v>
      </c>
      <c r="F295" s="452" t="s">
        <v>606</v>
      </c>
      <c r="G295" s="452" t="s">
        <v>1223</v>
      </c>
      <c r="H295" s="452">
        <v>745620</v>
      </c>
      <c r="I295" s="452" t="s">
        <v>1224</v>
      </c>
      <c r="J295" s="453">
        <v>90000</v>
      </c>
      <c r="K295" s="453" t="s">
        <v>703</v>
      </c>
      <c r="L295" s="454" t="s">
        <v>1622</v>
      </c>
      <c r="M295" s="455">
        <v>22526</v>
      </c>
      <c r="N295" s="456"/>
      <c r="O295" s="393"/>
    </row>
    <row r="296" spans="5:15" s="428" customFormat="1" ht="14.1" customHeight="1">
      <c r="E296" s="452" t="s">
        <v>447</v>
      </c>
      <c r="F296" s="452" t="s">
        <v>606</v>
      </c>
      <c r="G296" s="452" t="s">
        <v>834</v>
      </c>
      <c r="H296" s="452" t="s">
        <v>1240</v>
      </c>
      <c r="I296" s="452" t="s">
        <v>1064</v>
      </c>
      <c r="J296" s="453">
        <v>90000</v>
      </c>
      <c r="K296" s="453" t="s">
        <v>703</v>
      </c>
      <c r="L296" s="454" t="s">
        <v>1622</v>
      </c>
      <c r="M296" s="455">
        <v>119361.69</v>
      </c>
      <c r="N296" s="456"/>
      <c r="O296" s="393"/>
    </row>
    <row r="297" spans="5:15" s="428" customFormat="1" ht="14.1" customHeight="1">
      <c r="E297" s="452" t="s">
        <v>447</v>
      </c>
      <c r="F297" s="452" t="s">
        <v>606</v>
      </c>
      <c r="G297" s="452" t="s">
        <v>1214</v>
      </c>
      <c r="H297" s="452" t="s">
        <v>1215</v>
      </c>
      <c r="I297" s="452" t="s">
        <v>1064</v>
      </c>
      <c r="J297" s="453">
        <v>90000</v>
      </c>
      <c r="K297" s="453" t="s">
        <v>703</v>
      </c>
      <c r="L297" s="454" t="s">
        <v>1622</v>
      </c>
      <c r="M297" s="455">
        <v>5179.43</v>
      </c>
      <c r="N297" s="456"/>
      <c r="O297" s="393"/>
    </row>
    <row r="298" spans="5:15" s="428" customFormat="1" ht="14.1" customHeight="1">
      <c r="E298" s="452" t="s">
        <v>447</v>
      </c>
      <c r="F298" s="452" t="s">
        <v>606</v>
      </c>
      <c r="G298" s="452" t="s">
        <v>834</v>
      </c>
      <c r="H298" s="452" t="s">
        <v>1250</v>
      </c>
      <c r="I298" s="452" t="s">
        <v>1064</v>
      </c>
      <c r="J298" s="453">
        <v>90000</v>
      </c>
      <c r="K298" s="453" t="s">
        <v>703</v>
      </c>
      <c r="L298" s="454" t="s">
        <v>1622</v>
      </c>
      <c r="M298" s="455">
        <v>20808</v>
      </c>
      <c r="N298" s="456"/>
      <c r="O298" s="393"/>
    </row>
    <row r="299" spans="5:15" s="428" customFormat="1" ht="14.1" customHeight="1">
      <c r="E299" s="452" t="s">
        <v>447</v>
      </c>
      <c r="F299" s="452" t="s">
        <v>606</v>
      </c>
      <c r="G299" s="452" t="s">
        <v>651</v>
      </c>
      <c r="H299" s="452">
        <v>3004</v>
      </c>
      <c r="I299" s="452" t="s">
        <v>1072</v>
      </c>
      <c r="J299" s="453">
        <v>90000</v>
      </c>
      <c r="K299" s="453" t="s">
        <v>703</v>
      </c>
      <c r="L299" s="454" t="s">
        <v>1622</v>
      </c>
      <c r="M299" s="455">
        <v>63668.61</v>
      </c>
      <c r="N299" s="456"/>
      <c r="O299" s="393"/>
    </row>
    <row r="300" spans="5:15" s="428" customFormat="1" ht="14.1" customHeight="1">
      <c r="E300" s="452" t="s">
        <v>447</v>
      </c>
      <c r="F300" s="452" t="s">
        <v>606</v>
      </c>
      <c r="G300" s="452" t="s">
        <v>1073</v>
      </c>
      <c r="H300" s="452" t="s">
        <v>1236</v>
      </c>
      <c r="I300" s="452" t="s">
        <v>1233</v>
      </c>
      <c r="J300" s="453">
        <v>90000</v>
      </c>
      <c r="K300" s="453" t="s">
        <v>703</v>
      </c>
      <c r="L300" s="454" t="s">
        <v>1622</v>
      </c>
      <c r="M300" s="455">
        <v>3000</v>
      </c>
      <c r="N300" s="456"/>
      <c r="O300" s="393"/>
    </row>
    <row r="301" spans="5:15" s="428" customFormat="1" ht="14.1" customHeight="1">
      <c r="E301" s="452" t="s">
        <v>447</v>
      </c>
      <c r="F301" s="452" t="s">
        <v>606</v>
      </c>
      <c r="G301" s="452" t="s">
        <v>1073</v>
      </c>
      <c r="H301" s="452" t="s">
        <v>1232</v>
      </c>
      <c r="I301" s="452" t="s">
        <v>1233</v>
      </c>
      <c r="J301" s="453">
        <v>90000</v>
      </c>
      <c r="K301" s="453" t="s">
        <v>703</v>
      </c>
      <c r="L301" s="454" t="s">
        <v>1622</v>
      </c>
      <c r="M301" s="455">
        <v>11000</v>
      </c>
      <c r="N301" s="456"/>
      <c r="O301" s="393"/>
    </row>
    <row r="302" spans="5:15" s="428" customFormat="1" ht="14.1" customHeight="1">
      <c r="E302" s="452" t="s">
        <v>447</v>
      </c>
      <c r="F302" s="452" t="s">
        <v>606</v>
      </c>
      <c r="G302" s="452" t="s">
        <v>1153</v>
      </c>
      <c r="H302" s="452" t="s">
        <v>1154</v>
      </c>
      <c r="I302" s="452" t="s">
        <v>1213</v>
      </c>
      <c r="J302" s="453">
        <v>90000</v>
      </c>
      <c r="K302" s="453" t="s">
        <v>703</v>
      </c>
      <c r="L302" s="454" t="s">
        <v>1622</v>
      </c>
      <c r="M302" s="455">
        <v>977990</v>
      </c>
      <c r="N302" s="456"/>
      <c r="O302" s="393"/>
    </row>
    <row r="303" spans="5:15" s="428" customFormat="1" ht="14.1" customHeight="1">
      <c r="E303" s="452" t="s">
        <v>447</v>
      </c>
      <c r="F303" s="452" t="s">
        <v>606</v>
      </c>
      <c r="G303" s="452" t="s">
        <v>855</v>
      </c>
      <c r="H303" s="452" t="s">
        <v>1249</v>
      </c>
      <c r="I303" s="452" t="s">
        <v>1064</v>
      </c>
      <c r="J303" s="453">
        <v>90000</v>
      </c>
      <c r="K303" s="453" t="s">
        <v>703</v>
      </c>
      <c r="L303" s="454" t="s">
        <v>1622</v>
      </c>
      <c r="M303" s="455">
        <v>10245.82</v>
      </c>
      <c r="N303" s="456"/>
      <c r="O303" s="393"/>
    </row>
    <row r="304" spans="5:15" s="428" customFormat="1" ht="14.1" customHeight="1">
      <c r="E304" s="452" t="s">
        <v>447</v>
      </c>
      <c r="F304" s="452" t="s">
        <v>606</v>
      </c>
      <c r="G304" s="452" t="s">
        <v>688</v>
      </c>
      <c r="H304" s="452">
        <v>99137</v>
      </c>
      <c r="I304" s="452" t="s">
        <v>1064</v>
      </c>
      <c r="J304" s="453">
        <v>90000</v>
      </c>
      <c r="K304" s="453" t="s">
        <v>703</v>
      </c>
      <c r="L304" s="454" t="s">
        <v>1622</v>
      </c>
      <c r="M304" s="455">
        <v>52404.53</v>
      </c>
      <c r="N304" s="456"/>
      <c r="O304" s="393"/>
    </row>
    <row r="305" spans="5:15" s="428" customFormat="1" ht="14.1" customHeight="1">
      <c r="E305" s="452" t="s">
        <v>447</v>
      </c>
      <c r="F305" s="452" t="s">
        <v>606</v>
      </c>
      <c r="G305" s="452" t="s">
        <v>651</v>
      </c>
      <c r="H305" s="452" t="s">
        <v>840</v>
      </c>
      <c r="I305" s="452" t="s">
        <v>1217</v>
      </c>
      <c r="J305" s="453">
        <v>90000</v>
      </c>
      <c r="K305" s="453" t="s">
        <v>703</v>
      </c>
      <c r="L305" s="454" t="s">
        <v>1622</v>
      </c>
      <c r="M305" s="455">
        <v>683258.64</v>
      </c>
      <c r="N305" s="456"/>
      <c r="O305" s="393"/>
    </row>
    <row r="306" spans="5:15" s="428" customFormat="1" ht="14.1" customHeight="1">
      <c r="E306" s="456"/>
      <c r="F306" s="456"/>
      <c r="G306" s="456"/>
      <c r="H306" s="456"/>
      <c r="I306" s="456"/>
      <c r="J306" s="456"/>
      <c r="K306" s="456"/>
      <c r="L306" s="456"/>
      <c r="M306" s="455" t="s">
        <v>863</v>
      </c>
      <c r="N306" s="455">
        <v>6369084.790000001</v>
      </c>
      <c r="O306" s="393"/>
    </row>
    <row r="307" spans="5:15" s="428" customFormat="1" ht="14.1" customHeight="1">
      <c r="E307" s="452" t="s">
        <v>447</v>
      </c>
      <c r="F307" s="452" t="s">
        <v>606</v>
      </c>
      <c r="G307" s="452" t="s">
        <v>821</v>
      </c>
      <c r="H307" s="452" t="s">
        <v>1251</v>
      </c>
      <c r="I307" s="452" t="s">
        <v>658</v>
      </c>
      <c r="J307" s="453">
        <v>99000</v>
      </c>
      <c r="K307" s="453" t="s">
        <v>621</v>
      </c>
      <c r="L307" s="454" t="s">
        <v>1622</v>
      </c>
      <c r="M307" s="455">
        <v>66.489999999999995</v>
      </c>
      <c r="N307" s="456"/>
      <c r="O307" s="393"/>
    </row>
    <row r="308" spans="5:15" s="428" customFormat="1" ht="14.1" customHeight="1">
      <c r="E308" s="452" t="s">
        <v>447</v>
      </c>
      <c r="F308" s="452" t="s">
        <v>606</v>
      </c>
      <c r="G308" s="452" t="s">
        <v>821</v>
      </c>
      <c r="H308" s="452" t="s">
        <v>1251</v>
      </c>
      <c r="I308" s="452" t="s">
        <v>1253</v>
      </c>
      <c r="J308" s="453">
        <v>99000</v>
      </c>
      <c r="K308" s="453" t="s">
        <v>621</v>
      </c>
      <c r="L308" s="454" t="s">
        <v>1622</v>
      </c>
      <c r="M308" s="455">
        <v>126.84</v>
      </c>
      <c r="N308" s="456"/>
      <c r="O308" s="393"/>
    </row>
    <row r="309" spans="5:15" s="428" customFormat="1" ht="14.1" customHeight="1">
      <c r="E309" s="452" t="s">
        <v>447</v>
      </c>
      <c r="F309" s="452" t="s">
        <v>606</v>
      </c>
      <c r="G309" s="452" t="s">
        <v>821</v>
      </c>
      <c r="H309" s="452" t="s">
        <v>1251</v>
      </c>
      <c r="I309" s="452" t="s">
        <v>1252</v>
      </c>
      <c r="J309" s="453">
        <v>99000</v>
      </c>
      <c r="K309" s="453" t="s">
        <v>621</v>
      </c>
      <c r="L309" s="454" t="s">
        <v>1622</v>
      </c>
      <c r="M309" s="455">
        <v>1131.4000000000001</v>
      </c>
      <c r="N309" s="456"/>
      <c r="O309" s="393"/>
    </row>
    <row r="310" spans="5:15" s="428" customFormat="1" ht="14.1" customHeight="1">
      <c r="E310" s="456"/>
      <c r="F310" s="456"/>
      <c r="G310" s="456"/>
      <c r="H310" s="456"/>
      <c r="I310" s="456"/>
      <c r="J310" s="456"/>
      <c r="K310" s="456"/>
      <c r="L310" s="456"/>
      <c r="M310" s="455" t="s">
        <v>863</v>
      </c>
      <c r="N310" s="455">
        <v>1324.73</v>
      </c>
      <c r="O310" s="393"/>
    </row>
    <row r="311" spans="5:15" s="428" customFormat="1" ht="14.1" customHeight="1">
      <c r="E311" s="456"/>
      <c r="F311" s="456"/>
      <c r="G311" s="456"/>
      <c r="H311" s="456"/>
      <c r="I311" s="456"/>
      <c r="J311" s="456"/>
      <c r="K311" s="456"/>
      <c r="L311" s="456"/>
      <c r="M311" s="455" t="s">
        <v>1055</v>
      </c>
      <c r="N311" s="455">
        <v>7824421.0600000015</v>
      </c>
      <c r="O311" s="393"/>
    </row>
    <row r="312" spans="5:15" s="428" customFormat="1" ht="14.1" customHeight="1">
      <c r="E312" s="452" t="s">
        <v>447</v>
      </c>
      <c r="F312" s="452" t="s">
        <v>606</v>
      </c>
      <c r="G312" s="452" t="s">
        <v>865</v>
      </c>
      <c r="H312" s="452">
        <v>909605</v>
      </c>
      <c r="I312" s="452" t="s">
        <v>1060</v>
      </c>
      <c r="J312" s="453">
        <v>99000</v>
      </c>
      <c r="K312" s="453" t="s">
        <v>1057</v>
      </c>
      <c r="L312" s="454" t="s">
        <v>1623</v>
      </c>
      <c r="M312" s="455">
        <v>3359.69</v>
      </c>
      <c r="N312" s="456"/>
      <c r="O312" s="393"/>
    </row>
    <row r="313" spans="5:15" s="428" customFormat="1" ht="14.1" customHeight="1">
      <c r="E313" s="456"/>
      <c r="F313" s="456"/>
      <c r="G313" s="456"/>
      <c r="H313" s="456"/>
      <c r="I313" s="456"/>
      <c r="J313" s="456"/>
      <c r="K313" s="456"/>
      <c r="L313" s="456"/>
      <c r="M313" s="455" t="s">
        <v>863</v>
      </c>
      <c r="N313" s="455">
        <v>3359.69</v>
      </c>
      <c r="O313" s="393"/>
    </row>
    <row r="314" spans="5:15" s="428" customFormat="1" ht="14.1" customHeight="1">
      <c r="E314" s="452" t="s">
        <v>447</v>
      </c>
      <c r="F314" s="452" t="s">
        <v>606</v>
      </c>
      <c r="G314" s="452" t="s">
        <v>877</v>
      </c>
      <c r="H314" s="452" t="s">
        <v>1254</v>
      </c>
      <c r="I314" s="452" t="s">
        <v>409</v>
      </c>
      <c r="J314" s="453">
        <v>99000</v>
      </c>
      <c r="K314" s="453" t="s">
        <v>1255</v>
      </c>
      <c r="L314" s="454" t="s">
        <v>1623</v>
      </c>
      <c r="M314" s="455">
        <v>33146.06</v>
      </c>
      <c r="N314" s="456"/>
      <c r="O314" s="393"/>
    </row>
    <row r="315" spans="5:15" s="428" customFormat="1" ht="14.1" customHeight="1">
      <c r="E315" s="456"/>
      <c r="F315" s="456"/>
      <c r="G315" s="456"/>
      <c r="H315" s="456"/>
      <c r="I315" s="456"/>
      <c r="J315" s="456"/>
      <c r="K315" s="456"/>
      <c r="L315" s="456"/>
      <c r="M315" s="455" t="s">
        <v>863</v>
      </c>
      <c r="N315" s="455">
        <v>33146.06</v>
      </c>
      <c r="O315" s="393"/>
    </row>
    <row r="316" spans="5:15" s="428" customFormat="1" ht="14.1" customHeight="1">
      <c r="E316" s="452" t="s">
        <v>447</v>
      </c>
      <c r="F316" s="452" t="s">
        <v>606</v>
      </c>
      <c r="G316" s="452" t="s">
        <v>873</v>
      </c>
      <c r="H316" s="452" t="s">
        <v>1256</v>
      </c>
      <c r="I316" s="452" t="s">
        <v>1257</v>
      </c>
      <c r="J316" s="453">
        <v>99000</v>
      </c>
      <c r="K316" s="453" t="s">
        <v>617</v>
      </c>
      <c r="L316" s="454" t="s">
        <v>1623</v>
      </c>
      <c r="M316" s="455">
        <v>10609.34</v>
      </c>
      <c r="N316" s="456"/>
      <c r="O316" s="393"/>
    </row>
    <row r="317" spans="5:15" s="428" customFormat="1" ht="14.1" customHeight="1">
      <c r="E317" s="452" t="s">
        <v>447</v>
      </c>
      <c r="F317" s="452" t="s">
        <v>606</v>
      </c>
      <c r="G317" s="452" t="s">
        <v>873</v>
      </c>
      <c r="H317" s="452" t="s">
        <v>1256</v>
      </c>
      <c r="I317" s="452" t="s">
        <v>1257</v>
      </c>
      <c r="J317" s="453">
        <v>99000</v>
      </c>
      <c r="K317" s="453" t="s">
        <v>617</v>
      </c>
      <c r="L317" s="454" t="s">
        <v>1623</v>
      </c>
      <c r="M317" s="455">
        <v>14179.86</v>
      </c>
      <c r="N317" s="456"/>
      <c r="O317" s="393"/>
    </row>
    <row r="318" spans="5:15" s="428" customFormat="1" ht="14.1" customHeight="1">
      <c r="E318" s="452" t="s">
        <v>447</v>
      </c>
      <c r="F318" s="452" t="s">
        <v>606</v>
      </c>
      <c r="G318" s="452" t="s">
        <v>873</v>
      </c>
      <c r="H318" s="452" t="s">
        <v>1256</v>
      </c>
      <c r="I318" s="452" t="s">
        <v>1257</v>
      </c>
      <c r="J318" s="453">
        <v>99000</v>
      </c>
      <c r="K318" s="453" t="s">
        <v>617</v>
      </c>
      <c r="L318" s="454" t="s">
        <v>1623</v>
      </c>
      <c r="M318" s="455">
        <v>79879.31</v>
      </c>
      <c r="N318" s="456"/>
      <c r="O318" s="393"/>
    </row>
    <row r="319" spans="5:15" s="428" customFormat="1" ht="14.1" customHeight="1">
      <c r="E319" s="456"/>
      <c r="F319" s="456"/>
      <c r="G319" s="456"/>
      <c r="H319" s="456"/>
      <c r="I319" s="456"/>
      <c r="J319" s="456"/>
      <c r="K319" s="456"/>
      <c r="L319" s="456"/>
      <c r="M319" s="455" t="s">
        <v>863</v>
      </c>
      <c r="N319" s="455">
        <v>104668.51</v>
      </c>
      <c r="O319" s="393"/>
    </row>
    <row r="320" spans="5:15" s="428" customFormat="1" ht="14.1" customHeight="1">
      <c r="E320" s="452" t="s">
        <v>447</v>
      </c>
      <c r="F320" s="452" t="s">
        <v>606</v>
      </c>
      <c r="G320" s="452" t="s">
        <v>680</v>
      </c>
      <c r="H320" s="452" t="s">
        <v>1258</v>
      </c>
      <c r="I320" s="452" t="s">
        <v>689</v>
      </c>
      <c r="J320" s="453">
        <v>90000</v>
      </c>
      <c r="K320" s="453" t="s">
        <v>633</v>
      </c>
      <c r="L320" s="454" t="s">
        <v>1623</v>
      </c>
      <c r="M320" s="455">
        <v>1632000</v>
      </c>
      <c r="N320" s="456"/>
      <c r="O320" s="393"/>
    </row>
    <row r="321" spans="5:15" s="428" customFormat="1" ht="14.1" customHeight="1">
      <c r="E321" s="456"/>
      <c r="F321" s="456"/>
      <c r="G321" s="456"/>
      <c r="H321" s="456"/>
      <c r="I321" s="456"/>
      <c r="J321" s="456"/>
      <c r="K321" s="456"/>
      <c r="L321" s="456"/>
      <c r="M321" s="455" t="s">
        <v>863</v>
      </c>
      <c r="N321" s="455">
        <v>1632000</v>
      </c>
      <c r="O321" s="393"/>
    </row>
    <row r="322" spans="5:15" s="428" customFormat="1" ht="14.1" customHeight="1">
      <c r="E322" s="452" t="s">
        <v>447</v>
      </c>
      <c r="F322" s="452" t="s">
        <v>606</v>
      </c>
      <c r="G322" s="452" t="s">
        <v>855</v>
      </c>
      <c r="H322" s="452" t="s">
        <v>1261</v>
      </c>
      <c r="I322" s="452" t="s">
        <v>1148</v>
      </c>
      <c r="J322" s="453">
        <v>99000</v>
      </c>
      <c r="K322" s="453" t="s">
        <v>732</v>
      </c>
      <c r="L322" s="454" t="s">
        <v>1623</v>
      </c>
      <c r="M322" s="455">
        <v>15000</v>
      </c>
      <c r="N322" s="456"/>
      <c r="O322" s="393"/>
    </row>
    <row r="323" spans="5:15" s="428" customFormat="1" ht="14.1" customHeight="1">
      <c r="E323" s="452" t="s">
        <v>447</v>
      </c>
      <c r="F323" s="452" t="s">
        <v>606</v>
      </c>
      <c r="G323" s="452" t="s">
        <v>699</v>
      </c>
      <c r="H323" s="452" t="s">
        <v>1259</v>
      </c>
      <c r="I323" s="452" t="s">
        <v>1260</v>
      </c>
      <c r="J323" s="453">
        <v>99000</v>
      </c>
      <c r="K323" s="453" t="s">
        <v>732</v>
      </c>
      <c r="L323" s="454" t="s">
        <v>1623</v>
      </c>
      <c r="M323" s="455">
        <v>15834</v>
      </c>
      <c r="N323" s="456"/>
      <c r="O323" s="393"/>
    </row>
    <row r="324" spans="5:15" s="428" customFormat="1" ht="14.1" customHeight="1">
      <c r="E324" s="456"/>
      <c r="F324" s="456"/>
      <c r="G324" s="456"/>
      <c r="H324" s="456"/>
      <c r="I324" s="456"/>
      <c r="J324" s="456"/>
      <c r="K324" s="456"/>
      <c r="L324" s="456"/>
      <c r="M324" s="455" t="s">
        <v>863</v>
      </c>
      <c r="N324" s="455">
        <v>30834</v>
      </c>
      <c r="O324" s="393"/>
    </row>
    <row r="325" spans="5:15" s="428" customFormat="1" ht="14.1" customHeight="1">
      <c r="E325" s="452" t="s">
        <v>447</v>
      </c>
      <c r="F325" s="452" t="s">
        <v>606</v>
      </c>
      <c r="G325" s="452" t="s">
        <v>877</v>
      </c>
      <c r="H325" s="452" t="s">
        <v>1254</v>
      </c>
      <c r="I325" s="452" t="s">
        <v>1262</v>
      </c>
      <c r="J325" s="453">
        <v>99000</v>
      </c>
      <c r="K325" s="453" t="s">
        <v>1263</v>
      </c>
      <c r="L325" s="454" t="s">
        <v>1623</v>
      </c>
      <c r="M325" s="455">
        <v>8777.07</v>
      </c>
      <c r="N325" s="456"/>
      <c r="O325" s="393"/>
    </row>
    <row r="326" spans="5:15" s="428" customFormat="1" ht="14.1" customHeight="1">
      <c r="E326" s="452" t="s">
        <v>447</v>
      </c>
      <c r="F326" s="452" t="s">
        <v>606</v>
      </c>
      <c r="G326" s="452" t="s">
        <v>877</v>
      </c>
      <c r="H326" s="452" t="s">
        <v>1254</v>
      </c>
      <c r="I326" s="452" t="s">
        <v>1262</v>
      </c>
      <c r="J326" s="453">
        <v>99000</v>
      </c>
      <c r="K326" s="453" t="s">
        <v>1263</v>
      </c>
      <c r="L326" s="454" t="s">
        <v>1623</v>
      </c>
      <c r="M326" s="455">
        <v>5422.76</v>
      </c>
      <c r="N326" s="456"/>
      <c r="O326" s="393"/>
    </row>
    <row r="327" spans="5:15" s="428" customFormat="1" ht="14.1" customHeight="1">
      <c r="E327" s="456"/>
      <c r="F327" s="456"/>
      <c r="G327" s="456"/>
      <c r="H327" s="456"/>
      <c r="I327" s="456"/>
      <c r="J327" s="456"/>
      <c r="K327" s="456"/>
      <c r="L327" s="456"/>
      <c r="M327" s="455" t="s">
        <v>863</v>
      </c>
      <c r="N327" s="455">
        <v>14199.83</v>
      </c>
      <c r="O327" s="393"/>
    </row>
    <row r="328" spans="5:15" s="428" customFormat="1" ht="14.1" customHeight="1">
      <c r="E328" s="452" t="s">
        <v>447</v>
      </c>
      <c r="F328" s="452" t="s">
        <v>606</v>
      </c>
      <c r="G328" s="452" t="s">
        <v>816</v>
      </c>
      <c r="H328" s="452">
        <v>991101</v>
      </c>
      <c r="I328" s="452">
        <v>991101</v>
      </c>
      <c r="J328" s="453">
        <v>10200</v>
      </c>
      <c r="K328" s="453" t="s">
        <v>703</v>
      </c>
      <c r="L328" s="454" t="s">
        <v>1623</v>
      </c>
      <c r="M328" s="455">
        <v>500000</v>
      </c>
      <c r="N328" s="456"/>
      <c r="O328" s="393"/>
    </row>
    <row r="329" spans="5:15" s="428" customFormat="1" ht="14.1" customHeight="1">
      <c r="E329" s="456"/>
      <c r="F329" s="456"/>
      <c r="G329" s="456"/>
      <c r="H329" s="456"/>
      <c r="I329" s="456"/>
      <c r="J329" s="456"/>
      <c r="K329" s="456"/>
      <c r="L329" s="456"/>
      <c r="M329" s="455" t="s">
        <v>863</v>
      </c>
      <c r="N329" s="455">
        <v>500000</v>
      </c>
      <c r="O329" s="393"/>
    </row>
    <row r="330" spans="5:15" s="428" customFormat="1" ht="14.1" customHeight="1">
      <c r="E330" s="452" t="s">
        <v>447</v>
      </c>
      <c r="F330" s="452" t="s">
        <v>606</v>
      </c>
      <c r="G330" s="452" t="s">
        <v>877</v>
      </c>
      <c r="H330" s="452" t="s">
        <v>1254</v>
      </c>
      <c r="I330" s="452" t="s">
        <v>1264</v>
      </c>
      <c r="J330" s="453">
        <v>99000</v>
      </c>
      <c r="K330" s="453" t="s">
        <v>621</v>
      </c>
      <c r="L330" s="454" t="s">
        <v>1623</v>
      </c>
      <c r="M330" s="455">
        <v>2644.2</v>
      </c>
      <c r="N330" s="456"/>
      <c r="O330" s="393"/>
    </row>
    <row r="331" spans="5:15" s="428" customFormat="1" ht="14.1" customHeight="1">
      <c r="E331" s="456"/>
      <c r="F331" s="456"/>
      <c r="G331" s="456"/>
      <c r="H331" s="456"/>
      <c r="I331" s="456"/>
      <c r="J331" s="456"/>
      <c r="K331" s="456"/>
      <c r="L331" s="456"/>
      <c r="M331" s="455" t="s">
        <v>863</v>
      </c>
      <c r="N331" s="455">
        <v>2644.2</v>
      </c>
      <c r="O331" s="393"/>
    </row>
    <row r="332" spans="5:15" s="428" customFormat="1" ht="14.1" customHeight="1">
      <c r="E332" s="456"/>
      <c r="F332" s="456"/>
      <c r="G332" s="456"/>
      <c r="H332" s="456"/>
      <c r="I332" s="456"/>
      <c r="J332" s="456"/>
      <c r="K332" s="456"/>
      <c r="L332" s="456"/>
      <c r="M332" s="455" t="s">
        <v>1055</v>
      </c>
      <c r="N332" s="455">
        <v>2320852.29</v>
      </c>
      <c r="O332" s="393"/>
    </row>
    <row r="333" spans="5:15" s="428" customFormat="1" ht="14.1" customHeight="1">
      <c r="E333" s="452" t="s">
        <v>447</v>
      </c>
      <c r="F333" s="452" t="s">
        <v>606</v>
      </c>
      <c r="G333" s="452" t="s">
        <v>733</v>
      </c>
      <c r="H333" s="452">
        <v>992727</v>
      </c>
      <c r="I333" s="452" t="s">
        <v>1270</v>
      </c>
      <c r="J333" s="453">
        <v>99000</v>
      </c>
      <c r="K333" s="453" t="s">
        <v>1057</v>
      </c>
      <c r="L333" s="454" t="s">
        <v>1624</v>
      </c>
      <c r="M333" s="455">
        <v>666.62</v>
      </c>
      <c r="N333" s="456"/>
      <c r="O333" s="393"/>
    </row>
    <row r="334" spans="5:15" s="428" customFormat="1" ht="14.1" customHeight="1">
      <c r="E334" s="452" t="s">
        <v>447</v>
      </c>
      <c r="F334" s="452" t="s">
        <v>606</v>
      </c>
      <c r="G334" s="452" t="s">
        <v>733</v>
      </c>
      <c r="H334" s="452">
        <v>992825</v>
      </c>
      <c r="I334" s="452" t="s">
        <v>1270</v>
      </c>
      <c r="J334" s="453">
        <v>99000</v>
      </c>
      <c r="K334" s="453" t="s">
        <v>1057</v>
      </c>
      <c r="L334" s="454" t="s">
        <v>1624</v>
      </c>
      <c r="M334" s="455">
        <v>2300.25</v>
      </c>
      <c r="N334" s="456"/>
      <c r="O334" s="393"/>
    </row>
    <row r="335" spans="5:15" s="428" customFormat="1" ht="14.1" customHeight="1">
      <c r="E335" s="452" t="s">
        <v>447</v>
      </c>
      <c r="F335" s="452" t="s">
        <v>606</v>
      </c>
      <c r="G335" s="452" t="s">
        <v>1059</v>
      </c>
      <c r="H335" s="452">
        <v>12</v>
      </c>
      <c r="I335" s="452" t="s">
        <v>1271</v>
      </c>
      <c r="J335" s="453">
        <v>99000</v>
      </c>
      <c r="K335" s="453" t="s">
        <v>1057</v>
      </c>
      <c r="L335" s="454" t="s">
        <v>1624</v>
      </c>
      <c r="M335" s="455">
        <v>34278</v>
      </c>
      <c r="N335" s="456"/>
      <c r="O335" s="393"/>
    </row>
    <row r="336" spans="5:15" s="428" customFormat="1" ht="14.1" customHeight="1">
      <c r="E336" s="452" t="s">
        <v>447</v>
      </c>
      <c r="F336" s="452" t="s">
        <v>606</v>
      </c>
      <c r="G336" s="452" t="s">
        <v>651</v>
      </c>
      <c r="H336" s="452" t="s">
        <v>1266</v>
      </c>
      <c r="I336" s="452" t="s">
        <v>1272</v>
      </c>
      <c r="J336" s="453">
        <v>99000</v>
      </c>
      <c r="K336" s="453" t="s">
        <v>1057</v>
      </c>
      <c r="L336" s="454" t="s">
        <v>1624</v>
      </c>
      <c r="M336" s="455">
        <v>150000</v>
      </c>
      <c r="N336" s="456"/>
      <c r="O336" s="393"/>
    </row>
    <row r="337" spans="5:15" s="428" customFormat="1" ht="14.1" customHeight="1">
      <c r="E337" s="452" t="s">
        <v>447</v>
      </c>
      <c r="F337" s="452" t="s">
        <v>606</v>
      </c>
      <c r="G337" s="452" t="s">
        <v>651</v>
      </c>
      <c r="H337" s="452" t="s">
        <v>1266</v>
      </c>
      <c r="I337" s="452" t="s">
        <v>1267</v>
      </c>
      <c r="J337" s="453">
        <v>99000</v>
      </c>
      <c r="K337" s="453" t="s">
        <v>1057</v>
      </c>
      <c r="L337" s="454" t="s">
        <v>1624</v>
      </c>
      <c r="M337" s="455">
        <v>100000</v>
      </c>
      <c r="N337" s="456"/>
      <c r="O337" s="393"/>
    </row>
    <row r="338" spans="5:15" s="428" customFormat="1" ht="14.1" customHeight="1">
      <c r="E338" s="452" t="s">
        <v>447</v>
      </c>
      <c r="F338" s="452" t="s">
        <v>606</v>
      </c>
      <c r="G338" s="452" t="s">
        <v>1268</v>
      </c>
      <c r="H338" s="452" t="s">
        <v>1266</v>
      </c>
      <c r="I338" s="452" t="s">
        <v>1269</v>
      </c>
      <c r="J338" s="453">
        <v>99000</v>
      </c>
      <c r="K338" s="453" t="s">
        <v>1057</v>
      </c>
      <c r="L338" s="454" t="s">
        <v>1624</v>
      </c>
      <c r="M338" s="455">
        <v>201869</v>
      </c>
      <c r="N338" s="456"/>
      <c r="O338" s="393"/>
    </row>
    <row r="339" spans="5:15" s="428" customFormat="1" ht="14.1" customHeight="1">
      <c r="E339" s="456"/>
      <c r="F339" s="456"/>
      <c r="G339" s="456"/>
      <c r="H339" s="456"/>
      <c r="I339" s="456"/>
      <c r="J339" s="456"/>
      <c r="K339" s="456"/>
      <c r="L339" s="456"/>
      <c r="M339" s="455" t="s">
        <v>863</v>
      </c>
      <c r="N339" s="455">
        <v>489113.87</v>
      </c>
      <c r="O339" s="393"/>
    </row>
    <row r="340" spans="5:15" s="428" customFormat="1" ht="14.1" customHeight="1">
      <c r="E340" s="452" t="s">
        <v>447</v>
      </c>
      <c r="F340" s="452" t="s">
        <v>606</v>
      </c>
      <c r="G340" s="452" t="s">
        <v>1268</v>
      </c>
      <c r="H340" s="452" t="s">
        <v>1266</v>
      </c>
      <c r="I340" s="452" t="s">
        <v>1274</v>
      </c>
      <c r="J340" s="453">
        <v>99000</v>
      </c>
      <c r="K340" s="453" t="s">
        <v>675</v>
      </c>
      <c r="L340" s="454" t="s">
        <v>1624</v>
      </c>
      <c r="M340" s="455">
        <v>82855</v>
      </c>
      <c r="N340" s="456"/>
      <c r="O340" s="393"/>
    </row>
    <row r="341" spans="5:15" s="428" customFormat="1" ht="14.1" customHeight="1">
      <c r="E341" s="456"/>
      <c r="F341" s="456"/>
      <c r="G341" s="456"/>
      <c r="H341" s="456"/>
      <c r="I341" s="456"/>
      <c r="J341" s="456"/>
      <c r="K341" s="456"/>
      <c r="L341" s="456"/>
      <c r="M341" s="456"/>
      <c r="N341" s="456"/>
      <c r="O341" s="393"/>
    </row>
    <row r="342" spans="5:15" s="428" customFormat="1" ht="14.1" customHeight="1">
      <c r="E342" s="452" t="s">
        <v>447</v>
      </c>
      <c r="F342" s="452" t="s">
        <v>606</v>
      </c>
      <c r="G342" s="452" t="s">
        <v>1268</v>
      </c>
      <c r="H342" s="452" t="s">
        <v>1266</v>
      </c>
      <c r="I342" s="452" t="s">
        <v>1273</v>
      </c>
      <c r="J342" s="453">
        <v>99000</v>
      </c>
      <c r="K342" s="453" t="s">
        <v>675</v>
      </c>
      <c r="L342" s="454" t="s">
        <v>1624</v>
      </c>
      <c r="M342" s="455">
        <v>151015</v>
      </c>
      <c r="N342" s="456"/>
      <c r="O342" s="393"/>
    </row>
    <row r="343" spans="5:15" s="428" customFormat="1" ht="14.1" customHeight="1">
      <c r="E343" s="452" t="s">
        <v>447</v>
      </c>
      <c r="F343" s="452" t="s">
        <v>606</v>
      </c>
      <c r="G343" s="452" t="s">
        <v>1268</v>
      </c>
      <c r="H343" s="452" t="s">
        <v>1266</v>
      </c>
      <c r="I343" s="452" t="s">
        <v>1275</v>
      </c>
      <c r="J343" s="453">
        <v>99000</v>
      </c>
      <c r="K343" s="453" t="s">
        <v>675</v>
      </c>
      <c r="L343" s="454" t="s">
        <v>1624</v>
      </c>
      <c r="M343" s="455">
        <v>151015</v>
      </c>
      <c r="N343" s="456"/>
      <c r="O343" s="393"/>
    </row>
    <row r="344" spans="5:15" s="428" customFormat="1" ht="14.1" customHeight="1">
      <c r="E344" s="456"/>
      <c r="F344" s="456"/>
      <c r="G344" s="456"/>
      <c r="H344" s="456"/>
      <c r="I344" s="456"/>
      <c r="J344" s="456"/>
      <c r="K344" s="456"/>
      <c r="L344" s="456"/>
      <c r="M344" s="455" t="s">
        <v>863</v>
      </c>
      <c r="N344" s="455">
        <v>384885</v>
      </c>
      <c r="O344" s="393"/>
    </row>
    <row r="345" spans="5:15" s="428" customFormat="1" ht="14.1" customHeight="1">
      <c r="E345" s="452" t="s">
        <v>447</v>
      </c>
      <c r="F345" s="452" t="s">
        <v>606</v>
      </c>
      <c r="G345" s="452" t="s">
        <v>634</v>
      </c>
      <c r="H345" s="452" t="s">
        <v>1422</v>
      </c>
      <c r="I345" s="452" t="s">
        <v>634</v>
      </c>
      <c r="J345" s="453">
        <v>99000</v>
      </c>
      <c r="K345" s="453" t="s">
        <v>644</v>
      </c>
      <c r="L345" s="454" t="s">
        <v>1624</v>
      </c>
      <c r="M345" s="455">
        <v>316229.18</v>
      </c>
      <c r="N345" s="456"/>
      <c r="O345" s="393"/>
    </row>
    <row r="346" spans="5:15" s="428" customFormat="1" ht="14.1" customHeight="1">
      <c r="E346" s="456"/>
      <c r="F346" s="456"/>
      <c r="G346" s="456"/>
      <c r="H346" s="456"/>
      <c r="I346" s="456"/>
      <c r="J346" s="456"/>
      <c r="K346" s="456"/>
      <c r="L346" s="456"/>
      <c r="M346" s="455" t="s">
        <v>863</v>
      </c>
      <c r="N346" s="455">
        <v>316229.18</v>
      </c>
      <c r="O346" s="393"/>
    </row>
    <row r="347" spans="5:15" s="428" customFormat="1" ht="14.1" customHeight="1">
      <c r="E347" s="452" t="s">
        <v>447</v>
      </c>
      <c r="F347" s="452" t="s">
        <v>606</v>
      </c>
      <c r="G347" s="452" t="s">
        <v>651</v>
      </c>
      <c r="H347" s="452" t="s">
        <v>1266</v>
      </c>
      <c r="I347" s="452" t="s">
        <v>1276</v>
      </c>
      <c r="J347" s="453">
        <v>99000</v>
      </c>
      <c r="K347" s="453" t="s">
        <v>1255</v>
      </c>
      <c r="L347" s="454" t="s">
        <v>1624</v>
      </c>
      <c r="M347" s="455">
        <v>82875</v>
      </c>
      <c r="N347" s="456"/>
      <c r="O347" s="393"/>
    </row>
    <row r="348" spans="5:15" s="428" customFormat="1" ht="14.1" customHeight="1">
      <c r="E348" s="452" t="s">
        <v>447</v>
      </c>
      <c r="F348" s="452" t="s">
        <v>606</v>
      </c>
      <c r="G348" s="452" t="s">
        <v>877</v>
      </c>
      <c r="H348" s="452" t="s">
        <v>1266</v>
      </c>
      <c r="I348" s="452" t="s">
        <v>1278</v>
      </c>
      <c r="J348" s="453">
        <v>99000</v>
      </c>
      <c r="K348" s="453" t="s">
        <v>1255</v>
      </c>
      <c r="L348" s="454" t="s">
        <v>1624</v>
      </c>
      <c r="M348" s="455">
        <v>9000</v>
      </c>
      <c r="N348" s="456"/>
      <c r="O348" s="393"/>
    </row>
    <row r="349" spans="5:15" s="428" customFormat="1" ht="14.1" customHeight="1">
      <c r="E349" s="452" t="s">
        <v>447</v>
      </c>
      <c r="F349" s="452" t="s">
        <v>606</v>
      </c>
      <c r="G349" s="452" t="s">
        <v>651</v>
      </c>
      <c r="H349" s="452" t="s">
        <v>1266</v>
      </c>
      <c r="I349" s="452" t="s">
        <v>1277</v>
      </c>
      <c r="J349" s="453">
        <v>99000</v>
      </c>
      <c r="K349" s="453" t="s">
        <v>1255</v>
      </c>
      <c r="L349" s="454" t="s">
        <v>1624</v>
      </c>
      <c r="M349" s="455">
        <v>159160.5</v>
      </c>
      <c r="N349" s="456"/>
      <c r="O349" s="393"/>
    </row>
    <row r="350" spans="5:15" s="428" customFormat="1" ht="14.1" customHeight="1">
      <c r="E350" s="456"/>
      <c r="F350" s="456"/>
      <c r="G350" s="456"/>
      <c r="H350" s="456"/>
      <c r="I350" s="456"/>
      <c r="J350" s="456"/>
      <c r="K350" s="456"/>
      <c r="L350" s="456"/>
      <c r="M350" s="455" t="s">
        <v>863</v>
      </c>
      <c r="N350" s="455">
        <v>251035.5</v>
      </c>
      <c r="O350" s="393"/>
    </row>
    <row r="351" spans="5:15" s="428" customFormat="1" ht="14.1" customHeight="1">
      <c r="E351" s="452" t="s">
        <v>447</v>
      </c>
      <c r="F351" s="452" t="s">
        <v>606</v>
      </c>
      <c r="G351" s="452" t="s">
        <v>855</v>
      </c>
      <c r="H351" s="452" t="s">
        <v>1266</v>
      </c>
      <c r="I351" s="452" t="s">
        <v>1344</v>
      </c>
      <c r="J351" s="453">
        <v>99000</v>
      </c>
      <c r="K351" s="453" t="s">
        <v>732</v>
      </c>
      <c r="L351" s="454" t="s">
        <v>1624</v>
      </c>
      <c r="M351" s="455">
        <v>15000</v>
      </c>
      <c r="N351" s="456"/>
      <c r="O351" s="393"/>
    </row>
    <row r="352" spans="5:15" s="428" customFormat="1" ht="14.1" customHeight="1">
      <c r="E352" s="452" t="s">
        <v>447</v>
      </c>
      <c r="F352" s="452" t="s">
        <v>606</v>
      </c>
      <c r="G352" s="452" t="s">
        <v>855</v>
      </c>
      <c r="H352" s="452" t="s">
        <v>1266</v>
      </c>
      <c r="I352" s="452" t="s">
        <v>1343</v>
      </c>
      <c r="J352" s="453">
        <v>99000</v>
      </c>
      <c r="K352" s="453" t="s">
        <v>732</v>
      </c>
      <c r="L352" s="454" t="s">
        <v>1624</v>
      </c>
      <c r="M352" s="455">
        <v>7017.42</v>
      </c>
      <c r="N352" s="456"/>
      <c r="O352" s="393"/>
    </row>
    <row r="353" spans="5:15" s="428" customFormat="1" ht="14.1" customHeight="1">
      <c r="E353" s="456"/>
      <c r="F353" s="456"/>
      <c r="G353" s="456"/>
      <c r="H353" s="456"/>
      <c r="I353" s="456"/>
      <c r="J353" s="456"/>
      <c r="K353" s="456"/>
      <c r="L353" s="456"/>
      <c r="M353" s="455" t="s">
        <v>863</v>
      </c>
      <c r="N353" s="455">
        <v>22017.42</v>
      </c>
      <c r="O353" s="393"/>
    </row>
    <row r="354" spans="5:15" s="428" customFormat="1" ht="14.1" customHeight="1">
      <c r="E354" s="452" t="s">
        <v>447</v>
      </c>
      <c r="F354" s="452" t="s">
        <v>606</v>
      </c>
      <c r="G354" s="452" t="s">
        <v>651</v>
      </c>
      <c r="H354" s="452" t="s">
        <v>1266</v>
      </c>
      <c r="I354" s="452" t="s">
        <v>1345</v>
      </c>
      <c r="J354" s="453">
        <v>99000</v>
      </c>
      <c r="K354" s="453" t="s">
        <v>1263</v>
      </c>
      <c r="L354" s="454" t="s">
        <v>1624</v>
      </c>
      <c r="M354" s="455">
        <v>2742.2</v>
      </c>
      <c r="N354" s="456"/>
      <c r="O354" s="393"/>
    </row>
    <row r="355" spans="5:15" s="428" customFormat="1" ht="14.1" customHeight="1">
      <c r="E355" s="452" t="s">
        <v>447</v>
      </c>
      <c r="F355" s="452" t="s">
        <v>606</v>
      </c>
      <c r="G355" s="452" t="s">
        <v>877</v>
      </c>
      <c r="H355" s="452" t="s">
        <v>1266</v>
      </c>
      <c r="I355" s="452">
        <v>3135</v>
      </c>
      <c r="J355" s="453">
        <v>99000</v>
      </c>
      <c r="K355" s="453" t="s">
        <v>1263</v>
      </c>
      <c r="L355" s="454" t="s">
        <v>1624</v>
      </c>
      <c r="M355" s="455">
        <v>63485.07</v>
      </c>
      <c r="N355" s="456"/>
      <c r="O355" s="393"/>
    </row>
    <row r="356" spans="5:15" s="428" customFormat="1" ht="14.1" customHeight="1">
      <c r="E356" s="456"/>
      <c r="F356" s="456"/>
      <c r="G356" s="456"/>
      <c r="H356" s="456"/>
      <c r="I356" s="456"/>
      <c r="J356" s="456"/>
      <c r="K356" s="456"/>
      <c r="L356" s="456"/>
      <c r="M356" s="455" t="s">
        <v>863</v>
      </c>
      <c r="N356" s="455">
        <v>66227.27</v>
      </c>
      <c r="O356" s="393"/>
    </row>
    <row r="357" spans="5:15" s="428" customFormat="1" ht="14.1" customHeight="1">
      <c r="E357" s="452" t="s">
        <v>447</v>
      </c>
      <c r="F357" s="452" t="s">
        <v>606</v>
      </c>
      <c r="G357" s="452" t="s">
        <v>634</v>
      </c>
      <c r="H357" s="452" t="s">
        <v>1346</v>
      </c>
      <c r="I357" s="452" t="s">
        <v>1347</v>
      </c>
      <c r="J357" s="453">
        <v>90000</v>
      </c>
      <c r="K357" s="453" t="s">
        <v>654</v>
      </c>
      <c r="L357" s="454" t="s">
        <v>1624</v>
      </c>
      <c r="M357" s="455">
        <v>186919</v>
      </c>
      <c r="N357" s="456"/>
      <c r="O357" s="393"/>
    </row>
    <row r="358" spans="5:15" s="428" customFormat="1" ht="14.1" customHeight="1">
      <c r="E358" s="456"/>
      <c r="F358" s="456"/>
      <c r="G358" s="456"/>
      <c r="H358" s="456"/>
      <c r="I358" s="456"/>
      <c r="J358" s="456"/>
      <c r="K358" s="456"/>
      <c r="L358" s="456"/>
      <c r="M358" s="455" t="s">
        <v>863</v>
      </c>
      <c r="N358" s="455">
        <v>186919</v>
      </c>
      <c r="O358" s="393"/>
    </row>
    <row r="359" spans="5:15" s="428" customFormat="1" ht="14.1" customHeight="1">
      <c r="E359" s="452" t="s">
        <v>447</v>
      </c>
      <c r="F359" s="452" t="s">
        <v>606</v>
      </c>
      <c r="G359" s="452" t="s">
        <v>634</v>
      </c>
      <c r="H359" s="452" t="s">
        <v>1348</v>
      </c>
      <c r="I359" s="452" t="s">
        <v>634</v>
      </c>
      <c r="J359" s="453">
        <v>90000</v>
      </c>
      <c r="K359" s="453" t="s">
        <v>703</v>
      </c>
      <c r="L359" s="454" t="s">
        <v>1624</v>
      </c>
      <c r="M359" s="455">
        <v>1314512</v>
      </c>
      <c r="N359" s="456"/>
      <c r="O359" s="393"/>
    </row>
    <row r="360" spans="5:15" s="428" customFormat="1" ht="14.1" customHeight="1">
      <c r="E360" s="452" t="s">
        <v>447</v>
      </c>
      <c r="F360" s="452" t="s">
        <v>606</v>
      </c>
      <c r="G360" s="452" t="s">
        <v>1235</v>
      </c>
      <c r="H360" s="452" t="s">
        <v>1352</v>
      </c>
      <c r="I360" s="452" t="s">
        <v>1353</v>
      </c>
      <c r="J360" s="453">
        <v>90000</v>
      </c>
      <c r="K360" s="453" t="s">
        <v>703</v>
      </c>
      <c r="L360" s="454" t="s">
        <v>1624</v>
      </c>
      <c r="M360" s="455">
        <v>82044.899999999994</v>
      </c>
      <c r="N360" s="456"/>
      <c r="O360" s="393"/>
    </row>
    <row r="361" spans="5:15" s="428" customFormat="1" ht="14.1" customHeight="1">
      <c r="E361" s="452" t="s">
        <v>447</v>
      </c>
      <c r="F361" s="452" t="s">
        <v>606</v>
      </c>
      <c r="G361" s="452" t="s">
        <v>634</v>
      </c>
      <c r="H361" s="452" t="s">
        <v>1354</v>
      </c>
      <c r="I361" s="452" t="s">
        <v>1238</v>
      </c>
      <c r="J361" s="453">
        <v>90000</v>
      </c>
      <c r="K361" s="453" t="s">
        <v>703</v>
      </c>
      <c r="L361" s="454" t="s">
        <v>1624</v>
      </c>
      <c r="M361" s="455">
        <v>-586754</v>
      </c>
      <c r="N361" s="456"/>
      <c r="O361" s="393"/>
    </row>
    <row r="362" spans="5:15" s="428" customFormat="1" ht="14.1" customHeight="1">
      <c r="E362" s="452" t="s">
        <v>447</v>
      </c>
      <c r="F362" s="452" t="s">
        <v>606</v>
      </c>
      <c r="G362" s="452" t="s">
        <v>680</v>
      </c>
      <c r="H362" s="452" t="s">
        <v>1350</v>
      </c>
      <c r="I362" s="452" t="s">
        <v>1351</v>
      </c>
      <c r="J362" s="453">
        <v>90000</v>
      </c>
      <c r="K362" s="453" t="s">
        <v>703</v>
      </c>
      <c r="L362" s="454" t="s">
        <v>1624</v>
      </c>
      <c r="M362" s="455">
        <v>1632000</v>
      </c>
      <c r="N362" s="456"/>
      <c r="O362" s="393"/>
    </row>
    <row r="363" spans="5:15" s="428" customFormat="1" ht="14.1" customHeight="1">
      <c r="E363" s="452" t="s">
        <v>447</v>
      </c>
      <c r="F363" s="452" t="s">
        <v>606</v>
      </c>
      <c r="G363" s="452" t="s">
        <v>634</v>
      </c>
      <c r="H363" s="452" t="s">
        <v>1349</v>
      </c>
      <c r="I363" s="452" t="s">
        <v>634</v>
      </c>
      <c r="J363" s="453">
        <v>90000</v>
      </c>
      <c r="K363" s="453" t="s">
        <v>703</v>
      </c>
      <c r="L363" s="454" t="s">
        <v>1624</v>
      </c>
      <c r="M363" s="455">
        <v>700000</v>
      </c>
      <c r="N363" s="456"/>
      <c r="O363" s="393"/>
    </row>
    <row r="364" spans="5:15" s="428" customFormat="1" ht="14.1" customHeight="1">
      <c r="E364" s="456"/>
      <c r="F364" s="456"/>
      <c r="G364" s="456"/>
      <c r="H364" s="456"/>
      <c r="I364" s="456"/>
      <c r="J364" s="456"/>
      <c r="K364" s="456"/>
      <c r="L364" s="456"/>
      <c r="M364" s="455" t="s">
        <v>863</v>
      </c>
      <c r="N364" s="455">
        <v>3141802.9</v>
      </c>
      <c r="O364" s="393"/>
    </row>
    <row r="365" spans="5:15" s="428" customFormat="1" ht="14.1" customHeight="1">
      <c r="E365" s="452" t="s">
        <v>447</v>
      </c>
      <c r="F365" s="452" t="s">
        <v>606</v>
      </c>
      <c r="G365" s="452" t="s">
        <v>821</v>
      </c>
      <c r="H365" s="452" t="s">
        <v>1358</v>
      </c>
      <c r="I365" s="452" t="s">
        <v>870</v>
      </c>
      <c r="J365" s="453">
        <v>99000</v>
      </c>
      <c r="K365" s="453" t="s">
        <v>621</v>
      </c>
      <c r="L365" s="454" t="s">
        <v>1624</v>
      </c>
      <c r="M365" s="455">
        <v>2152.8200000000002</v>
      </c>
      <c r="N365" s="456"/>
      <c r="O365" s="393"/>
    </row>
    <row r="366" spans="5:15" s="428" customFormat="1" ht="14.1" customHeight="1">
      <c r="E366" s="452" t="s">
        <v>447</v>
      </c>
      <c r="F366" s="452" t="s">
        <v>606</v>
      </c>
      <c r="G366" s="452" t="s">
        <v>742</v>
      </c>
      <c r="H366" s="452" t="s">
        <v>1355</v>
      </c>
      <c r="I366" s="452" t="s">
        <v>870</v>
      </c>
      <c r="J366" s="453">
        <v>99000</v>
      </c>
      <c r="K366" s="453" t="s">
        <v>621</v>
      </c>
      <c r="L366" s="454" t="s">
        <v>1624</v>
      </c>
      <c r="M366" s="455">
        <v>484.41</v>
      </c>
      <c r="N366" s="456"/>
      <c r="O366" s="393"/>
    </row>
    <row r="367" spans="5:15" s="428" customFormat="1" ht="14.1" customHeight="1">
      <c r="E367" s="452" t="s">
        <v>447</v>
      </c>
      <c r="F367" s="452" t="s">
        <v>606</v>
      </c>
      <c r="G367" s="452" t="s">
        <v>742</v>
      </c>
      <c r="H367" s="452" t="s">
        <v>1355</v>
      </c>
      <c r="I367" s="452" t="s">
        <v>658</v>
      </c>
      <c r="J367" s="453">
        <v>99000</v>
      </c>
      <c r="K367" s="453" t="s">
        <v>621</v>
      </c>
      <c r="L367" s="454" t="s">
        <v>1624</v>
      </c>
      <c r="M367" s="455">
        <v>9.17</v>
      </c>
      <c r="N367" s="456"/>
      <c r="O367" s="393"/>
    </row>
    <row r="368" spans="5:15" s="428" customFormat="1" ht="14.1" customHeight="1">
      <c r="E368" s="452" t="s">
        <v>447</v>
      </c>
      <c r="F368" s="452" t="s">
        <v>606</v>
      </c>
      <c r="G368" s="452" t="s">
        <v>628</v>
      </c>
      <c r="H368" s="452" t="s">
        <v>1356</v>
      </c>
      <c r="I368" s="452" t="s">
        <v>1357</v>
      </c>
      <c r="J368" s="453">
        <v>99000</v>
      </c>
      <c r="K368" s="453" t="s">
        <v>621</v>
      </c>
      <c r="L368" s="454" t="s">
        <v>1624</v>
      </c>
      <c r="M368" s="455">
        <v>1383.69</v>
      </c>
      <c r="N368" s="456"/>
      <c r="O368" s="393"/>
    </row>
    <row r="369" spans="5:15" s="428" customFormat="1" ht="14.1" customHeight="1">
      <c r="E369" s="452" t="s">
        <v>447</v>
      </c>
      <c r="F369" s="452" t="s">
        <v>606</v>
      </c>
      <c r="G369" s="452" t="s">
        <v>628</v>
      </c>
      <c r="H369" s="452" t="s">
        <v>1356</v>
      </c>
      <c r="I369" s="452" t="s">
        <v>658</v>
      </c>
      <c r="J369" s="453">
        <v>99000</v>
      </c>
      <c r="K369" s="453" t="s">
        <v>621</v>
      </c>
      <c r="L369" s="454" t="s">
        <v>1624</v>
      </c>
      <c r="M369" s="455">
        <v>126.22</v>
      </c>
      <c r="N369" s="456"/>
      <c r="O369" s="393"/>
    </row>
    <row r="370" spans="5:15" s="428" customFormat="1" ht="14.1" customHeight="1">
      <c r="E370" s="456"/>
      <c r="F370" s="456"/>
      <c r="G370" s="456"/>
      <c r="H370" s="456"/>
      <c r="I370" s="456"/>
      <c r="J370" s="456"/>
      <c r="K370" s="456"/>
      <c r="L370" s="456"/>
      <c r="M370" s="455" t="s">
        <v>863</v>
      </c>
      <c r="N370" s="455">
        <v>4156.3100000000004</v>
      </c>
      <c r="O370" s="393"/>
    </row>
    <row r="371" spans="5:15" s="428" customFormat="1" ht="14.1" customHeight="1">
      <c r="E371" s="456"/>
      <c r="F371" s="456"/>
      <c r="G371" s="456"/>
      <c r="H371" s="456"/>
      <c r="I371" s="456"/>
      <c r="J371" s="456"/>
      <c r="K371" s="456"/>
      <c r="L371" s="456"/>
      <c r="M371" s="455" t="s">
        <v>1055</v>
      </c>
      <c r="N371" s="455">
        <v>4862386.45</v>
      </c>
      <c r="O371" s="393"/>
    </row>
    <row r="372" spans="5:15" s="428" customFormat="1" ht="14.1" customHeight="1">
      <c r="E372" s="452" t="s">
        <v>447</v>
      </c>
      <c r="F372" s="452" t="s">
        <v>606</v>
      </c>
      <c r="G372" s="452" t="s">
        <v>651</v>
      </c>
      <c r="H372" s="452" t="s">
        <v>1576</v>
      </c>
      <c r="I372" s="452" t="s">
        <v>670</v>
      </c>
      <c r="J372" s="453">
        <v>99000</v>
      </c>
      <c r="K372" s="453" t="s">
        <v>675</v>
      </c>
      <c r="L372" s="454" t="s">
        <v>1625</v>
      </c>
      <c r="M372" s="455">
        <v>59980.39</v>
      </c>
      <c r="N372" s="456"/>
      <c r="O372" s="393"/>
    </row>
    <row r="373" spans="5:15" s="428" customFormat="1" ht="14.1" customHeight="1">
      <c r="E373" s="452" t="s">
        <v>447</v>
      </c>
      <c r="F373" s="452" t="s">
        <v>606</v>
      </c>
      <c r="G373" s="452" t="s">
        <v>651</v>
      </c>
      <c r="H373" s="452" t="s">
        <v>1423</v>
      </c>
      <c r="I373" s="452" t="s">
        <v>689</v>
      </c>
      <c r="J373" s="453">
        <v>99000</v>
      </c>
      <c r="K373" s="453" t="s">
        <v>675</v>
      </c>
      <c r="L373" s="454" t="s">
        <v>1625</v>
      </c>
      <c r="M373" s="455">
        <v>356900</v>
      </c>
      <c r="N373" s="456"/>
      <c r="O373" s="393"/>
    </row>
    <row r="374" spans="5:15" s="428" customFormat="1" ht="14.1" customHeight="1">
      <c r="E374" s="452" t="s">
        <v>447</v>
      </c>
      <c r="F374" s="452" t="s">
        <v>606</v>
      </c>
      <c r="G374" s="452" t="s">
        <v>1268</v>
      </c>
      <c r="H374" s="452" t="s">
        <v>1577</v>
      </c>
      <c r="I374" s="452" t="s">
        <v>1575</v>
      </c>
      <c r="J374" s="453">
        <v>99000</v>
      </c>
      <c r="K374" s="453" t="s">
        <v>675</v>
      </c>
      <c r="L374" s="454" t="s">
        <v>1625</v>
      </c>
      <c r="M374" s="455">
        <v>2173279</v>
      </c>
      <c r="N374" s="456"/>
      <c r="O374" s="393"/>
    </row>
    <row r="375" spans="5:15" s="428" customFormat="1" ht="14.1" customHeight="1">
      <c r="E375" s="452" t="s">
        <v>447</v>
      </c>
      <c r="F375" s="452" t="s">
        <v>606</v>
      </c>
      <c r="G375" s="452" t="s">
        <v>1268</v>
      </c>
      <c r="H375" s="452" t="s">
        <v>1577</v>
      </c>
      <c r="I375" s="452" t="s">
        <v>1575</v>
      </c>
      <c r="J375" s="453">
        <v>99000</v>
      </c>
      <c r="K375" s="453" t="s">
        <v>675</v>
      </c>
      <c r="L375" s="454" t="s">
        <v>1625</v>
      </c>
      <c r="M375" s="455">
        <v>328718</v>
      </c>
      <c r="N375" s="456"/>
      <c r="O375" s="393"/>
    </row>
    <row r="376" spans="5:15" s="428" customFormat="1" ht="14.1" customHeight="1">
      <c r="E376" s="452" t="s">
        <v>447</v>
      </c>
      <c r="F376" s="452" t="s">
        <v>606</v>
      </c>
      <c r="G376" s="452" t="s">
        <v>651</v>
      </c>
      <c r="H376" s="452" t="s">
        <v>1423</v>
      </c>
      <c r="I376" s="452" t="s">
        <v>689</v>
      </c>
      <c r="J376" s="453">
        <v>99000</v>
      </c>
      <c r="K376" s="453" t="s">
        <v>675</v>
      </c>
      <c r="L376" s="454" t="s">
        <v>1625</v>
      </c>
      <c r="M376" s="455">
        <v>34252.67</v>
      </c>
      <c r="N376" s="456"/>
      <c r="O376" s="393"/>
    </row>
    <row r="377" spans="5:15" s="428" customFormat="1" ht="14.1" customHeight="1">
      <c r="E377" s="452" t="s">
        <v>447</v>
      </c>
      <c r="F377" s="452" t="s">
        <v>606</v>
      </c>
      <c r="G377" s="452" t="s">
        <v>651</v>
      </c>
      <c r="H377" s="452" t="s">
        <v>1423</v>
      </c>
      <c r="I377" s="452" t="s">
        <v>689</v>
      </c>
      <c r="J377" s="453">
        <v>99000</v>
      </c>
      <c r="K377" s="453" t="s">
        <v>675</v>
      </c>
      <c r="L377" s="454" t="s">
        <v>1625</v>
      </c>
      <c r="M377" s="455">
        <v>60398.33</v>
      </c>
      <c r="N377" s="456"/>
      <c r="O377" s="393"/>
    </row>
    <row r="378" spans="5:15" s="428" customFormat="1" ht="14.1" customHeight="1">
      <c r="E378" s="452" t="s">
        <v>447</v>
      </c>
      <c r="F378" s="452" t="s">
        <v>606</v>
      </c>
      <c r="G378" s="452" t="s">
        <v>1235</v>
      </c>
      <c r="H378" s="452" t="s">
        <v>1574</v>
      </c>
      <c r="I378" s="452" t="s">
        <v>1575</v>
      </c>
      <c r="J378" s="453">
        <v>99000</v>
      </c>
      <c r="K378" s="453" t="s">
        <v>675</v>
      </c>
      <c r="L378" s="454" t="s">
        <v>1625</v>
      </c>
      <c r="M378" s="455">
        <v>450000</v>
      </c>
      <c r="N378" s="456"/>
      <c r="O378" s="393"/>
    </row>
    <row r="379" spans="5:15" s="428" customFormat="1" ht="14.1" customHeight="1">
      <c r="E379" s="452" t="s">
        <v>447</v>
      </c>
      <c r="F379" s="452" t="s">
        <v>606</v>
      </c>
      <c r="G379" s="452" t="s">
        <v>651</v>
      </c>
      <c r="H379" s="452" t="s">
        <v>1423</v>
      </c>
      <c r="I379" s="452" t="s">
        <v>689</v>
      </c>
      <c r="J379" s="453">
        <v>99000</v>
      </c>
      <c r="K379" s="453" t="s">
        <v>675</v>
      </c>
      <c r="L379" s="454" t="s">
        <v>1625</v>
      </c>
      <c r="M379" s="455">
        <v>96762</v>
      </c>
      <c r="N379" s="456"/>
      <c r="O379" s="393"/>
    </row>
    <row r="380" spans="5:15" s="428" customFormat="1" ht="14.1" customHeight="1">
      <c r="E380" s="456"/>
      <c r="F380" s="456"/>
      <c r="G380" s="456"/>
      <c r="H380" s="456"/>
      <c r="I380" s="456"/>
      <c r="J380" s="456"/>
      <c r="K380" s="456"/>
      <c r="L380" s="456"/>
      <c r="M380" s="455" t="s">
        <v>863</v>
      </c>
      <c r="N380" s="455">
        <v>3560290.39</v>
      </c>
      <c r="O380" s="393"/>
    </row>
    <row r="381" spans="5:15" s="428" customFormat="1" ht="14.1" customHeight="1">
      <c r="E381" s="452" t="s">
        <v>447</v>
      </c>
      <c r="F381" s="452" t="s">
        <v>606</v>
      </c>
      <c r="G381" s="452" t="s">
        <v>1429</v>
      </c>
      <c r="H381" s="452" t="s">
        <v>1578</v>
      </c>
      <c r="I381" s="452" t="s">
        <v>1575</v>
      </c>
      <c r="J381" s="453">
        <v>99000</v>
      </c>
      <c r="K381" s="453" t="s">
        <v>1579</v>
      </c>
      <c r="L381" s="454" t="s">
        <v>1625</v>
      </c>
      <c r="M381" s="455">
        <v>40222.14</v>
      </c>
      <c r="N381" s="456"/>
      <c r="O381" s="393"/>
    </row>
    <row r="382" spans="5:15" s="428" customFormat="1" ht="14.1" customHeight="1">
      <c r="E382" s="452" t="s">
        <v>447</v>
      </c>
      <c r="F382" s="452" t="s">
        <v>606</v>
      </c>
      <c r="G382" s="452" t="s">
        <v>1429</v>
      </c>
      <c r="H382" s="452" t="s">
        <v>1626</v>
      </c>
      <c r="I382" s="452" t="s">
        <v>1064</v>
      </c>
      <c r="J382" s="453">
        <v>99000</v>
      </c>
      <c r="K382" s="453" t="s">
        <v>1579</v>
      </c>
      <c r="L382" s="454" t="s">
        <v>1625</v>
      </c>
      <c r="M382" s="455">
        <v>49353.760000000002</v>
      </c>
      <c r="N382" s="456"/>
      <c r="O382" s="393"/>
    </row>
    <row r="383" spans="5:15" s="428" customFormat="1" ht="14.1" customHeight="1">
      <c r="E383" s="452" t="s">
        <v>447</v>
      </c>
      <c r="F383" s="452" t="s">
        <v>606</v>
      </c>
      <c r="G383" s="452" t="s">
        <v>1063</v>
      </c>
      <c r="H383" s="452">
        <v>2914</v>
      </c>
      <c r="I383" s="452" t="s">
        <v>1064</v>
      </c>
      <c r="J383" s="453">
        <v>99000</v>
      </c>
      <c r="K383" s="453" t="s">
        <v>1579</v>
      </c>
      <c r="L383" s="454" t="s">
        <v>1625</v>
      </c>
      <c r="M383" s="455">
        <v>272718.90000000002</v>
      </c>
      <c r="N383" s="456"/>
      <c r="O383" s="393"/>
    </row>
    <row r="384" spans="5:15" s="428" customFormat="1" ht="14.1" customHeight="1">
      <c r="E384" s="456"/>
      <c r="F384" s="456"/>
      <c r="G384" s="456"/>
      <c r="H384" s="456"/>
      <c r="I384" s="456"/>
      <c r="J384" s="456"/>
      <c r="K384" s="456"/>
      <c r="L384" s="456"/>
      <c r="M384" s="455" t="s">
        <v>863</v>
      </c>
      <c r="N384" s="455">
        <v>362294.8</v>
      </c>
      <c r="O384" s="393"/>
    </row>
    <row r="385" spans="5:15" s="428" customFormat="1" ht="14.1" customHeight="1">
      <c r="E385" s="452" t="s">
        <v>447</v>
      </c>
      <c r="F385" s="452" t="s">
        <v>606</v>
      </c>
      <c r="G385" s="452" t="s">
        <v>834</v>
      </c>
      <c r="H385" s="452" t="s">
        <v>1580</v>
      </c>
      <c r="I385" s="452" t="s">
        <v>689</v>
      </c>
      <c r="J385" s="453">
        <v>90000</v>
      </c>
      <c r="K385" s="453" t="s">
        <v>640</v>
      </c>
      <c r="L385" s="454" t="s">
        <v>1625</v>
      </c>
      <c r="M385" s="455">
        <v>3446</v>
      </c>
      <c r="N385" s="456"/>
      <c r="O385" s="393"/>
    </row>
    <row r="386" spans="5:15" s="428" customFormat="1" ht="14.1" customHeight="1">
      <c r="E386" s="452" t="s">
        <v>447</v>
      </c>
      <c r="F386" s="452" t="s">
        <v>606</v>
      </c>
      <c r="G386" s="452" t="s">
        <v>834</v>
      </c>
      <c r="H386" s="452" t="s">
        <v>1580</v>
      </c>
      <c r="I386" s="452" t="s">
        <v>689</v>
      </c>
      <c r="J386" s="453">
        <v>90000</v>
      </c>
      <c r="K386" s="453" t="s">
        <v>640</v>
      </c>
      <c r="L386" s="454" t="s">
        <v>1625</v>
      </c>
      <c r="M386" s="455">
        <v>7160</v>
      </c>
      <c r="N386" s="456"/>
      <c r="O386" s="393"/>
    </row>
    <row r="387" spans="5:15" s="428" customFormat="1" ht="14.1" customHeight="1">
      <c r="E387" s="452" t="s">
        <v>447</v>
      </c>
      <c r="F387" s="452" t="s">
        <v>606</v>
      </c>
      <c r="G387" s="452" t="s">
        <v>834</v>
      </c>
      <c r="H387" s="452" t="s">
        <v>1580</v>
      </c>
      <c r="I387" s="452" t="s">
        <v>689</v>
      </c>
      <c r="J387" s="453">
        <v>90000</v>
      </c>
      <c r="K387" s="453" t="s">
        <v>640</v>
      </c>
      <c r="L387" s="454" t="s">
        <v>1625</v>
      </c>
      <c r="M387" s="455">
        <v>7160</v>
      </c>
      <c r="N387" s="456"/>
      <c r="O387" s="393"/>
    </row>
    <row r="388" spans="5:15" s="428" customFormat="1" ht="14.1" customHeight="1">
      <c r="E388" s="452" t="s">
        <v>447</v>
      </c>
      <c r="F388" s="452" t="s">
        <v>606</v>
      </c>
      <c r="G388" s="452" t="s">
        <v>834</v>
      </c>
      <c r="H388" s="452" t="s">
        <v>1580</v>
      </c>
      <c r="I388" s="452" t="s">
        <v>689</v>
      </c>
      <c r="J388" s="453">
        <v>90000</v>
      </c>
      <c r="K388" s="453" t="s">
        <v>640</v>
      </c>
      <c r="L388" s="454" t="s">
        <v>1625</v>
      </c>
      <c r="M388" s="455">
        <v>1832</v>
      </c>
      <c r="N388" s="456"/>
      <c r="O388" s="393"/>
    </row>
    <row r="389" spans="5:15" s="428" customFormat="1" ht="14.1" customHeight="1">
      <c r="E389" s="456"/>
      <c r="F389" s="456"/>
      <c r="G389" s="456"/>
      <c r="H389" s="456"/>
      <c r="I389" s="456"/>
      <c r="J389" s="456"/>
      <c r="K389" s="456"/>
      <c r="L389" s="456"/>
      <c r="M389" s="456"/>
      <c r="N389" s="456"/>
      <c r="O389" s="393"/>
    </row>
    <row r="390" spans="5:15" s="428" customFormat="1" ht="14.1" customHeight="1">
      <c r="E390" s="452" t="s">
        <v>447</v>
      </c>
      <c r="F390" s="452" t="s">
        <v>606</v>
      </c>
      <c r="G390" s="452" t="s">
        <v>834</v>
      </c>
      <c r="H390" s="452" t="s">
        <v>1580</v>
      </c>
      <c r="I390" s="452" t="s">
        <v>689</v>
      </c>
      <c r="J390" s="453">
        <v>90000</v>
      </c>
      <c r="K390" s="453" t="s">
        <v>640</v>
      </c>
      <c r="L390" s="454" t="s">
        <v>1625</v>
      </c>
      <c r="M390" s="455">
        <v>2561.1999999999998</v>
      </c>
      <c r="N390" s="456"/>
      <c r="O390" s="393"/>
    </row>
    <row r="391" spans="5:15" s="428" customFormat="1" ht="14.1" customHeight="1">
      <c r="E391" s="456"/>
      <c r="F391" s="456"/>
      <c r="G391" s="456"/>
      <c r="H391" s="456"/>
      <c r="I391" s="456"/>
      <c r="J391" s="456"/>
      <c r="K391" s="456"/>
      <c r="L391" s="456"/>
      <c r="M391" s="455" t="s">
        <v>863</v>
      </c>
      <c r="N391" s="455">
        <v>22159.200000000001</v>
      </c>
      <c r="O391" s="393"/>
    </row>
    <row r="392" spans="5:15" s="428" customFormat="1" ht="14.1" customHeight="1">
      <c r="E392" s="452" t="s">
        <v>447</v>
      </c>
      <c r="F392" s="452" t="s">
        <v>606</v>
      </c>
      <c r="G392" s="452" t="s">
        <v>611</v>
      </c>
      <c r="H392" s="452">
        <v>10337506</v>
      </c>
      <c r="I392" s="452" t="s">
        <v>1582</v>
      </c>
      <c r="J392" s="453">
        <v>99000</v>
      </c>
      <c r="K392" s="453" t="s">
        <v>617</v>
      </c>
      <c r="L392" s="454" t="s">
        <v>1625</v>
      </c>
      <c r="M392" s="455">
        <v>4050.27</v>
      </c>
      <c r="N392" s="456"/>
      <c r="O392" s="393"/>
    </row>
    <row r="393" spans="5:15" s="428" customFormat="1" ht="14.1" customHeight="1">
      <c r="E393" s="452" t="s">
        <v>447</v>
      </c>
      <c r="F393" s="452" t="s">
        <v>606</v>
      </c>
      <c r="G393" s="452" t="s">
        <v>873</v>
      </c>
      <c r="H393" s="452">
        <v>131259</v>
      </c>
      <c r="I393" s="452" t="s">
        <v>1581</v>
      </c>
      <c r="J393" s="453">
        <v>99000</v>
      </c>
      <c r="K393" s="453" t="s">
        <v>617</v>
      </c>
      <c r="L393" s="454" t="s">
        <v>1625</v>
      </c>
      <c r="M393" s="455">
        <v>5515.93</v>
      </c>
      <c r="N393" s="456"/>
      <c r="O393" s="393"/>
    </row>
    <row r="394" spans="5:15" s="428" customFormat="1" ht="14.1" customHeight="1">
      <c r="E394" s="456"/>
      <c r="F394" s="456"/>
      <c r="G394" s="456"/>
      <c r="H394" s="456"/>
      <c r="I394" s="456"/>
      <c r="J394" s="456"/>
      <c r="K394" s="456"/>
      <c r="L394" s="456"/>
      <c r="M394" s="455" t="s">
        <v>863</v>
      </c>
      <c r="N394" s="455">
        <v>9566.2000000000007</v>
      </c>
      <c r="O394" s="393"/>
    </row>
    <row r="395" spans="5:15" s="428" customFormat="1" ht="14.1" customHeight="1">
      <c r="E395" s="452" t="s">
        <v>447</v>
      </c>
      <c r="F395" s="452" t="s">
        <v>606</v>
      </c>
      <c r="G395" s="452" t="s">
        <v>792</v>
      </c>
      <c r="H395" s="452" t="s">
        <v>1583</v>
      </c>
      <c r="I395" s="452" t="s">
        <v>1584</v>
      </c>
      <c r="J395" s="453">
        <v>90000</v>
      </c>
      <c r="K395" s="453" t="s">
        <v>633</v>
      </c>
      <c r="L395" s="454" t="s">
        <v>1625</v>
      </c>
      <c r="M395" s="455">
        <v>166666.67000000001</v>
      </c>
      <c r="N395" s="456"/>
      <c r="O395" s="393"/>
    </row>
    <row r="396" spans="5:15" s="428" customFormat="1" ht="14.1" customHeight="1">
      <c r="E396" s="456"/>
      <c r="F396" s="456"/>
      <c r="G396" s="456"/>
      <c r="H396" s="456"/>
      <c r="I396" s="456"/>
      <c r="J396" s="456"/>
      <c r="K396" s="456"/>
      <c r="L396" s="456"/>
      <c r="M396" s="455" t="s">
        <v>863</v>
      </c>
      <c r="N396" s="455">
        <v>166666.67000000001</v>
      </c>
      <c r="O396" s="393"/>
    </row>
    <row r="397" spans="5:15" s="428" customFormat="1" ht="14.1" customHeight="1">
      <c r="E397" s="452" t="s">
        <v>447</v>
      </c>
      <c r="F397" s="452" t="s">
        <v>606</v>
      </c>
      <c r="G397" s="452" t="s">
        <v>1429</v>
      </c>
      <c r="H397" s="452" t="s">
        <v>1578</v>
      </c>
      <c r="I397" s="452" t="s">
        <v>1575</v>
      </c>
      <c r="J397" s="453">
        <v>99000</v>
      </c>
      <c r="K397" s="453" t="s">
        <v>1263</v>
      </c>
      <c r="L397" s="454" t="s">
        <v>1625</v>
      </c>
      <c r="M397" s="455">
        <v>265114.28999999998</v>
      </c>
      <c r="N397" s="456"/>
      <c r="O397" s="393"/>
    </row>
    <row r="398" spans="5:15" s="428" customFormat="1" ht="14.1" customHeight="1">
      <c r="E398" s="452" t="s">
        <v>447</v>
      </c>
      <c r="F398" s="452" t="s">
        <v>606</v>
      </c>
      <c r="G398" s="452" t="s">
        <v>1429</v>
      </c>
      <c r="H398" s="452" t="s">
        <v>1578</v>
      </c>
      <c r="I398" s="452" t="s">
        <v>1575</v>
      </c>
      <c r="J398" s="453">
        <v>99000</v>
      </c>
      <c r="K398" s="453" t="s">
        <v>1263</v>
      </c>
      <c r="L398" s="454" t="s">
        <v>1625</v>
      </c>
      <c r="M398" s="455">
        <v>22838.53</v>
      </c>
      <c r="N398" s="456"/>
      <c r="O398" s="393"/>
    </row>
    <row r="399" spans="5:15" s="428" customFormat="1" ht="14.1" customHeight="1">
      <c r="E399" s="452" t="s">
        <v>447</v>
      </c>
      <c r="F399" s="452" t="s">
        <v>606</v>
      </c>
      <c r="G399" s="452" t="s">
        <v>672</v>
      </c>
      <c r="H399" s="452" t="s">
        <v>1585</v>
      </c>
      <c r="I399" s="452" t="s">
        <v>1586</v>
      </c>
      <c r="J399" s="453">
        <v>99000</v>
      </c>
      <c r="K399" s="453" t="s">
        <v>1263</v>
      </c>
      <c r="L399" s="454" t="s">
        <v>1625</v>
      </c>
      <c r="M399" s="455">
        <v>22069.5</v>
      </c>
      <c r="N399" s="456"/>
      <c r="O399" s="393"/>
    </row>
    <row r="400" spans="5:15" s="428" customFormat="1" ht="14.1" customHeight="1">
      <c r="E400" s="456"/>
      <c r="F400" s="456"/>
      <c r="G400" s="456"/>
      <c r="H400" s="456"/>
      <c r="I400" s="456"/>
      <c r="J400" s="456"/>
      <c r="K400" s="456"/>
      <c r="L400" s="456"/>
      <c r="M400" s="455" t="s">
        <v>863</v>
      </c>
      <c r="N400" s="455">
        <v>310022.32</v>
      </c>
      <c r="O400" s="393"/>
    </row>
    <row r="401" spans="5:15" s="428" customFormat="1" ht="14.1" customHeight="1">
      <c r="E401" s="452" t="s">
        <v>447</v>
      </c>
      <c r="F401" s="452" t="s">
        <v>606</v>
      </c>
      <c r="G401" s="452" t="s">
        <v>651</v>
      </c>
      <c r="H401" s="452" t="s">
        <v>1576</v>
      </c>
      <c r="I401" s="452" t="s">
        <v>670</v>
      </c>
      <c r="J401" s="453">
        <v>90000</v>
      </c>
      <c r="K401" s="453" t="s">
        <v>654</v>
      </c>
      <c r="L401" s="454" t="s">
        <v>1625</v>
      </c>
      <c r="M401" s="455">
        <v>611029</v>
      </c>
      <c r="N401" s="456"/>
      <c r="O401" s="393"/>
    </row>
    <row r="402" spans="5:15" s="428" customFormat="1" ht="14.1" customHeight="1">
      <c r="E402" s="452" t="s">
        <v>447</v>
      </c>
      <c r="F402" s="452" t="s">
        <v>606</v>
      </c>
      <c r="G402" s="452" t="s">
        <v>1063</v>
      </c>
      <c r="H402" s="452">
        <v>2894</v>
      </c>
      <c r="I402" s="452" t="s">
        <v>1587</v>
      </c>
      <c r="J402" s="453">
        <v>90000</v>
      </c>
      <c r="K402" s="453" t="s">
        <v>654</v>
      </c>
      <c r="L402" s="454" t="s">
        <v>1625</v>
      </c>
      <c r="M402" s="455">
        <v>303021</v>
      </c>
      <c r="N402" s="456"/>
      <c r="O402" s="393"/>
    </row>
    <row r="403" spans="5:15" s="428" customFormat="1" ht="14.1" customHeight="1">
      <c r="E403" s="456"/>
      <c r="F403" s="456"/>
      <c r="G403" s="456"/>
      <c r="H403" s="456"/>
      <c r="I403" s="456"/>
      <c r="J403" s="456"/>
      <c r="K403" s="456"/>
      <c r="L403" s="456"/>
      <c r="M403" s="455" t="s">
        <v>863</v>
      </c>
      <c r="N403" s="455">
        <v>914050</v>
      </c>
      <c r="O403" s="393"/>
    </row>
    <row r="404" spans="5:15" s="428" customFormat="1" ht="14.1" customHeight="1">
      <c r="E404" s="452" t="s">
        <v>447</v>
      </c>
      <c r="F404" s="452" t="s">
        <v>606</v>
      </c>
      <c r="G404" s="452" t="s">
        <v>816</v>
      </c>
      <c r="H404" s="452">
        <v>991223</v>
      </c>
      <c r="I404" s="452" t="s">
        <v>1221</v>
      </c>
      <c r="J404" s="453">
        <v>10200</v>
      </c>
      <c r="K404" s="453" t="s">
        <v>703</v>
      </c>
      <c r="L404" s="454" t="s">
        <v>1625</v>
      </c>
      <c r="M404" s="455">
        <v>532622</v>
      </c>
      <c r="N404" s="456"/>
      <c r="O404" s="393"/>
    </row>
    <row r="405" spans="5:15" s="428" customFormat="1" ht="14.1" customHeight="1">
      <c r="E405" s="456"/>
      <c r="F405" s="456"/>
      <c r="G405" s="456"/>
      <c r="H405" s="456"/>
      <c r="I405" s="456"/>
      <c r="J405" s="456"/>
      <c r="K405" s="456"/>
      <c r="L405" s="456"/>
      <c r="M405" s="455" t="s">
        <v>863</v>
      </c>
      <c r="N405" s="455">
        <v>532622</v>
      </c>
      <c r="O405" s="393"/>
    </row>
    <row r="406" spans="5:15" s="428" customFormat="1" ht="14.1" customHeight="1">
      <c r="E406" s="452" t="s">
        <v>447</v>
      </c>
      <c r="F406" s="452" t="s">
        <v>606</v>
      </c>
      <c r="G406" s="452" t="s">
        <v>651</v>
      </c>
      <c r="H406" s="452" t="s">
        <v>1576</v>
      </c>
      <c r="I406" s="452" t="s">
        <v>670</v>
      </c>
      <c r="J406" s="453">
        <v>90000</v>
      </c>
      <c r="K406" s="453" t="s">
        <v>1588</v>
      </c>
      <c r="L406" s="454" t="s">
        <v>1625</v>
      </c>
      <c r="M406" s="455">
        <v>139019.70000000001</v>
      </c>
      <c r="N406" s="456"/>
      <c r="O406" s="393"/>
    </row>
    <row r="407" spans="5:15" s="428" customFormat="1" ht="14.1" customHeight="1">
      <c r="E407" s="456"/>
      <c r="F407" s="456"/>
      <c r="G407" s="456"/>
      <c r="H407" s="456"/>
      <c r="I407" s="456"/>
      <c r="J407" s="456"/>
      <c r="K407" s="456"/>
      <c r="L407" s="456"/>
      <c r="M407" s="455" t="s">
        <v>863</v>
      </c>
      <c r="N407" s="455">
        <v>139019.70000000001</v>
      </c>
      <c r="O407" s="393"/>
    </row>
    <row r="408" spans="5:15" s="428" customFormat="1" ht="14.1" customHeight="1">
      <c r="E408" s="456"/>
      <c r="F408" s="456"/>
      <c r="G408" s="456"/>
      <c r="H408" s="456"/>
      <c r="I408" s="456"/>
      <c r="J408" s="456"/>
      <c r="K408" s="456"/>
      <c r="L408" s="456"/>
      <c r="M408" s="455" t="s">
        <v>1055</v>
      </c>
      <c r="N408" s="455">
        <v>6016691.2800000003</v>
      </c>
      <c r="O408" s="393"/>
    </row>
    <row r="409" spans="5:15" s="428" customFormat="1" ht="14.1" customHeight="1">
      <c r="E409" s="452" t="s">
        <v>447</v>
      </c>
      <c r="F409" s="452" t="s">
        <v>606</v>
      </c>
      <c r="G409" s="452" t="s">
        <v>1627</v>
      </c>
      <c r="H409" s="452" t="s">
        <v>1628</v>
      </c>
      <c r="I409" s="452" t="s">
        <v>634</v>
      </c>
      <c r="J409" s="453">
        <v>90000</v>
      </c>
      <c r="K409" s="453" t="s">
        <v>640</v>
      </c>
      <c r="L409" s="454" t="s">
        <v>1629</v>
      </c>
      <c r="M409" s="455">
        <v>925</v>
      </c>
      <c r="N409" s="456"/>
      <c r="O409" s="393"/>
    </row>
    <row r="410" spans="5:15" s="428" customFormat="1" ht="14.1" customHeight="1">
      <c r="E410" s="456"/>
      <c r="F410" s="456"/>
      <c r="G410" s="456"/>
      <c r="H410" s="456"/>
      <c r="I410" s="456"/>
      <c r="J410" s="456"/>
      <c r="K410" s="456"/>
      <c r="L410" s="456"/>
      <c r="M410" s="455" t="s">
        <v>863</v>
      </c>
      <c r="N410" s="455">
        <v>925</v>
      </c>
      <c r="O410" s="393"/>
    </row>
    <row r="411" spans="5:15" s="428" customFormat="1" ht="14.1" customHeight="1">
      <c r="E411" s="452" t="s">
        <v>447</v>
      </c>
      <c r="F411" s="452" t="s">
        <v>606</v>
      </c>
      <c r="G411" s="452" t="s">
        <v>821</v>
      </c>
      <c r="H411" s="452" t="s">
        <v>1424</v>
      </c>
      <c r="I411" s="452" t="s">
        <v>1425</v>
      </c>
      <c r="J411" s="453">
        <v>99000</v>
      </c>
      <c r="K411" s="453" t="s">
        <v>621</v>
      </c>
      <c r="L411" s="454" t="s">
        <v>1629</v>
      </c>
      <c r="M411" s="455">
        <v>828.67</v>
      </c>
      <c r="N411" s="456"/>
      <c r="O411" s="393"/>
    </row>
    <row r="412" spans="5:15" s="428" customFormat="1" ht="14.1" customHeight="1">
      <c r="E412" s="452" t="s">
        <v>447</v>
      </c>
      <c r="F412" s="452" t="s">
        <v>606</v>
      </c>
      <c r="G412" s="452" t="s">
        <v>821</v>
      </c>
      <c r="H412" s="452" t="s">
        <v>1426</v>
      </c>
      <c r="I412" s="452" t="s">
        <v>1427</v>
      </c>
      <c r="J412" s="453">
        <v>99000</v>
      </c>
      <c r="K412" s="453" t="s">
        <v>621</v>
      </c>
      <c r="L412" s="454" t="s">
        <v>1629</v>
      </c>
      <c r="M412" s="455">
        <v>1640.13</v>
      </c>
      <c r="N412" s="456"/>
      <c r="O412" s="393"/>
    </row>
    <row r="413" spans="5:15" s="428" customFormat="1" ht="14.1" customHeight="1">
      <c r="E413" s="456"/>
      <c r="F413" s="456"/>
      <c r="G413" s="456"/>
      <c r="H413" s="456"/>
      <c r="I413" s="456"/>
      <c r="J413" s="456"/>
      <c r="K413" s="456"/>
      <c r="L413" s="456"/>
      <c r="M413" s="455" t="s">
        <v>863</v>
      </c>
      <c r="N413" s="455">
        <v>2468.8000000000002</v>
      </c>
      <c r="O413" s="393"/>
    </row>
    <row r="414" spans="5:15" s="428" customFormat="1" ht="14.1" customHeight="1">
      <c r="E414" s="456"/>
      <c r="F414" s="456"/>
      <c r="G414" s="456"/>
      <c r="H414" s="456"/>
      <c r="I414" s="456"/>
      <c r="J414" s="456"/>
      <c r="K414" s="456"/>
      <c r="L414" s="456"/>
      <c r="M414" s="455" t="s">
        <v>1055</v>
      </c>
      <c r="N414" s="455">
        <v>3393.8</v>
      </c>
      <c r="O414" s="393"/>
    </row>
    <row r="415" spans="5:15" s="428" customFormat="1" ht="14.1" customHeight="1">
      <c r="E415" s="452" t="s">
        <v>447</v>
      </c>
      <c r="F415" s="452" t="s">
        <v>606</v>
      </c>
      <c r="G415" s="452" t="s">
        <v>1059</v>
      </c>
      <c r="H415" s="452">
        <v>13</v>
      </c>
      <c r="I415" s="452" t="s">
        <v>1428</v>
      </c>
      <c r="J415" s="453">
        <v>99000</v>
      </c>
      <c r="K415" s="453" t="s">
        <v>1057</v>
      </c>
      <c r="L415" s="454" t="s">
        <v>1630</v>
      </c>
      <c r="M415" s="455">
        <v>21750.25</v>
      </c>
      <c r="N415" s="456"/>
      <c r="O415" s="393"/>
    </row>
    <row r="416" spans="5:15" s="428" customFormat="1" ht="14.1" customHeight="1">
      <c r="E416" s="452" t="s">
        <v>447</v>
      </c>
      <c r="F416" s="452" t="s">
        <v>606</v>
      </c>
      <c r="G416" s="452" t="s">
        <v>733</v>
      </c>
      <c r="H416" s="452">
        <v>993052</v>
      </c>
      <c r="I416" s="452" t="s">
        <v>1270</v>
      </c>
      <c r="J416" s="453">
        <v>99000</v>
      </c>
      <c r="K416" s="453" t="s">
        <v>1057</v>
      </c>
      <c r="L416" s="454" t="s">
        <v>1630</v>
      </c>
      <c r="M416" s="455">
        <v>2158.3200000000002</v>
      </c>
      <c r="N416" s="456"/>
      <c r="O416" s="393"/>
    </row>
    <row r="417" spans="5:15" s="428" customFormat="1" ht="14.1" customHeight="1">
      <c r="E417" s="452" t="s">
        <v>447</v>
      </c>
      <c r="F417" s="452" t="s">
        <v>606</v>
      </c>
      <c r="G417" s="452" t="s">
        <v>733</v>
      </c>
      <c r="H417" s="452">
        <v>993387</v>
      </c>
      <c r="I417" s="452" t="s">
        <v>734</v>
      </c>
      <c r="J417" s="453">
        <v>99000</v>
      </c>
      <c r="K417" s="453" t="s">
        <v>1057</v>
      </c>
      <c r="L417" s="454" t="s">
        <v>1630</v>
      </c>
      <c r="M417" s="455">
        <v>1506.69</v>
      </c>
      <c r="N417" s="456"/>
      <c r="O417" s="393"/>
    </row>
    <row r="418" spans="5:15" s="428" customFormat="1" ht="14.1" customHeight="1">
      <c r="E418" s="456"/>
      <c r="F418" s="456"/>
      <c r="G418" s="456"/>
      <c r="H418" s="456"/>
      <c r="I418" s="456"/>
      <c r="J418" s="456"/>
      <c r="K418" s="456"/>
      <c r="L418" s="456"/>
      <c r="M418" s="455" t="s">
        <v>863</v>
      </c>
      <c r="N418" s="455">
        <v>25415.26</v>
      </c>
      <c r="O418" s="393"/>
    </row>
    <row r="419" spans="5:15" s="428" customFormat="1" ht="14.1" customHeight="1">
      <c r="E419" s="452" t="s">
        <v>447</v>
      </c>
      <c r="F419" s="452" t="s">
        <v>606</v>
      </c>
      <c r="G419" s="452" t="s">
        <v>1429</v>
      </c>
      <c r="H419" s="452" t="s">
        <v>1430</v>
      </c>
      <c r="I419" s="452" t="s">
        <v>1438</v>
      </c>
      <c r="J419" s="453">
        <v>99000</v>
      </c>
      <c r="K419" s="453" t="s">
        <v>675</v>
      </c>
      <c r="L419" s="454" t="s">
        <v>1630</v>
      </c>
      <c r="M419" s="455">
        <v>19502.89</v>
      </c>
      <c r="N419" s="456"/>
      <c r="O419" s="393"/>
    </row>
    <row r="420" spans="5:15" s="428" customFormat="1" ht="14.1" customHeight="1">
      <c r="E420" s="452" t="s">
        <v>447</v>
      </c>
      <c r="F420" s="452" t="s">
        <v>606</v>
      </c>
      <c r="G420" s="452" t="s">
        <v>1429</v>
      </c>
      <c r="H420" s="452" t="s">
        <v>1430</v>
      </c>
      <c r="I420" s="452" t="s">
        <v>1432</v>
      </c>
      <c r="J420" s="453">
        <v>99000</v>
      </c>
      <c r="K420" s="453" t="s">
        <v>675</v>
      </c>
      <c r="L420" s="454" t="s">
        <v>1630</v>
      </c>
      <c r="M420" s="455">
        <v>27961.73</v>
      </c>
      <c r="N420" s="456"/>
      <c r="O420" s="393"/>
    </row>
    <row r="421" spans="5:15" s="428" customFormat="1" ht="14.1" customHeight="1">
      <c r="E421" s="452" t="s">
        <v>447</v>
      </c>
      <c r="F421" s="452" t="s">
        <v>606</v>
      </c>
      <c r="G421" s="452" t="s">
        <v>651</v>
      </c>
      <c r="H421" s="452" t="s">
        <v>1631</v>
      </c>
      <c r="I421" s="452" t="s">
        <v>1632</v>
      </c>
      <c r="J421" s="453">
        <v>99000</v>
      </c>
      <c r="K421" s="453" t="s">
        <v>675</v>
      </c>
      <c r="L421" s="454" t="s">
        <v>1630</v>
      </c>
      <c r="M421" s="455">
        <v>152369.1</v>
      </c>
      <c r="N421" s="456"/>
      <c r="O421" s="393"/>
    </row>
    <row r="422" spans="5:15" s="428" customFormat="1" ht="14.1" customHeight="1">
      <c r="E422" s="452" t="s">
        <v>447</v>
      </c>
      <c r="F422" s="452" t="s">
        <v>606</v>
      </c>
      <c r="G422" s="452" t="s">
        <v>651</v>
      </c>
      <c r="H422" s="452" t="s">
        <v>1631</v>
      </c>
      <c r="I422" s="452" t="s">
        <v>1634</v>
      </c>
      <c r="J422" s="453">
        <v>99000</v>
      </c>
      <c r="K422" s="453" t="s">
        <v>675</v>
      </c>
      <c r="L422" s="454" t="s">
        <v>1630</v>
      </c>
      <c r="M422" s="455">
        <v>159160.5</v>
      </c>
      <c r="N422" s="456"/>
      <c r="O422" s="393"/>
    </row>
    <row r="423" spans="5:15" s="428" customFormat="1" ht="14.1" customHeight="1">
      <c r="E423" s="452" t="s">
        <v>447</v>
      </c>
      <c r="F423" s="452" t="s">
        <v>606</v>
      </c>
      <c r="G423" s="452" t="s">
        <v>651</v>
      </c>
      <c r="H423" s="452" t="s">
        <v>1631</v>
      </c>
      <c r="I423" s="452" t="s">
        <v>1633</v>
      </c>
      <c r="J423" s="453">
        <v>99000</v>
      </c>
      <c r="K423" s="453" t="s">
        <v>675</v>
      </c>
      <c r="L423" s="454" t="s">
        <v>1630</v>
      </c>
      <c r="M423" s="455">
        <v>175000</v>
      </c>
      <c r="N423" s="456"/>
      <c r="O423" s="393"/>
    </row>
    <row r="424" spans="5:15" s="428" customFormat="1" ht="14.1" customHeight="1">
      <c r="E424" s="452" t="s">
        <v>447</v>
      </c>
      <c r="F424" s="452" t="s">
        <v>606</v>
      </c>
      <c r="G424" s="452" t="s">
        <v>1429</v>
      </c>
      <c r="H424" s="452" t="s">
        <v>1430</v>
      </c>
      <c r="I424" s="452" t="s">
        <v>1437</v>
      </c>
      <c r="J424" s="453">
        <v>99000</v>
      </c>
      <c r="K424" s="453" t="s">
        <v>675</v>
      </c>
      <c r="L424" s="454" t="s">
        <v>1630</v>
      </c>
      <c r="M424" s="455">
        <v>41293.919999999998</v>
      </c>
      <c r="N424" s="456"/>
      <c r="O424" s="393"/>
    </row>
    <row r="425" spans="5:15" s="428" customFormat="1" ht="14.1" customHeight="1">
      <c r="E425" s="452" t="s">
        <v>447</v>
      </c>
      <c r="F425" s="452" t="s">
        <v>606</v>
      </c>
      <c r="G425" s="452" t="s">
        <v>1429</v>
      </c>
      <c r="H425" s="452" t="s">
        <v>1430</v>
      </c>
      <c r="I425" s="452" t="s">
        <v>1436</v>
      </c>
      <c r="J425" s="453">
        <v>99000</v>
      </c>
      <c r="K425" s="453" t="s">
        <v>675</v>
      </c>
      <c r="L425" s="454" t="s">
        <v>1630</v>
      </c>
      <c r="M425" s="455">
        <v>27650.83</v>
      </c>
      <c r="N425" s="456"/>
      <c r="O425" s="393"/>
    </row>
    <row r="426" spans="5:15" s="428" customFormat="1" ht="14.1" customHeight="1">
      <c r="E426" s="452" t="s">
        <v>447</v>
      </c>
      <c r="F426" s="452" t="s">
        <v>606</v>
      </c>
      <c r="G426" s="452" t="s">
        <v>1429</v>
      </c>
      <c r="H426" s="452" t="s">
        <v>1430</v>
      </c>
      <c r="I426" s="452" t="s">
        <v>1440</v>
      </c>
      <c r="J426" s="453">
        <v>99000</v>
      </c>
      <c r="K426" s="453" t="s">
        <v>675</v>
      </c>
      <c r="L426" s="454" t="s">
        <v>1630</v>
      </c>
      <c r="M426" s="455">
        <v>19918.900000000001</v>
      </c>
      <c r="N426" s="456"/>
      <c r="O426" s="393"/>
    </row>
    <row r="427" spans="5:15" s="428" customFormat="1" ht="14.1" customHeight="1">
      <c r="E427" s="452" t="s">
        <v>447</v>
      </c>
      <c r="F427" s="452" t="s">
        <v>606</v>
      </c>
      <c r="G427" s="452" t="s">
        <v>1429</v>
      </c>
      <c r="H427" s="452" t="s">
        <v>1430</v>
      </c>
      <c r="I427" s="452" t="s">
        <v>1433</v>
      </c>
      <c r="J427" s="453">
        <v>99000</v>
      </c>
      <c r="K427" s="453" t="s">
        <v>675</v>
      </c>
      <c r="L427" s="454" t="s">
        <v>1630</v>
      </c>
      <c r="M427" s="455">
        <v>2059.3200000000002</v>
      </c>
      <c r="N427" s="456"/>
      <c r="O427" s="393"/>
    </row>
    <row r="428" spans="5:15" s="428" customFormat="1" ht="14.1" customHeight="1">
      <c r="E428" s="452" t="s">
        <v>447</v>
      </c>
      <c r="F428" s="452" t="s">
        <v>606</v>
      </c>
      <c r="G428" s="452" t="s">
        <v>1429</v>
      </c>
      <c r="H428" s="452" t="s">
        <v>1430</v>
      </c>
      <c r="I428" s="452" t="s">
        <v>1431</v>
      </c>
      <c r="J428" s="453">
        <v>99000</v>
      </c>
      <c r="K428" s="453" t="s">
        <v>675</v>
      </c>
      <c r="L428" s="454" t="s">
        <v>1630</v>
      </c>
      <c r="M428" s="455">
        <v>9301.58</v>
      </c>
      <c r="N428" s="456"/>
      <c r="O428" s="393"/>
    </row>
    <row r="429" spans="5:15" s="428" customFormat="1" ht="14.1" customHeight="1">
      <c r="E429" s="452" t="s">
        <v>447</v>
      </c>
      <c r="F429" s="452" t="s">
        <v>606</v>
      </c>
      <c r="G429" s="452" t="s">
        <v>1429</v>
      </c>
      <c r="H429" s="452" t="s">
        <v>1430</v>
      </c>
      <c r="I429" s="452" t="s">
        <v>1439</v>
      </c>
      <c r="J429" s="453">
        <v>99000</v>
      </c>
      <c r="K429" s="453" t="s">
        <v>675</v>
      </c>
      <c r="L429" s="454" t="s">
        <v>1630</v>
      </c>
      <c r="M429" s="455">
        <v>16484.03</v>
      </c>
      <c r="N429" s="456"/>
      <c r="O429" s="393"/>
    </row>
    <row r="430" spans="5:15" s="428" customFormat="1" ht="14.1" customHeight="1">
      <c r="E430" s="452" t="s">
        <v>447</v>
      </c>
      <c r="F430" s="452" t="s">
        <v>606</v>
      </c>
      <c r="G430" s="452" t="s">
        <v>1429</v>
      </c>
      <c r="H430" s="452" t="s">
        <v>1430</v>
      </c>
      <c r="I430" s="452" t="s">
        <v>1435</v>
      </c>
      <c r="J430" s="453">
        <v>99000</v>
      </c>
      <c r="K430" s="453" t="s">
        <v>675</v>
      </c>
      <c r="L430" s="454" t="s">
        <v>1630</v>
      </c>
      <c r="M430" s="455">
        <v>9568.9500000000007</v>
      </c>
      <c r="N430" s="456"/>
      <c r="O430" s="393"/>
    </row>
    <row r="431" spans="5:15" s="428" customFormat="1" ht="14.1" customHeight="1">
      <c r="E431" s="452" t="s">
        <v>447</v>
      </c>
      <c r="F431" s="452" t="s">
        <v>606</v>
      </c>
      <c r="G431" s="452" t="s">
        <v>1429</v>
      </c>
      <c r="H431" s="452" t="s">
        <v>1430</v>
      </c>
      <c r="I431" s="452" t="s">
        <v>1434</v>
      </c>
      <c r="J431" s="453">
        <v>99000</v>
      </c>
      <c r="K431" s="453" t="s">
        <v>675</v>
      </c>
      <c r="L431" s="454" t="s">
        <v>1630</v>
      </c>
      <c r="M431" s="455">
        <v>4589.45</v>
      </c>
      <c r="N431" s="456"/>
      <c r="O431" s="393"/>
    </row>
    <row r="432" spans="5:15" s="428" customFormat="1" ht="14.1" customHeight="1">
      <c r="E432" s="456"/>
      <c r="F432" s="456"/>
      <c r="G432" s="456"/>
      <c r="H432" s="456"/>
      <c r="I432" s="456"/>
      <c r="J432" s="456"/>
      <c r="K432" s="456"/>
      <c r="L432" s="456"/>
      <c r="M432" s="455" t="s">
        <v>863</v>
      </c>
      <c r="N432" s="455">
        <v>664861.19999999995</v>
      </c>
      <c r="O432" s="393"/>
    </row>
    <row r="433" spans="5:15" s="428" customFormat="1" ht="14.1" customHeight="1">
      <c r="E433" s="452" t="s">
        <v>447</v>
      </c>
      <c r="F433" s="452" t="s">
        <v>606</v>
      </c>
      <c r="G433" s="452" t="s">
        <v>634</v>
      </c>
      <c r="H433" s="452" t="s">
        <v>1701</v>
      </c>
      <c r="I433" s="452" t="s">
        <v>1702</v>
      </c>
      <c r="J433" s="453">
        <v>99000</v>
      </c>
      <c r="K433" s="453" t="s">
        <v>1579</v>
      </c>
      <c r="L433" s="454" t="s">
        <v>1630</v>
      </c>
      <c r="M433" s="455">
        <v>3787643</v>
      </c>
      <c r="N433" s="456"/>
      <c r="O433" s="393"/>
    </row>
    <row r="434" spans="5:15" s="428" customFormat="1" ht="14.1" customHeight="1">
      <c r="E434" s="456"/>
      <c r="F434" s="456"/>
      <c r="G434" s="456"/>
      <c r="H434" s="456"/>
      <c r="I434" s="456"/>
      <c r="J434" s="456"/>
      <c r="K434" s="456"/>
      <c r="L434" s="456"/>
      <c r="M434" s="455" t="s">
        <v>863</v>
      </c>
      <c r="N434" s="455">
        <v>3787643</v>
      </c>
      <c r="O434" s="393"/>
    </row>
    <row r="435" spans="5:15" s="428" customFormat="1" ht="14.1" customHeight="1">
      <c r="E435" s="452" t="s">
        <v>447</v>
      </c>
      <c r="F435" s="452" t="s">
        <v>606</v>
      </c>
      <c r="G435" s="452" t="s">
        <v>877</v>
      </c>
      <c r="H435" s="452">
        <v>3230</v>
      </c>
      <c r="I435" s="452" t="s">
        <v>1637</v>
      </c>
      <c r="J435" s="453">
        <v>90000</v>
      </c>
      <c r="K435" s="453" t="s">
        <v>640</v>
      </c>
      <c r="L435" s="454" t="s">
        <v>1630</v>
      </c>
      <c r="M435" s="455">
        <v>1370.36</v>
      </c>
      <c r="N435" s="456"/>
      <c r="O435" s="393"/>
    </row>
    <row r="436" spans="5:15" s="428" customFormat="1" ht="14.1" customHeight="1">
      <c r="E436" s="456"/>
      <c r="F436" s="456"/>
      <c r="G436" s="456"/>
      <c r="H436" s="456"/>
      <c r="I436" s="456"/>
      <c r="J436" s="456"/>
      <c r="K436" s="456"/>
      <c r="L436" s="456"/>
      <c r="M436" s="456"/>
      <c r="N436" s="456"/>
      <c r="O436" s="393"/>
    </row>
    <row r="437" spans="5:15" s="428" customFormat="1" ht="14.1" customHeight="1">
      <c r="E437" s="452" t="s">
        <v>447</v>
      </c>
      <c r="F437" s="452" t="s">
        <v>606</v>
      </c>
      <c r="G437" s="452" t="s">
        <v>834</v>
      </c>
      <c r="H437" s="452" t="s">
        <v>1635</v>
      </c>
      <c r="I437" s="452" t="s">
        <v>1640</v>
      </c>
      <c r="J437" s="453">
        <v>90000</v>
      </c>
      <c r="K437" s="453" t="s">
        <v>640</v>
      </c>
      <c r="L437" s="454" t="s">
        <v>1630</v>
      </c>
      <c r="M437" s="455">
        <v>1250</v>
      </c>
      <c r="N437" s="456"/>
      <c r="O437" s="393"/>
    </row>
    <row r="438" spans="5:15" s="428" customFormat="1" ht="14.1" customHeight="1">
      <c r="E438" s="452" t="s">
        <v>447</v>
      </c>
      <c r="F438" s="452" t="s">
        <v>606</v>
      </c>
      <c r="G438" s="452" t="s">
        <v>834</v>
      </c>
      <c r="H438" s="452" t="s">
        <v>1635</v>
      </c>
      <c r="I438" s="452" t="s">
        <v>1642</v>
      </c>
      <c r="J438" s="453">
        <v>90000</v>
      </c>
      <c r="K438" s="453" t="s">
        <v>640</v>
      </c>
      <c r="L438" s="454" t="s">
        <v>1630</v>
      </c>
      <c r="M438" s="455">
        <v>1624.25</v>
      </c>
      <c r="N438" s="456"/>
      <c r="O438" s="393"/>
    </row>
    <row r="439" spans="5:15" s="428" customFormat="1" ht="14.1" customHeight="1">
      <c r="E439" s="452" t="s">
        <v>447</v>
      </c>
      <c r="F439" s="452" t="s">
        <v>606</v>
      </c>
      <c r="G439" s="452" t="s">
        <v>1643</v>
      </c>
      <c r="H439" s="452">
        <v>51886</v>
      </c>
      <c r="I439" s="452" t="s">
        <v>1644</v>
      </c>
      <c r="J439" s="453">
        <v>90000</v>
      </c>
      <c r="K439" s="453" t="s">
        <v>640</v>
      </c>
      <c r="L439" s="454" t="s">
        <v>1630</v>
      </c>
      <c r="M439" s="455">
        <v>558</v>
      </c>
      <c r="N439" s="456"/>
      <c r="O439" s="393"/>
    </row>
    <row r="440" spans="5:15" s="428" customFormat="1" ht="14.1" customHeight="1">
      <c r="E440" s="452" t="s">
        <v>447</v>
      </c>
      <c r="F440" s="452" t="s">
        <v>606</v>
      </c>
      <c r="G440" s="452" t="s">
        <v>834</v>
      </c>
      <c r="H440" s="452" t="s">
        <v>1638</v>
      </c>
      <c r="I440" s="452" t="s">
        <v>1637</v>
      </c>
      <c r="J440" s="453">
        <v>90000</v>
      </c>
      <c r="K440" s="453" t="s">
        <v>640</v>
      </c>
      <c r="L440" s="454" t="s">
        <v>1630</v>
      </c>
      <c r="M440" s="455">
        <v>269.39</v>
      </c>
      <c r="N440" s="456"/>
      <c r="O440" s="393"/>
    </row>
    <row r="441" spans="5:15" s="428" customFormat="1" ht="14.1" customHeight="1">
      <c r="E441" s="452" t="s">
        <v>447</v>
      </c>
      <c r="F441" s="452" t="s">
        <v>606</v>
      </c>
      <c r="G441" s="452" t="s">
        <v>834</v>
      </c>
      <c r="H441" s="452" t="s">
        <v>1635</v>
      </c>
      <c r="I441" s="452" t="s">
        <v>1636</v>
      </c>
      <c r="J441" s="453">
        <v>90000</v>
      </c>
      <c r="K441" s="453" t="s">
        <v>640</v>
      </c>
      <c r="L441" s="454" t="s">
        <v>1630</v>
      </c>
      <c r="M441" s="455">
        <v>3446</v>
      </c>
      <c r="N441" s="456"/>
      <c r="O441" s="393"/>
    </row>
    <row r="442" spans="5:15" s="428" customFormat="1" ht="14.1" customHeight="1">
      <c r="E442" s="452" t="s">
        <v>447</v>
      </c>
      <c r="F442" s="452" t="s">
        <v>606</v>
      </c>
      <c r="G442" s="452" t="s">
        <v>834</v>
      </c>
      <c r="H442" s="452" t="s">
        <v>1635</v>
      </c>
      <c r="I442" s="452" t="s">
        <v>1639</v>
      </c>
      <c r="J442" s="453">
        <v>90000</v>
      </c>
      <c r="K442" s="453" t="s">
        <v>640</v>
      </c>
      <c r="L442" s="454" t="s">
        <v>1630</v>
      </c>
      <c r="M442" s="455">
        <v>1627.5</v>
      </c>
      <c r="N442" s="456"/>
      <c r="O442" s="393"/>
    </row>
    <row r="443" spans="5:15" s="428" customFormat="1" ht="14.1" customHeight="1">
      <c r="E443" s="452" t="s">
        <v>447</v>
      </c>
      <c r="F443" s="452" t="s">
        <v>606</v>
      </c>
      <c r="G443" s="452" t="s">
        <v>834</v>
      </c>
      <c r="H443" s="452" t="s">
        <v>1635</v>
      </c>
      <c r="I443" s="452" t="s">
        <v>1641</v>
      </c>
      <c r="J443" s="453">
        <v>90000</v>
      </c>
      <c r="K443" s="453" t="s">
        <v>640</v>
      </c>
      <c r="L443" s="454" t="s">
        <v>1630</v>
      </c>
      <c r="M443" s="455">
        <v>2280</v>
      </c>
      <c r="N443" s="456"/>
      <c r="O443" s="393"/>
    </row>
    <row r="444" spans="5:15" s="428" customFormat="1" ht="14.1" customHeight="1">
      <c r="E444" s="456"/>
      <c r="F444" s="456"/>
      <c r="G444" s="456"/>
      <c r="H444" s="456"/>
      <c r="I444" s="456"/>
      <c r="J444" s="456"/>
      <c r="K444" s="456"/>
      <c r="L444" s="456"/>
      <c r="M444" s="455" t="s">
        <v>863</v>
      </c>
      <c r="N444" s="455">
        <v>12425.5</v>
      </c>
      <c r="O444" s="393"/>
    </row>
    <row r="445" spans="5:15" s="428" customFormat="1" ht="14.1" customHeight="1">
      <c r="E445" s="452" t="s">
        <v>447</v>
      </c>
      <c r="F445" s="452" t="s">
        <v>606</v>
      </c>
      <c r="G445" s="452" t="s">
        <v>634</v>
      </c>
      <c r="H445" s="452" t="s">
        <v>1703</v>
      </c>
      <c r="I445" s="452" t="s">
        <v>634</v>
      </c>
      <c r="J445" s="453">
        <v>99000</v>
      </c>
      <c r="K445" s="453" t="s">
        <v>644</v>
      </c>
      <c r="L445" s="454" t="s">
        <v>1630</v>
      </c>
      <c r="M445" s="455">
        <v>360766</v>
      </c>
      <c r="N445" s="456"/>
      <c r="O445" s="393"/>
    </row>
    <row r="446" spans="5:15" s="428" customFormat="1" ht="14.1" customHeight="1">
      <c r="E446" s="456"/>
      <c r="F446" s="456"/>
      <c r="G446" s="456"/>
      <c r="H446" s="456"/>
      <c r="I446" s="456"/>
      <c r="J446" s="456"/>
      <c r="K446" s="456"/>
      <c r="L446" s="456"/>
      <c r="M446" s="455" t="s">
        <v>863</v>
      </c>
      <c r="N446" s="455">
        <v>360766</v>
      </c>
      <c r="O446" s="393"/>
    </row>
    <row r="447" spans="5:15" s="428" customFormat="1" ht="14.1" customHeight="1">
      <c r="E447" s="452" t="s">
        <v>447</v>
      </c>
      <c r="F447" s="452" t="s">
        <v>606</v>
      </c>
      <c r="G447" s="452" t="s">
        <v>634</v>
      </c>
      <c r="H447" s="452" t="s">
        <v>1704</v>
      </c>
      <c r="I447" s="452" t="s">
        <v>1727</v>
      </c>
      <c r="J447" s="453">
        <v>99000</v>
      </c>
      <c r="K447" s="453" t="s">
        <v>617</v>
      </c>
      <c r="L447" s="454" t="s">
        <v>1630</v>
      </c>
      <c r="M447" s="455">
        <v>69016.13</v>
      </c>
      <c r="N447" s="456"/>
      <c r="O447" s="393"/>
    </row>
    <row r="448" spans="5:15" s="428" customFormat="1" ht="14.1" customHeight="1">
      <c r="E448" s="456"/>
      <c r="F448" s="456"/>
      <c r="G448" s="456"/>
      <c r="H448" s="456"/>
      <c r="I448" s="456"/>
      <c r="J448" s="456"/>
      <c r="K448" s="456"/>
      <c r="L448" s="456"/>
      <c r="M448" s="455" t="s">
        <v>863</v>
      </c>
      <c r="N448" s="455">
        <v>69016.13</v>
      </c>
      <c r="O448" s="393"/>
    </row>
    <row r="449" spans="5:15" s="428" customFormat="1" ht="14.1" customHeight="1">
      <c r="E449" s="452" t="s">
        <v>447</v>
      </c>
      <c r="F449" s="452" t="s">
        <v>606</v>
      </c>
      <c r="G449" s="452" t="s">
        <v>1068</v>
      </c>
      <c r="H449" s="452" t="s">
        <v>1441</v>
      </c>
      <c r="I449" s="452" t="s">
        <v>1442</v>
      </c>
      <c r="J449" s="453">
        <v>99000</v>
      </c>
      <c r="K449" s="453" t="s">
        <v>732</v>
      </c>
      <c r="L449" s="454" t="s">
        <v>1630</v>
      </c>
      <c r="M449" s="455">
        <v>12500</v>
      </c>
      <c r="N449" s="456"/>
      <c r="O449" s="393"/>
    </row>
    <row r="450" spans="5:15" s="428" customFormat="1" ht="14.1" customHeight="1">
      <c r="E450" s="456"/>
      <c r="F450" s="456"/>
      <c r="G450" s="456"/>
      <c r="H450" s="456"/>
      <c r="I450" s="456"/>
      <c r="J450" s="456"/>
      <c r="K450" s="456"/>
      <c r="L450" s="456"/>
      <c r="M450" s="455" t="s">
        <v>863</v>
      </c>
      <c r="N450" s="455">
        <v>12500</v>
      </c>
      <c r="O450" s="393"/>
    </row>
    <row r="451" spans="5:15" s="428" customFormat="1" ht="14.1" customHeight="1">
      <c r="E451" s="452" t="s">
        <v>447</v>
      </c>
      <c r="F451" s="452" t="s">
        <v>606</v>
      </c>
      <c r="G451" s="452" t="s">
        <v>651</v>
      </c>
      <c r="H451" s="452" t="s">
        <v>1631</v>
      </c>
      <c r="I451" s="452" t="s">
        <v>1645</v>
      </c>
      <c r="J451" s="453">
        <v>99000</v>
      </c>
      <c r="K451" s="453" t="s">
        <v>1263</v>
      </c>
      <c r="L451" s="454" t="s">
        <v>1630</v>
      </c>
      <c r="M451" s="455">
        <v>90000</v>
      </c>
      <c r="N451" s="456"/>
      <c r="O451" s="393"/>
    </row>
    <row r="452" spans="5:15" s="428" customFormat="1" ht="14.1" customHeight="1">
      <c r="E452" s="456"/>
      <c r="F452" s="456"/>
      <c r="G452" s="456"/>
      <c r="H452" s="456"/>
      <c r="I452" s="456"/>
      <c r="J452" s="456"/>
      <c r="K452" s="456"/>
      <c r="L452" s="456"/>
      <c r="M452" s="455" t="s">
        <v>863</v>
      </c>
      <c r="N452" s="455">
        <v>90000</v>
      </c>
      <c r="O452" s="393"/>
    </row>
    <row r="453" spans="5:15" s="428" customFormat="1" ht="14.1" customHeight="1">
      <c r="E453" s="452" t="s">
        <v>447</v>
      </c>
      <c r="F453" s="452" t="s">
        <v>606</v>
      </c>
      <c r="G453" s="452" t="s">
        <v>792</v>
      </c>
      <c r="H453" s="452" t="s">
        <v>1646</v>
      </c>
      <c r="I453" s="452" t="s">
        <v>1647</v>
      </c>
      <c r="J453" s="453">
        <v>90000</v>
      </c>
      <c r="K453" s="453" t="s">
        <v>703</v>
      </c>
      <c r="L453" s="454" t="s">
        <v>1630</v>
      </c>
      <c r="M453" s="455">
        <v>166666.67000000001</v>
      </c>
      <c r="N453" s="456"/>
      <c r="O453" s="393"/>
    </row>
    <row r="454" spans="5:15" s="428" customFormat="1" ht="14.1" customHeight="1">
      <c r="E454" s="456"/>
      <c r="F454" s="456"/>
      <c r="G454" s="456"/>
      <c r="H454" s="456"/>
      <c r="I454" s="456"/>
      <c r="J454" s="456"/>
      <c r="K454" s="456"/>
      <c r="L454" s="456"/>
      <c r="M454" s="455" t="s">
        <v>863</v>
      </c>
      <c r="N454" s="455">
        <v>166666.67000000001</v>
      </c>
      <c r="O454" s="393"/>
    </row>
    <row r="455" spans="5:15" s="428" customFormat="1" ht="14.1" customHeight="1">
      <c r="E455" s="452" t="s">
        <v>447</v>
      </c>
      <c r="F455" s="452" t="s">
        <v>606</v>
      </c>
      <c r="G455" s="452" t="s">
        <v>634</v>
      </c>
      <c r="H455" s="452" t="s">
        <v>1704</v>
      </c>
      <c r="I455" s="452" t="s">
        <v>1728</v>
      </c>
      <c r="J455" s="453">
        <v>99000</v>
      </c>
      <c r="K455" s="453" t="s">
        <v>621</v>
      </c>
      <c r="L455" s="454" t="s">
        <v>1630</v>
      </c>
      <c r="M455" s="455">
        <v>1852.25</v>
      </c>
      <c r="N455" s="456"/>
      <c r="O455" s="393"/>
    </row>
    <row r="456" spans="5:15" s="428" customFormat="1" ht="14.1" customHeight="1">
      <c r="E456" s="452" t="s">
        <v>447</v>
      </c>
      <c r="F456" s="452" t="s">
        <v>606</v>
      </c>
      <c r="G456" s="452" t="s">
        <v>1443</v>
      </c>
      <c r="H456" s="452" t="s">
        <v>1444</v>
      </c>
      <c r="I456" s="452" t="s">
        <v>658</v>
      </c>
      <c r="J456" s="453">
        <v>99000</v>
      </c>
      <c r="K456" s="453" t="s">
        <v>621</v>
      </c>
      <c r="L456" s="454" t="s">
        <v>1630</v>
      </c>
      <c r="M456" s="455">
        <v>18.72</v>
      </c>
      <c r="N456" s="456"/>
      <c r="O456" s="393"/>
    </row>
    <row r="457" spans="5:15" s="428" customFormat="1" ht="14.1" customHeight="1">
      <c r="E457" s="452" t="s">
        <v>447</v>
      </c>
      <c r="F457" s="452" t="s">
        <v>606</v>
      </c>
      <c r="G457" s="452" t="s">
        <v>628</v>
      </c>
      <c r="H457" s="452" t="s">
        <v>1648</v>
      </c>
      <c r="I457" s="452" t="s">
        <v>1649</v>
      </c>
      <c r="J457" s="453">
        <v>99000</v>
      </c>
      <c r="K457" s="453" t="s">
        <v>621</v>
      </c>
      <c r="L457" s="454" t="s">
        <v>1630</v>
      </c>
      <c r="M457" s="455">
        <v>2231.25</v>
      </c>
      <c r="N457" s="456"/>
      <c r="O457" s="393"/>
    </row>
    <row r="458" spans="5:15" s="428" customFormat="1" ht="14.1" customHeight="1">
      <c r="E458" s="452" t="s">
        <v>447</v>
      </c>
      <c r="F458" s="452" t="s">
        <v>606</v>
      </c>
      <c r="G458" s="452" t="s">
        <v>628</v>
      </c>
      <c r="H458" s="452" t="s">
        <v>1648</v>
      </c>
      <c r="I458" s="452" t="s">
        <v>658</v>
      </c>
      <c r="J458" s="453">
        <v>99000</v>
      </c>
      <c r="K458" s="453" t="s">
        <v>621</v>
      </c>
      <c r="L458" s="454" t="s">
        <v>1630</v>
      </c>
      <c r="M458" s="455">
        <v>200.12</v>
      </c>
      <c r="N458" s="456"/>
      <c r="O458" s="393"/>
    </row>
    <row r="459" spans="5:15" s="428" customFormat="1" ht="14.1" customHeight="1">
      <c r="E459" s="452" t="s">
        <v>447</v>
      </c>
      <c r="F459" s="452" t="s">
        <v>606</v>
      </c>
      <c r="G459" s="452" t="s">
        <v>742</v>
      </c>
      <c r="H459" s="452" t="s">
        <v>1589</v>
      </c>
      <c r="I459" s="452" t="s">
        <v>1590</v>
      </c>
      <c r="J459" s="453">
        <v>99000</v>
      </c>
      <c r="K459" s="453" t="s">
        <v>621</v>
      </c>
      <c r="L459" s="454" t="s">
        <v>1630</v>
      </c>
      <c r="M459" s="455">
        <v>580.91999999999996</v>
      </c>
      <c r="N459" s="456"/>
      <c r="O459" s="393"/>
    </row>
    <row r="460" spans="5:15" s="428" customFormat="1" ht="14.1" customHeight="1">
      <c r="E460" s="452" t="s">
        <v>447</v>
      </c>
      <c r="F460" s="452" t="s">
        <v>606</v>
      </c>
      <c r="G460" s="452" t="s">
        <v>1443</v>
      </c>
      <c r="H460" s="452" t="s">
        <v>1444</v>
      </c>
      <c r="I460" s="452" t="s">
        <v>1445</v>
      </c>
      <c r="J460" s="453">
        <v>99000</v>
      </c>
      <c r="K460" s="453" t="s">
        <v>621</v>
      </c>
      <c r="L460" s="454" t="s">
        <v>1630</v>
      </c>
      <c r="M460" s="455">
        <v>746.73</v>
      </c>
      <c r="N460" s="456"/>
      <c r="O460" s="393"/>
    </row>
    <row r="461" spans="5:15" s="428" customFormat="1" ht="14.1" customHeight="1">
      <c r="E461" s="452" t="s">
        <v>447</v>
      </c>
      <c r="F461" s="452" t="s">
        <v>606</v>
      </c>
      <c r="G461" s="452" t="s">
        <v>742</v>
      </c>
      <c r="H461" s="452" t="s">
        <v>1446</v>
      </c>
      <c r="I461" s="452" t="s">
        <v>870</v>
      </c>
      <c r="J461" s="453">
        <v>99000</v>
      </c>
      <c r="K461" s="453" t="s">
        <v>621</v>
      </c>
      <c r="L461" s="454" t="s">
        <v>1630</v>
      </c>
      <c r="M461" s="455">
        <v>316.64999999999998</v>
      </c>
      <c r="N461" s="456"/>
      <c r="O461" s="393"/>
    </row>
    <row r="462" spans="5:15" s="428" customFormat="1" ht="14.1" customHeight="1">
      <c r="E462" s="456"/>
      <c r="F462" s="456"/>
      <c r="G462" s="456"/>
      <c r="H462" s="456"/>
      <c r="I462" s="456"/>
      <c r="J462" s="456"/>
      <c r="K462" s="456"/>
      <c r="L462" s="456"/>
      <c r="M462" s="455" t="s">
        <v>863</v>
      </c>
      <c r="N462" s="455">
        <v>5946.64</v>
      </c>
      <c r="O462" s="393"/>
    </row>
    <row r="463" spans="5:15" s="428" customFormat="1" ht="14.1" customHeight="1">
      <c r="E463" s="456"/>
      <c r="F463" s="456"/>
      <c r="G463" s="456"/>
      <c r="H463" s="456"/>
      <c r="I463" s="456"/>
      <c r="J463" s="456"/>
      <c r="K463" s="456"/>
      <c r="L463" s="456"/>
      <c r="M463" s="455" t="s">
        <v>1055</v>
      </c>
      <c r="N463" s="455">
        <v>5195240.4000000004</v>
      </c>
      <c r="O463" s="393"/>
    </row>
    <row r="464" spans="5:15" s="428" customFormat="1" ht="14.1" customHeight="1">
      <c r="E464" s="452" t="s">
        <v>447</v>
      </c>
      <c r="F464" s="452" t="s">
        <v>606</v>
      </c>
      <c r="G464" s="452" t="s">
        <v>877</v>
      </c>
      <c r="H464" s="452">
        <v>3307</v>
      </c>
      <c r="I464" s="452">
        <v>3136</v>
      </c>
      <c r="J464" s="453">
        <v>99000</v>
      </c>
      <c r="K464" s="453" t="s">
        <v>675</v>
      </c>
      <c r="L464" s="454" t="s">
        <v>1729</v>
      </c>
      <c r="M464" s="455">
        <v>45840.46</v>
      </c>
      <c r="N464" s="456"/>
      <c r="O464" s="393"/>
    </row>
    <row r="465" spans="5:15" s="428" customFormat="1" ht="14.1" customHeight="1">
      <c r="E465" s="452" t="s">
        <v>447</v>
      </c>
      <c r="F465" s="452" t="s">
        <v>606</v>
      </c>
      <c r="G465" s="452" t="s">
        <v>877</v>
      </c>
      <c r="H465" s="452">
        <v>3307</v>
      </c>
      <c r="I465" s="452">
        <v>3308</v>
      </c>
      <c r="J465" s="453">
        <v>99000</v>
      </c>
      <c r="K465" s="453" t="s">
        <v>675</v>
      </c>
      <c r="L465" s="454" t="s">
        <v>1729</v>
      </c>
      <c r="M465" s="455">
        <v>47656.79</v>
      </c>
      <c r="N465" s="456"/>
      <c r="O465" s="393"/>
    </row>
    <row r="466" spans="5:15" s="428" customFormat="1" ht="14.1" customHeight="1">
      <c r="E466" s="452" t="s">
        <v>447</v>
      </c>
      <c r="F466" s="452" t="s">
        <v>606</v>
      </c>
      <c r="G466" s="452" t="s">
        <v>651</v>
      </c>
      <c r="H466" s="452" t="s">
        <v>1730</v>
      </c>
      <c r="I466" s="452" t="s">
        <v>1734</v>
      </c>
      <c r="J466" s="453">
        <v>99000</v>
      </c>
      <c r="K466" s="453" t="s">
        <v>675</v>
      </c>
      <c r="L466" s="454" t="s">
        <v>1729</v>
      </c>
      <c r="M466" s="455">
        <v>89336.27</v>
      </c>
      <c r="N466" s="456"/>
      <c r="O466" s="393"/>
    </row>
    <row r="467" spans="5:15" s="428" customFormat="1" ht="14.1" customHeight="1">
      <c r="E467" s="452" t="s">
        <v>447</v>
      </c>
      <c r="F467" s="452" t="s">
        <v>606</v>
      </c>
      <c r="G467" s="452" t="s">
        <v>877</v>
      </c>
      <c r="H467" s="452">
        <v>3307</v>
      </c>
      <c r="I467" s="452">
        <v>3307</v>
      </c>
      <c r="J467" s="453">
        <v>99000</v>
      </c>
      <c r="K467" s="453" t="s">
        <v>675</v>
      </c>
      <c r="L467" s="454" t="s">
        <v>1729</v>
      </c>
      <c r="M467" s="455">
        <v>32319.35</v>
      </c>
      <c r="N467" s="456"/>
      <c r="O467" s="393"/>
    </row>
    <row r="468" spans="5:15" s="428" customFormat="1" ht="14.1" customHeight="1">
      <c r="E468" s="452" t="s">
        <v>447</v>
      </c>
      <c r="F468" s="452" t="s">
        <v>606</v>
      </c>
      <c r="G468" s="452" t="s">
        <v>1268</v>
      </c>
      <c r="H468" s="452" t="s">
        <v>20</v>
      </c>
      <c r="I468" s="452" t="s">
        <v>21</v>
      </c>
      <c r="J468" s="453">
        <v>99000</v>
      </c>
      <c r="K468" s="453" t="s">
        <v>675</v>
      </c>
      <c r="L468" s="454" t="s">
        <v>1729</v>
      </c>
      <c r="M468" s="455">
        <v>157687</v>
      </c>
      <c r="N468" s="456"/>
      <c r="O468" s="393"/>
    </row>
    <row r="469" spans="5:15" s="428" customFormat="1" ht="14.1" customHeight="1">
      <c r="E469" s="452" t="s">
        <v>447</v>
      </c>
      <c r="F469" s="452" t="s">
        <v>606</v>
      </c>
      <c r="G469" s="452" t="s">
        <v>651</v>
      </c>
      <c r="H469" s="452" t="s">
        <v>1261</v>
      </c>
      <c r="I469" s="452" t="s">
        <v>1740</v>
      </c>
      <c r="J469" s="453">
        <v>99000</v>
      </c>
      <c r="K469" s="453" t="s">
        <v>675</v>
      </c>
      <c r="L469" s="454" t="s">
        <v>1729</v>
      </c>
      <c r="M469" s="455">
        <v>109470.47</v>
      </c>
      <c r="N469" s="456"/>
      <c r="O469" s="393"/>
    </row>
    <row r="470" spans="5:15" s="428" customFormat="1" ht="14.1" customHeight="1">
      <c r="E470" s="452" t="s">
        <v>447</v>
      </c>
      <c r="F470" s="452" t="s">
        <v>606</v>
      </c>
      <c r="G470" s="452" t="s">
        <v>651</v>
      </c>
      <c r="H470" s="452" t="s">
        <v>1261</v>
      </c>
      <c r="I470" s="452" t="s">
        <v>1741</v>
      </c>
      <c r="J470" s="453">
        <v>99000</v>
      </c>
      <c r="K470" s="453" t="s">
        <v>675</v>
      </c>
      <c r="L470" s="454" t="s">
        <v>1729</v>
      </c>
      <c r="M470" s="455">
        <v>226375.67999999999</v>
      </c>
      <c r="N470" s="456"/>
      <c r="O470" s="393"/>
    </row>
    <row r="471" spans="5:15" s="428" customFormat="1" ht="14.1" customHeight="1">
      <c r="E471" s="452" t="s">
        <v>447</v>
      </c>
      <c r="F471" s="452" t="s">
        <v>606</v>
      </c>
      <c r="G471" s="452" t="s">
        <v>651</v>
      </c>
      <c r="H471" s="452" t="s">
        <v>1261</v>
      </c>
      <c r="I471" s="452" t="s">
        <v>1739</v>
      </c>
      <c r="J471" s="453">
        <v>99000</v>
      </c>
      <c r="K471" s="453" t="s">
        <v>675</v>
      </c>
      <c r="L471" s="454" t="s">
        <v>1729</v>
      </c>
      <c r="M471" s="455">
        <v>59973.51</v>
      </c>
      <c r="N471" s="456"/>
      <c r="O471" s="393"/>
    </row>
    <row r="472" spans="5:15" s="428" customFormat="1" ht="14.1" customHeight="1">
      <c r="E472" s="452" t="s">
        <v>447</v>
      </c>
      <c r="F472" s="452" t="s">
        <v>606</v>
      </c>
      <c r="G472" s="452" t="s">
        <v>651</v>
      </c>
      <c r="H472" s="452" t="s">
        <v>16</v>
      </c>
      <c r="I472" s="452" t="s">
        <v>18</v>
      </c>
      <c r="J472" s="453">
        <v>99000</v>
      </c>
      <c r="K472" s="453" t="s">
        <v>675</v>
      </c>
      <c r="L472" s="454" t="s">
        <v>1729</v>
      </c>
      <c r="M472" s="455">
        <v>139743.6</v>
      </c>
      <c r="N472" s="456"/>
      <c r="O472" s="393"/>
    </row>
    <row r="473" spans="5:15" s="428" customFormat="1" ht="14.1" customHeight="1">
      <c r="E473" s="452" t="s">
        <v>447</v>
      </c>
      <c r="F473" s="452" t="s">
        <v>606</v>
      </c>
      <c r="G473" s="452" t="s">
        <v>651</v>
      </c>
      <c r="H473" s="452" t="s">
        <v>16</v>
      </c>
      <c r="I473" s="452" t="s">
        <v>17</v>
      </c>
      <c r="J473" s="453">
        <v>99000</v>
      </c>
      <c r="K473" s="453" t="s">
        <v>675</v>
      </c>
      <c r="L473" s="454" t="s">
        <v>1729</v>
      </c>
      <c r="M473" s="455">
        <v>29084.32</v>
      </c>
      <c r="N473" s="456"/>
      <c r="O473" s="393"/>
    </row>
    <row r="474" spans="5:15" s="428" customFormat="1" ht="14.1" customHeight="1">
      <c r="E474" s="452" t="s">
        <v>447</v>
      </c>
      <c r="F474" s="452" t="s">
        <v>606</v>
      </c>
      <c r="G474" s="452" t="s">
        <v>651</v>
      </c>
      <c r="H474" s="452" t="s">
        <v>1730</v>
      </c>
      <c r="I474" s="452" t="s">
        <v>1731</v>
      </c>
      <c r="J474" s="453">
        <v>99000</v>
      </c>
      <c r="K474" s="453" t="s">
        <v>675</v>
      </c>
      <c r="L474" s="454" t="s">
        <v>1729</v>
      </c>
      <c r="M474" s="455">
        <v>33612</v>
      </c>
      <c r="N474" s="456"/>
      <c r="O474" s="393"/>
    </row>
    <row r="475" spans="5:15" s="428" customFormat="1" ht="14.1" customHeight="1">
      <c r="E475" s="452" t="s">
        <v>447</v>
      </c>
      <c r="F475" s="452" t="s">
        <v>606</v>
      </c>
      <c r="G475" s="452" t="s">
        <v>1268</v>
      </c>
      <c r="H475" s="452" t="s">
        <v>20</v>
      </c>
      <c r="I475" s="452" t="s">
        <v>22</v>
      </c>
      <c r="J475" s="453">
        <v>99000</v>
      </c>
      <c r="K475" s="453" t="s">
        <v>675</v>
      </c>
      <c r="L475" s="454" t="s">
        <v>1729</v>
      </c>
      <c r="M475" s="455">
        <v>5151338</v>
      </c>
      <c r="N475" s="456"/>
      <c r="O475" s="393"/>
    </row>
    <row r="476" spans="5:15" s="428" customFormat="1" ht="14.1" customHeight="1">
      <c r="E476" s="452" t="s">
        <v>447</v>
      </c>
      <c r="F476" s="452" t="s">
        <v>606</v>
      </c>
      <c r="G476" s="452" t="s">
        <v>1235</v>
      </c>
      <c r="H476" s="452" t="s">
        <v>1733</v>
      </c>
      <c r="I476" s="452" t="s">
        <v>1587</v>
      </c>
      <c r="J476" s="453">
        <v>99000</v>
      </c>
      <c r="K476" s="453" t="s">
        <v>675</v>
      </c>
      <c r="L476" s="454" t="s">
        <v>1729</v>
      </c>
      <c r="M476" s="455">
        <v>3190</v>
      </c>
      <c r="N476" s="456"/>
      <c r="O476" s="393"/>
    </row>
    <row r="477" spans="5:15" s="428" customFormat="1" ht="14.1" customHeight="1">
      <c r="E477" s="452" t="s">
        <v>447</v>
      </c>
      <c r="F477" s="452" t="s">
        <v>606</v>
      </c>
      <c r="G477" s="452" t="s">
        <v>651</v>
      </c>
      <c r="H477" s="452" t="s">
        <v>1730</v>
      </c>
      <c r="I477" s="452" t="s">
        <v>1737</v>
      </c>
      <c r="J477" s="453">
        <v>99000</v>
      </c>
      <c r="K477" s="453" t="s">
        <v>675</v>
      </c>
      <c r="L477" s="454" t="s">
        <v>1729</v>
      </c>
      <c r="M477" s="455">
        <v>165580.24</v>
      </c>
      <c r="N477" s="456"/>
      <c r="O477" s="393"/>
    </row>
    <row r="478" spans="5:15" s="428" customFormat="1" ht="14.1" customHeight="1">
      <c r="E478" s="452" t="s">
        <v>447</v>
      </c>
      <c r="F478" s="452" t="s">
        <v>606</v>
      </c>
      <c r="G478" s="452" t="s">
        <v>651</v>
      </c>
      <c r="H478" s="452" t="s">
        <v>16</v>
      </c>
      <c r="I478" s="452" t="s">
        <v>19</v>
      </c>
      <c r="J478" s="453">
        <v>99000</v>
      </c>
      <c r="K478" s="453" t="s">
        <v>675</v>
      </c>
      <c r="L478" s="454" t="s">
        <v>1729</v>
      </c>
      <c r="M478" s="455">
        <v>125000</v>
      </c>
      <c r="N478" s="456"/>
      <c r="O478" s="393"/>
    </row>
    <row r="479" spans="5:15" s="428" customFormat="1" ht="14.1" customHeight="1">
      <c r="E479" s="452" t="s">
        <v>447</v>
      </c>
      <c r="F479" s="452" t="s">
        <v>606</v>
      </c>
      <c r="G479" s="452" t="s">
        <v>651</v>
      </c>
      <c r="H479" s="452" t="s">
        <v>1730</v>
      </c>
      <c r="I479" s="452" t="s">
        <v>1738</v>
      </c>
      <c r="J479" s="453">
        <v>99000</v>
      </c>
      <c r="K479" s="453" t="s">
        <v>675</v>
      </c>
      <c r="L479" s="454" t="s">
        <v>1729</v>
      </c>
      <c r="M479" s="455">
        <v>28581</v>
      </c>
      <c r="N479" s="456"/>
      <c r="O479" s="393"/>
    </row>
    <row r="480" spans="5:15" s="428" customFormat="1" ht="14.1" customHeight="1">
      <c r="E480" s="452" t="s">
        <v>447</v>
      </c>
      <c r="F480" s="452" t="s">
        <v>606</v>
      </c>
      <c r="G480" s="452" t="s">
        <v>1063</v>
      </c>
      <c r="H480" s="452">
        <v>2918</v>
      </c>
      <c r="I480" s="452" t="s">
        <v>1735</v>
      </c>
      <c r="J480" s="453">
        <v>99000</v>
      </c>
      <c r="K480" s="453" t="s">
        <v>675</v>
      </c>
      <c r="L480" s="454" t="s">
        <v>1729</v>
      </c>
      <c r="M480" s="455">
        <v>272718.90000000002</v>
      </c>
      <c r="N480" s="456"/>
      <c r="O480" s="393"/>
    </row>
    <row r="481" spans="5:15" s="428" customFormat="1" ht="14.1" customHeight="1">
      <c r="E481" s="452" t="s">
        <v>447</v>
      </c>
      <c r="F481" s="452" t="s">
        <v>606</v>
      </c>
      <c r="G481" s="452" t="s">
        <v>651</v>
      </c>
      <c r="H481" s="452" t="s">
        <v>1730</v>
      </c>
      <c r="I481" s="452" t="s">
        <v>1732</v>
      </c>
      <c r="J481" s="453">
        <v>99000</v>
      </c>
      <c r="K481" s="453" t="s">
        <v>675</v>
      </c>
      <c r="L481" s="454" t="s">
        <v>1729</v>
      </c>
      <c r="M481" s="455">
        <v>29582.71</v>
      </c>
      <c r="N481" s="456"/>
      <c r="O481" s="393"/>
    </row>
    <row r="482" spans="5:15" s="428" customFormat="1" ht="14.1" customHeight="1">
      <c r="E482" s="452" t="s">
        <v>447</v>
      </c>
      <c r="F482" s="452" t="s">
        <v>606</v>
      </c>
      <c r="G482" s="452" t="s">
        <v>651</v>
      </c>
      <c r="H482" s="452" t="s">
        <v>1261</v>
      </c>
      <c r="I482" s="452" t="s">
        <v>1736</v>
      </c>
      <c r="J482" s="453">
        <v>99000</v>
      </c>
      <c r="K482" s="453" t="s">
        <v>675</v>
      </c>
      <c r="L482" s="454" t="s">
        <v>1729</v>
      </c>
      <c r="M482" s="455">
        <v>316800</v>
      </c>
      <c r="N482" s="456"/>
      <c r="O482" s="393"/>
    </row>
    <row r="483" spans="5:15" s="428" customFormat="1" ht="14.1" customHeight="1">
      <c r="E483" s="456"/>
      <c r="F483" s="456"/>
      <c r="G483" s="456"/>
      <c r="H483" s="456"/>
      <c r="I483" s="456"/>
      <c r="J483" s="456"/>
      <c r="K483" s="456"/>
      <c r="L483" s="456"/>
      <c r="M483" s="455" t="s">
        <v>863</v>
      </c>
      <c r="N483" s="455">
        <v>7063890.3000000007</v>
      </c>
      <c r="O483" s="393"/>
    </row>
    <row r="484" spans="5:15" s="428" customFormat="1" ht="14.1" customHeight="1">
      <c r="E484" s="452" t="s">
        <v>447</v>
      </c>
      <c r="F484" s="452" t="s">
        <v>606</v>
      </c>
      <c r="G484" s="452" t="s">
        <v>834</v>
      </c>
      <c r="H484" s="452" t="s">
        <v>1742</v>
      </c>
      <c r="I484" s="452" t="s">
        <v>1745</v>
      </c>
      <c r="J484" s="453">
        <v>90000</v>
      </c>
      <c r="K484" s="453" t="s">
        <v>640</v>
      </c>
      <c r="L484" s="454" t="s">
        <v>1729</v>
      </c>
      <c r="M484" s="455">
        <v>1000</v>
      </c>
      <c r="N484" s="456"/>
      <c r="O484" s="393"/>
    </row>
    <row r="485" spans="5:15" s="428" customFormat="1" ht="14.1" customHeight="1">
      <c r="E485" s="456"/>
      <c r="F485" s="456"/>
      <c r="G485" s="456"/>
      <c r="H485" s="456"/>
      <c r="I485" s="456"/>
      <c r="J485" s="456"/>
      <c r="K485" s="456"/>
      <c r="L485" s="456"/>
      <c r="M485" s="456"/>
      <c r="N485" s="456"/>
      <c r="O485" s="393"/>
    </row>
    <row r="486" spans="5:15" s="428" customFormat="1" ht="14.1" customHeight="1">
      <c r="E486" s="452" t="s">
        <v>447</v>
      </c>
      <c r="F486" s="452" t="s">
        <v>606</v>
      </c>
      <c r="G486" s="452" t="s">
        <v>834</v>
      </c>
      <c r="H486" s="452" t="s">
        <v>1742</v>
      </c>
      <c r="I486" s="452" t="s">
        <v>1752</v>
      </c>
      <c r="J486" s="453">
        <v>90000</v>
      </c>
      <c r="K486" s="453" t="s">
        <v>640</v>
      </c>
      <c r="L486" s="454" t="s">
        <v>1729</v>
      </c>
      <c r="M486" s="455">
        <v>1000</v>
      </c>
      <c r="N486" s="456"/>
      <c r="O486" s="393"/>
    </row>
    <row r="487" spans="5:15" s="428" customFormat="1" ht="14.1" customHeight="1">
      <c r="E487" s="452" t="s">
        <v>447</v>
      </c>
      <c r="F487" s="452" t="s">
        <v>606</v>
      </c>
      <c r="G487" s="452" t="s">
        <v>834</v>
      </c>
      <c r="H487" s="452" t="s">
        <v>1742</v>
      </c>
      <c r="I487" s="452" t="s">
        <v>1754</v>
      </c>
      <c r="J487" s="453">
        <v>90000</v>
      </c>
      <c r="K487" s="453" t="s">
        <v>640</v>
      </c>
      <c r="L487" s="454" t="s">
        <v>1729</v>
      </c>
      <c r="M487" s="455">
        <v>1000</v>
      </c>
      <c r="N487" s="456"/>
      <c r="O487" s="393"/>
    </row>
    <row r="488" spans="5:15" s="428" customFormat="1" ht="14.1" customHeight="1">
      <c r="E488" s="452" t="s">
        <v>447</v>
      </c>
      <c r="F488" s="452" t="s">
        <v>606</v>
      </c>
      <c r="G488" s="452" t="s">
        <v>834</v>
      </c>
      <c r="H488" s="452" t="s">
        <v>1742</v>
      </c>
      <c r="I488" s="452" t="s">
        <v>1755</v>
      </c>
      <c r="J488" s="453">
        <v>90000</v>
      </c>
      <c r="K488" s="453" t="s">
        <v>640</v>
      </c>
      <c r="L488" s="454" t="s">
        <v>1729</v>
      </c>
      <c r="M488" s="455">
        <v>1000</v>
      </c>
      <c r="N488" s="456"/>
      <c r="O488" s="393"/>
    </row>
    <row r="489" spans="5:15" s="428" customFormat="1" ht="14.1" customHeight="1">
      <c r="E489" s="452" t="s">
        <v>447</v>
      </c>
      <c r="F489" s="452" t="s">
        <v>606</v>
      </c>
      <c r="G489" s="452" t="s">
        <v>834</v>
      </c>
      <c r="H489" s="452" t="s">
        <v>1742</v>
      </c>
      <c r="I489" s="452" t="s">
        <v>1743</v>
      </c>
      <c r="J489" s="453">
        <v>90000</v>
      </c>
      <c r="K489" s="453" t="s">
        <v>640</v>
      </c>
      <c r="L489" s="454" t="s">
        <v>1729</v>
      </c>
      <c r="M489" s="455">
        <v>1000</v>
      </c>
      <c r="N489" s="456"/>
      <c r="O489" s="393"/>
    </row>
    <row r="490" spans="5:15" s="428" customFormat="1" ht="14.1" customHeight="1">
      <c r="E490" s="452" t="s">
        <v>447</v>
      </c>
      <c r="F490" s="452" t="s">
        <v>606</v>
      </c>
      <c r="G490" s="452" t="s">
        <v>834</v>
      </c>
      <c r="H490" s="452" t="s">
        <v>1742</v>
      </c>
      <c r="I490" s="452" t="s">
        <v>1751</v>
      </c>
      <c r="J490" s="453">
        <v>90000</v>
      </c>
      <c r="K490" s="453" t="s">
        <v>640</v>
      </c>
      <c r="L490" s="454" t="s">
        <v>1729</v>
      </c>
      <c r="M490" s="455">
        <v>1000</v>
      </c>
      <c r="N490" s="456"/>
      <c r="O490" s="393"/>
    </row>
    <row r="491" spans="5:15" s="428" customFormat="1" ht="14.1" customHeight="1">
      <c r="E491" s="452" t="s">
        <v>447</v>
      </c>
      <c r="F491" s="452" t="s">
        <v>606</v>
      </c>
      <c r="G491" s="452" t="s">
        <v>651</v>
      </c>
      <c r="H491" s="452" t="s">
        <v>1261</v>
      </c>
      <c r="I491" s="452" t="s">
        <v>1753</v>
      </c>
      <c r="J491" s="453">
        <v>90000</v>
      </c>
      <c r="K491" s="453" t="s">
        <v>640</v>
      </c>
      <c r="L491" s="454" t="s">
        <v>1729</v>
      </c>
      <c r="M491" s="455">
        <v>13506.95</v>
      </c>
      <c r="N491" s="456"/>
      <c r="O491" s="393"/>
    </row>
    <row r="492" spans="5:15" s="428" customFormat="1" ht="14.1" customHeight="1">
      <c r="E492" s="452" t="s">
        <v>447</v>
      </c>
      <c r="F492" s="452" t="s">
        <v>606</v>
      </c>
      <c r="G492" s="452" t="s">
        <v>1235</v>
      </c>
      <c r="H492" s="452" t="s">
        <v>1744</v>
      </c>
      <c r="I492" s="452" t="s">
        <v>1587</v>
      </c>
      <c r="J492" s="453">
        <v>90000</v>
      </c>
      <c r="K492" s="453" t="s">
        <v>640</v>
      </c>
      <c r="L492" s="454" t="s">
        <v>1729</v>
      </c>
      <c r="M492" s="455">
        <v>158159</v>
      </c>
      <c r="N492" s="456"/>
      <c r="O492" s="393"/>
    </row>
    <row r="493" spans="5:15" s="428" customFormat="1" ht="14.1" customHeight="1">
      <c r="E493" s="452" t="s">
        <v>447</v>
      </c>
      <c r="F493" s="452" t="s">
        <v>606</v>
      </c>
      <c r="G493" s="452" t="s">
        <v>834</v>
      </c>
      <c r="H493" s="452" t="s">
        <v>1742</v>
      </c>
      <c r="I493" s="452" t="s">
        <v>1760</v>
      </c>
      <c r="J493" s="453">
        <v>90000</v>
      </c>
      <c r="K493" s="453" t="s">
        <v>640</v>
      </c>
      <c r="L493" s="454" t="s">
        <v>1729</v>
      </c>
      <c r="M493" s="455">
        <v>1000</v>
      </c>
      <c r="N493" s="456"/>
      <c r="O493" s="393"/>
    </row>
    <row r="494" spans="5:15" s="428" customFormat="1" ht="14.1" customHeight="1">
      <c r="E494" s="452" t="s">
        <v>447</v>
      </c>
      <c r="F494" s="452" t="s">
        <v>606</v>
      </c>
      <c r="G494" s="452" t="s">
        <v>834</v>
      </c>
      <c r="H494" s="452" t="s">
        <v>1757</v>
      </c>
      <c r="I494" s="452" t="s">
        <v>1759</v>
      </c>
      <c r="J494" s="453">
        <v>90000</v>
      </c>
      <c r="K494" s="453" t="s">
        <v>640</v>
      </c>
      <c r="L494" s="454" t="s">
        <v>1729</v>
      </c>
      <c r="M494" s="455">
        <v>300</v>
      </c>
      <c r="N494" s="456"/>
      <c r="O494" s="393"/>
    </row>
    <row r="495" spans="5:15" s="428" customFormat="1" ht="14.1" customHeight="1">
      <c r="E495" s="452" t="s">
        <v>447</v>
      </c>
      <c r="F495" s="452" t="s">
        <v>606</v>
      </c>
      <c r="G495" s="452" t="s">
        <v>834</v>
      </c>
      <c r="H495" s="452" t="s">
        <v>1742</v>
      </c>
      <c r="I495" s="452" t="s">
        <v>1749</v>
      </c>
      <c r="J495" s="453">
        <v>90000</v>
      </c>
      <c r="K495" s="453" t="s">
        <v>640</v>
      </c>
      <c r="L495" s="454" t="s">
        <v>1729</v>
      </c>
      <c r="M495" s="455">
        <v>1000</v>
      </c>
      <c r="N495" s="456"/>
      <c r="O495" s="393"/>
    </row>
    <row r="496" spans="5:15" s="428" customFormat="1" ht="14.1" customHeight="1">
      <c r="E496" s="452" t="s">
        <v>447</v>
      </c>
      <c r="F496" s="452" t="s">
        <v>606</v>
      </c>
      <c r="G496" s="452" t="s">
        <v>834</v>
      </c>
      <c r="H496" s="452" t="s">
        <v>1757</v>
      </c>
      <c r="I496" s="452" t="s">
        <v>1758</v>
      </c>
      <c r="J496" s="453">
        <v>90000</v>
      </c>
      <c r="K496" s="453" t="s">
        <v>640</v>
      </c>
      <c r="L496" s="454" t="s">
        <v>1729</v>
      </c>
      <c r="M496" s="455">
        <v>300</v>
      </c>
      <c r="N496" s="456"/>
      <c r="O496" s="393"/>
    </row>
    <row r="497" spans="5:15" s="428" customFormat="1" ht="14.1" customHeight="1">
      <c r="E497" s="452" t="s">
        <v>447</v>
      </c>
      <c r="F497" s="452" t="s">
        <v>606</v>
      </c>
      <c r="G497" s="452" t="s">
        <v>834</v>
      </c>
      <c r="H497" s="452" t="s">
        <v>1742</v>
      </c>
      <c r="I497" s="452" t="s">
        <v>1748</v>
      </c>
      <c r="J497" s="453">
        <v>90000</v>
      </c>
      <c r="K497" s="453" t="s">
        <v>640</v>
      </c>
      <c r="L497" s="454" t="s">
        <v>1729</v>
      </c>
      <c r="M497" s="455">
        <v>2450</v>
      </c>
      <c r="N497" s="456"/>
      <c r="O497" s="393"/>
    </row>
    <row r="498" spans="5:15" s="428" customFormat="1" ht="14.1" customHeight="1">
      <c r="E498" s="452" t="s">
        <v>447</v>
      </c>
      <c r="F498" s="452" t="s">
        <v>606</v>
      </c>
      <c r="G498" s="452" t="s">
        <v>834</v>
      </c>
      <c r="H498" s="452" t="s">
        <v>1742</v>
      </c>
      <c r="I498" s="452" t="s">
        <v>1750</v>
      </c>
      <c r="J498" s="453">
        <v>90000</v>
      </c>
      <c r="K498" s="453" t="s">
        <v>640</v>
      </c>
      <c r="L498" s="454" t="s">
        <v>1729</v>
      </c>
      <c r="M498" s="455">
        <v>1750</v>
      </c>
      <c r="N498" s="456"/>
      <c r="O498" s="393"/>
    </row>
    <row r="499" spans="5:15" s="428" customFormat="1" ht="14.1" customHeight="1">
      <c r="E499" s="452" t="s">
        <v>447</v>
      </c>
      <c r="F499" s="452" t="s">
        <v>606</v>
      </c>
      <c r="G499" s="452" t="s">
        <v>834</v>
      </c>
      <c r="H499" s="452" t="s">
        <v>1742</v>
      </c>
      <c r="I499" s="452" t="s">
        <v>1756</v>
      </c>
      <c r="J499" s="453">
        <v>90000</v>
      </c>
      <c r="K499" s="453" t="s">
        <v>640</v>
      </c>
      <c r="L499" s="454" t="s">
        <v>1729</v>
      </c>
      <c r="M499" s="455">
        <v>16000</v>
      </c>
      <c r="N499" s="456"/>
      <c r="O499" s="393"/>
    </row>
    <row r="500" spans="5:15" s="428" customFormat="1" ht="14.1" customHeight="1">
      <c r="E500" s="452" t="s">
        <v>447</v>
      </c>
      <c r="F500" s="452" t="s">
        <v>606</v>
      </c>
      <c r="G500" s="452" t="s">
        <v>834</v>
      </c>
      <c r="H500" s="452" t="s">
        <v>1742</v>
      </c>
      <c r="I500" s="452" t="s">
        <v>1756</v>
      </c>
      <c r="J500" s="453">
        <v>90000</v>
      </c>
      <c r="K500" s="453" t="s">
        <v>640</v>
      </c>
      <c r="L500" s="454" t="s">
        <v>1729</v>
      </c>
      <c r="M500" s="455">
        <v>1850</v>
      </c>
      <c r="N500" s="456"/>
      <c r="O500" s="393"/>
    </row>
    <row r="501" spans="5:15" s="428" customFormat="1" ht="14.1" customHeight="1">
      <c r="E501" s="456"/>
      <c r="F501" s="456"/>
      <c r="G501" s="456"/>
      <c r="H501" s="456"/>
      <c r="I501" s="456"/>
      <c r="J501" s="456"/>
      <c r="K501" s="456"/>
      <c r="L501" s="456"/>
      <c r="M501" s="455" t="s">
        <v>863</v>
      </c>
      <c r="N501" s="455">
        <v>202315.95</v>
      </c>
      <c r="O501" s="393"/>
    </row>
    <row r="502" spans="5:15" s="428" customFormat="1" ht="14.1" customHeight="1">
      <c r="E502" s="452" t="s">
        <v>447</v>
      </c>
      <c r="F502" s="452" t="s">
        <v>606</v>
      </c>
      <c r="G502" s="452" t="s">
        <v>680</v>
      </c>
      <c r="H502" s="452" t="s">
        <v>1761</v>
      </c>
      <c r="I502" s="452" t="s">
        <v>689</v>
      </c>
      <c r="J502" s="453">
        <v>90000</v>
      </c>
      <c r="K502" s="453" t="s">
        <v>633</v>
      </c>
      <c r="L502" s="454" t="s">
        <v>1729</v>
      </c>
      <c r="M502" s="455">
        <v>1632000</v>
      </c>
      <c r="N502" s="456"/>
      <c r="O502" s="393"/>
    </row>
    <row r="503" spans="5:15" s="428" customFormat="1" ht="14.1" customHeight="1">
      <c r="E503" s="456"/>
      <c r="F503" s="456"/>
      <c r="G503" s="456"/>
      <c r="H503" s="456"/>
      <c r="I503" s="456"/>
      <c r="J503" s="456"/>
      <c r="K503" s="456"/>
      <c r="L503" s="456"/>
      <c r="M503" s="455" t="s">
        <v>863</v>
      </c>
      <c r="N503" s="455">
        <v>1632000</v>
      </c>
      <c r="O503" s="393"/>
    </row>
    <row r="504" spans="5:15" s="428" customFormat="1" ht="14.1" customHeight="1">
      <c r="E504" s="452" t="s">
        <v>447</v>
      </c>
      <c r="F504" s="452" t="s">
        <v>606</v>
      </c>
      <c r="G504" s="452" t="s">
        <v>651</v>
      </c>
      <c r="H504" s="452" t="s">
        <v>1261</v>
      </c>
      <c r="I504" s="452" t="s">
        <v>1764</v>
      </c>
      <c r="J504" s="453">
        <v>99000</v>
      </c>
      <c r="K504" s="453" t="s">
        <v>1263</v>
      </c>
      <c r="L504" s="454" t="s">
        <v>1729</v>
      </c>
      <c r="M504" s="455">
        <v>107307.5</v>
      </c>
      <c r="N504" s="456"/>
      <c r="O504" s="393"/>
    </row>
    <row r="505" spans="5:15" s="428" customFormat="1" ht="14.1" customHeight="1">
      <c r="E505" s="452" t="s">
        <v>447</v>
      </c>
      <c r="F505" s="452" t="s">
        <v>606</v>
      </c>
      <c r="G505" s="452" t="s">
        <v>855</v>
      </c>
      <c r="H505" s="452" t="s">
        <v>1762</v>
      </c>
      <c r="I505" s="452" t="s">
        <v>1765</v>
      </c>
      <c r="J505" s="453">
        <v>99000</v>
      </c>
      <c r="K505" s="453" t="s">
        <v>1263</v>
      </c>
      <c r="L505" s="454" t="s">
        <v>1729</v>
      </c>
      <c r="M505" s="455">
        <v>15000</v>
      </c>
      <c r="N505" s="456"/>
      <c r="O505" s="393"/>
    </row>
    <row r="506" spans="5:15" s="428" customFormat="1" ht="14.1" customHeight="1">
      <c r="E506" s="452" t="s">
        <v>447</v>
      </c>
      <c r="F506" s="452" t="s">
        <v>606</v>
      </c>
      <c r="G506" s="452" t="s">
        <v>855</v>
      </c>
      <c r="H506" s="452" t="s">
        <v>1762</v>
      </c>
      <c r="I506" s="452" t="s">
        <v>1763</v>
      </c>
      <c r="J506" s="453">
        <v>99000</v>
      </c>
      <c r="K506" s="453" t="s">
        <v>1263</v>
      </c>
      <c r="L506" s="454" t="s">
        <v>1729</v>
      </c>
      <c r="M506" s="455">
        <v>10231.82</v>
      </c>
      <c r="N506" s="456"/>
      <c r="O506" s="393"/>
    </row>
    <row r="507" spans="5:15" s="428" customFormat="1" ht="14.1" customHeight="1">
      <c r="E507" s="456"/>
      <c r="F507" s="456"/>
      <c r="G507" s="456"/>
      <c r="H507" s="456"/>
      <c r="I507" s="456"/>
      <c r="J507" s="456"/>
      <c r="K507" s="456"/>
      <c r="L507" s="456"/>
      <c r="M507" s="455" t="s">
        <v>863</v>
      </c>
      <c r="N507" s="455">
        <v>132539.32</v>
      </c>
      <c r="O507" s="393"/>
    </row>
    <row r="508" spans="5:15" s="428" customFormat="1" ht="14.1" customHeight="1">
      <c r="E508" s="452" t="s">
        <v>447</v>
      </c>
      <c r="F508" s="452" t="s">
        <v>606</v>
      </c>
      <c r="G508" s="452" t="s">
        <v>651</v>
      </c>
      <c r="H508" s="452" t="s">
        <v>1261</v>
      </c>
      <c r="I508" s="452" t="s">
        <v>1764</v>
      </c>
      <c r="J508" s="453">
        <v>90000</v>
      </c>
      <c r="K508" s="453" t="s">
        <v>654</v>
      </c>
      <c r="L508" s="454" t="s">
        <v>1729</v>
      </c>
      <c r="M508" s="455">
        <v>45988.93</v>
      </c>
      <c r="N508" s="456"/>
      <c r="O508" s="393"/>
    </row>
    <row r="509" spans="5:15" s="428" customFormat="1" ht="14.1" customHeight="1">
      <c r="E509" s="456"/>
      <c r="F509" s="456"/>
      <c r="G509" s="456"/>
      <c r="H509" s="456"/>
      <c r="I509" s="456"/>
      <c r="J509" s="456"/>
      <c r="K509" s="456"/>
      <c r="L509" s="456"/>
      <c r="M509" s="455" t="s">
        <v>863</v>
      </c>
      <c r="N509" s="455">
        <v>45988.93</v>
      </c>
      <c r="O509" s="393"/>
    </row>
    <row r="510" spans="5:15" s="428" customFormat="1" ht="14.1" customHeight="1">
      <c r="E510" s="456"/>
      <c r="F510" s="456"/>
      <c r="G510" s="456"/>
      <c r="H510" s="456"/>
      <c r="I510" s="456"/>
      <c r="J510" s="456"/>
      <c r="K510" s="456"/>
      <c r="L510" s="456"/>
      <c r="M510" s="455" t="s">
        <v>1055</v>
      </c>
      <c r="N510" s="455">
        <v>9076734.5</v>
      </c>
      <c r="O510" s="393"/>
    </row>
    <row r="511" spans="5:15" s="428" customFormat="1" ht="14.1" customHeight="1">
      <c r="E511" s="452" t="s">
        <v>447</v>
      </c>
      <c r="F511" s="452" t="s">
        <v>606</v>
      </c>
      <c r="G511" s="452" t="s">
        <v>733</v>
      </c>
      <c r="H511" s="452">
        <v>993126</v>
      </c>
      <c r="I511" s="452" t="s">
        <v>734</v>
      </c>
      <c r="J511" s="453">
        <v>99000</v>
      </c>
      <c r="K511" s="453" t="s">
        <v>1057</v>
      </c>
      <c r="L511" s="454" t="s">
        <v>1766</v>
      </c>
      <c r="M511" s="455">
        <v>26.24</v>
      </c>
      <c r="N511" s="456"/>
      <c r="O511" s="393"/>
    </row>
    <row r="512" spans="5:15" s="428" customFormat="1" ht="14.1" customHeight="1">
      <c r="E512" s="456"/>
      <c r="F512" s="456"/>
      <c r="G512" s="456"/>
      <c r="H512" s="456"/>
      <c r="I512" s="456"/>
      <c r="J512" s="456"/>
      <c r="K512" s="456"/>
      <c r="L512" s="456"/>
      <c r="M512" s="455" t="s">
        <v>863</v>
      </c>
      <c r="N512" s="455">
        <v>26.24</v>
      </c>
      <c r="O512" s="393"/>
    </row>
    <row r="513" spans="5:15" s="428" customFormat="1" ht="14.1" customHeight="1">
      <c r="E513" s="452" t="s">
        <v>447</v>
      </c>
      <c r="F513" s="452" t="s">
        <v>606</v>
      </c>
      <c r="G513" s="452" t="s">
        <v>1063</v>
      </c>
      <c r="H513" s="452">
        <v>2918</v>
      </c>
      <c r="I513" s="452" t="s">
        <v>0</v>
      </c>
      <c r="J513" s="453">
        <v>99000</v>
      </c>
      <c r="K513" s="453" t="s">
        <v>675</v>
      </c>
      <c r="L513" s="454" t="s">
        <v>1766</v>
      </c>
      <c r="M513" s="455">
        <v>272718.90000000002</v>
      </c>
      <c r="N513" s="456"/>
      <c r="O513" s="393"/>
    </row>
    <row r="514" spans="5:15" s="428" customFormat="1" ht="14.1" customHeight="1">
      <c r="E514" s="452" t="s">
        <v>447</v>
      </c>
      <c r="F514" s="452" t="s">
        <v>606</v>
      </c>
      <c r="G514" s="452" t="s">
        <v>634</v>
      </c>
      <c r="H514" s="452" t="s">
        <v>23</v>
      </c>
      <c r="I514" s="452" t="s">
        <v>634</v>
      </c>
      <c r="J514" s="453">
        <v>99000</v>
      </c>
      <c r="K514" s="453" t="s">
        <v>675</v>
      </c>
      <c r="L514" s="454" t="s">
        <v>1766</v>
      </c>
      <c r="M514" s="455">
        <v>-272718.90000000002</v>
      </c>
      <c r="N514" s="456"/>
      <c r="O514" s="393"/>
    </row>
    <row r="515" spans="5:15" s="428" customFormat="1" ht="14.1" customHeight="1">
      <c r="E515" s="452" t="s">
        <v>447</v>
      </c>
      <c r="F515" s="452" t="s">
        <v>606</v>
      </c>
      <c r="G515" s="452" t="s">
        <v>1059</v>
      </c>
      <c r="H515" s="452">
        <v>14</v>
      </c>
      <c r="I515" s="452" t="s">
        <v>1428</v>
      </c>
      <c r="J515" s="453">
        <v>99000</v>
      </c>
      <c r="K515" s="453" t="s">
        <v>675</v>
      </c>
      <c r="L515" s="454" t="s">
        <v>1766</v>
      </c>
      <c r="M515" s="455">
        <v>20421.09</v>
      </c>
      <c r="N515" s="456"/>
      <c r="O515" s="393"/>
    </row>
    <row r="516" spans="5:15" s="428" customFormat="1" ht="14.1" customHeight="1">
      <c r="E516" s="456"/>
      <c r="F516" s="456"/>
      <c r="G516" s="456"/>
      <c r="H516" s="456"/>
      <c r="I516" s="456"/>
      <c r="J516" s="456"/>
      <c r="K516" s="456"/>
      <c r="L516" s="456"/>
      <c r="M516" s="455" t="s">
        <v>863</v>
      </c>
      <c r="N516" s="455">
        <v>20421.09</v>
      </c>
      <c r="O516" s="393"/>
    </row>
    <row r="517" spans="5:15" s="428" customFormat="1" ht="14.1" customHeight="1">
      <c r="E517" s="452" t="s">
        <v>447</v>
      </c>
      <c r="F517" s="452" t="s">
        <v>606</v>
      </c>
      <c r="G517" s="452" t="s">
        <v>634</v>
      </c>
      <c r="H517" s="452" t="s">
        <v>24</v>
      </c>
      <c r="I517" s="452" t="s">
        <v>25</v>
      </c>
      <c r="J517" s="453">
        <v>99000</v>
      </c>
      <c r="K517" s="453" t="s">
        <v>1579</v>
      </c>
      <c r="L517" s="454" t="s">
        <v>1766</v>
      </c>
      <c r="M517" s="455">
        <v>-3787643</v>
      </c>
      <c r="N517" s="456"/>
      <c r="O517" s="393"/>
    </row>
    <row r="518" spans="5:15" s="428" customFormat="1" ht="14.1" customHeight="1">
      <c r="E518" s="456"/>
      <c r="F518" s="456"/>
      <c r="G518" s="456"/>
      <c r="H518" s="456"/>
      <c r="I518" s="456"/>
      <c r="J518" s="456"/>
      <c r="K518" s="456"/>
      <c r="L518" s="456"/>
      <c r="M518" s="455" t="s">
        <v>863</v>
      </c>
      <c r="N518" s="455">
        <v>-3787643</v>
      </c>
      <c r="O518" s="393"/>
    </row>
    <row r="519" spans="5:15" s="428" customFormat="1" ht="14.1" customHeight="1">
      <c r="E519" s="452" t="s">
        <v>447</v>
      </c>
      <c r="F519" s="452" t="s">
        <v>606</v>
      </c>
      <c r="G519" s="452" t="s">
        <v>1</v>
      </c>
      <c r="H519" s="452">
        <v>75119</v>
      </c>
      <c r="I519" s="452" t="s">
        <v>2</v>
      </c>
      <c r="J519" s="453">
        <v>90000</v>
      </c>
      <c r="K519" s="453" t="s">
        <v>640</v>
      </c>
      <c r="L519" s="454" t="s">
        <v>1766</v>
      </c>
      <c r="M519" s="455">
        <v>1356</v>
      </c>
      <c r="N519" s="456"/>
      <c r="O519" s="393"/>
    </row>
    <row r="520" spans="5:15" s="428" customFormat="1" ht="14.1" customHeight="1">
      <c r="E520" s="452" t="s">
        <v>447</v>
      </c>
      <c r="F520" s="452" t="s">
        <v>606</v>
      </c>
      <c r="G520" s="452" t="s">
        <v>1</v>
      </c>
      <c r="H520" s="452">
        <v>75117</v>
      </c>
      <c r="I520" s="452" t="s">
        <v>2</v>
      </c>
      <c r="J520" s="453">
        <v>90000</v>
      </c>
      <c r="K520" s="453" t="s">
        <v>640</v>
      </c>
      <c r="L520" s="454" t="s">
        <v>1766</v>
      </c>
      <c r="M520" s="455">
        <v>1356</v>
      </c>
      <c r="N520" s="456"/>
      <c r="O520" s="393"/>
    </row>
    <row r="521" spans="5:15" s="428" customFormat="1" ht="14.1" customHeight="1">
      <c r="E521" s="452" t="s">
        <v>447</v>
      </c>
      <c r="F521" s="452" t="s">
        <v>606</v>
      </c>
      <c r="G521" s="452" t="s">
        <v>1</v>
      </c>
      <c r="H521" s="452">
        <v>73396</v>
      </c>
      <c r="I521" s="452" t="s">
        <v>2</v>
      </c>
      <c r="J521" s="453">
        <v>90000</v>
      </c>
      <c r="K521" s="453" t="s">
        <v>640</v>
      </c>
      <c r="L521" s="454" t="s">
        <v>1766</v>
      </c>
      <c r="M521" s="455">
        <v>1069.5</v>
      </c>
      <c r="N521" s="456"/>
      <c r="O521" s="393"/>
    </row>
    <row r="522" spans="5:15" s="428" customFormat="1" ht="14.1" customHeight="1">
      <c r="E522" s="456"/>
      <c r="F522" s="456"/>
      <c r="G522" s="456"/>
      <c r="H522" s="456"/>
      <c r="I522" s="456"/>
      <c r="J522" s="456"/>
      <c r="K522" s="456"/>
      <c r="L522" s="456"/>
      <c r="M522" s="455" t="s">
        <v>863</v>
      </c>
      <c r="N522" s="455">
        <v>3781.5</v>
      </c>
      <c r="O522" s="393"/>
    </row>
    <row r="523" spans="5:15" s="428" customFormat="1" ht="14.1" customHeight="1">
      <c r="E523" s="452" t="s">
        <v>447</v>
      </c>
      <c r="F523" s="452" t="s">
        <v>606</v>
      </c>
      <c r="G523" s="452" t="s">
        <v>634</v>
      </c>
      <c r="H523" s="452" t="s">
        <v>162</v>
      </c>
      <c r="I523" s="452" t="s">
        <v>634</v>
      </c>
      <c r="J523" s="453">
        <v>99000</v>
      </c>
      <c r="K523" s="453" t="s">
        <v>644</v>
      </c>
      <c r="L523" s="454" t="s">
        <v>1766</v>
      </c>
      <c r="M523" s="455">
        <v>305886.21000000002</v>
      </c>
      <c r="N523" s="456"/>
      <c r="O523" s="393"/>
    </row>
    <row r="524" spans="5:15" s="428" customFormat="1" ht="14.1" customHeight="1">
      <c r="E524" s="452" t="s">
        <v>447</v>
      </c>
      <c r="F524" s="452" t="s">
        <v>606</v>
      </c>
      <c r="G524" s="452" t="s">
        <v>634</v>
      </c>
      <c r="H524" s="452" t="s">
        <v>26</v>
      </c>
      <c r="I524" s="452" t="s">
        <v>634</v>
      </c>
      <c r="J524" s="453">
        <v>99000</v>
      </c>
      <c r="K524" s="453" t="s">
        <v>644</v>
      </c>
      <c r="L524" s="454" t="s">
        <v>1766</v>
      </c>
      <c r="M524" s="455">
        <v>-199260.36</v>
      </c>
      <c r="N524" s="456"/>
      <c r="O524" s="393"/>
    </row>
    <row r="525" spans="5:15" s="428" customFormat="1" ht="14.1" customHeight="1">
      <c r="E525" s="456"/>
      <c r="F525" s="456"/>
      <c r="G525" s="456"/>
      <c r="H525" s="456"/>
      <c r="I525" s="456"/>
      <c r="J525" s="456"/>
      <c r="K525" s="456"/>
      <c r="L525" s="456"/>
      <c r="M525" s="455" t="s">
        <v>863</v>
      </c>
      <c r="N525" s="455">
        <v>106625.85</v>
      </c>
      <c r="O525" s="393"/>
    </row>
    <row r="526" spans="5:15" s="428" customFormat="1" ht="14.1" customHeight="1">
      <c r="E526" s="452" t="s">
        <v>447</v>
      </c>
      <c r="F526" s="452" t="s">
        <v>606</v>
      </c>
      <c r="G526" s="452" t="s">
        <v>611</v>
      </c>
      <c r="H526" s="452" t="s">
        <v>3</v>
      </c>
      <c r="I526" s="452" t="s">
        <v>4</v>
      </c>
      <c r="J526" s="453">
        <v>90000</v>
      </c>
      <c r="K526" s="453" t="s">
        <v>610</v>
      </c>
      <c r="L526" s="454" t="s">
        <v>1766</v>
      </c>
      <c r="M526" s="455">
        <v>156476.51999999999</v>
      </c>
      <c r="N526" s="456"/>
      <c r="O526" s="393"/>
    </row>
    <row r="527" spans="5:15" s="428" customFormat="1" ht="14.1" customHeight="1">
      <c r="E527" s="456"/>
      <c r="F527" s="456"/>
      <c r="G527" s="456"/>
      <c r="H527" s="456"/>
      <c r="I527" s="456"/>
      <c r="J527" s="456"/>
      <c r="K527" s="456"/>
      <c r="L527" s="456"/>
      <c r="M527" s="455" t="s">
        <v>863</v>
      </c>
      <c r="N527" s="455">
        <v>156476.51999999999</v>
      </c>
      <c r="O527" s="393"/>
    </row>
    <row r="528" spans="5:15" s="428" customFormat="1" ht="14.1" customHeight="1">
      <c r="E528" s="452" t="s">
        <v>447</v>
      </c>
      <c r="F528" s="452" t="s">
        <v>606</v>
      </c>
      <c r="G528" s="452" t="s">
        <v>611</v>
      </c>
      <c r="H528" s="452">
        <v>10348727</v>
      </c>
      <c r="I528" s="452" t="s">
        <v>163</v>
      </c>
      <c r="J528" s="453">
        <v>99000</v>
      </c>
      <c r="K528" s="453" t="s">
        <v>617</v>
      </c>
      <c r="L528" s="454" t="s">
        <v>1766</v>
      </c>
      <c r="M528" s="455">
        <v>3255.75</v>
      </c>
      <c r="N528" s="456"/>
      <c r="O528" s="393"/>
    </row>
    <row r="529" spans="5:15" s="428" customFormat="1" ht="14.1" customHeight="1">
      <c r="E529" s="452" t="s">
        <v>447</v>
      </c>
      <c r="F529" s="452" t="s">
        <v>606</v>
      </c>
      <c r="G529" s="452" t="s">
        <v>873</v>
      </c>
      <c r="H529" s="452">
        <v>133624</v>
      </c>
      <c r="I529" s="452" t="s">
        <v>163</v>
      </c>
      <c r="J529" s="453">
        <v>99000</v>
      </c>
      <c r="K529" s="453" t="s">
        <v>617</v>
      </c>
      <c r="L529" s="454" t="s">
        <v>1766</v>
      </c>
      <c r="M529" s="455">
        <v>2036.4</v>
      </c>
      <c r="N529" s="456"/>
      <c r="O529" s="393"/>
    </row>
    <row r="530" spans="5:15" s="428" customFormat="1" ht="14.1" customHeight="1">
      <c r="E530" s="456"/>
      <c r="F530" s="456"/>
      <c r="G530" s="456"/>
      <c r="H530" s="456"/>
      <c r="I530" s="456"/>
      <c r="J530" s="456"/>
      <c r="K530" s="456"/>
      <c r="L530" s="456"/>
      <c r="M530" s="455" t="s">
        <v>863</v>
      </c>
      <c r="N530" s="455">
        <v>5292.15</v>
      </c>
      <c r="O530" s="393"/>
    </row>
    <row r="531" spans="5:15" s="428" customFormat="1" ht="14.1" customHeight="1">
      <c r="E531" s="452" t="s">
        <v>447</v>
      </c>
      <c r="F531" s="452" t="s">
        <v>606</v>
      </c>
      <c r="G531" s="452" t="s">
        <v>634</v>
      </c>
      <c r="H531" s="452" t="s">
        <v>164</v>
      </c>
      <c r="I531" s="452" t="s">
        <v>165</v>
      </c>
      <c r="J531" s="453">
        <v>99000</v>
      </c>
      <c r="K531" s="453" t="s">
        <v>732</v>
      </c>
      <c r="L531" s="454" t="s">
        <v>1766</v>
      </c>
      <c r="M531" s="455">
        <v>-14500000</v>
      </c>
      <c r="N531" s="456"/>
      <c r="O531" s="393"/>
    </row>
    <row r="532" spans="5:15" s="428" customFormat="1" ht="14.1" customHeight="1">
      <c r="E532" s="452" t="s">
        <v>447</v>
      </c>
      <c r="F532" s="452" t="s">
        <v>606</v>
      </c>
      <c r="G532" s="452" t="s">
        <v>634</v>
      </c>
      <c r="H532" s="452" t="s">
        <v>164</v>
      </c>
      <c r="I532" s="452" t="s">
        <v>166</v>
      </c>
      <c r="J532" s="453">
        <v>99000</v>
      </c>
      <c r="K532" s="453" t="s">
        <v>732</v>
      </c>
      <c r="L532" s="454" t="s">
        <v>1766</v>
      </c>
      <c r="M532" s="455">
        <v>-9000000</v>
      </c>
      <c r="N532" s="456"/>
      <c r="O532" s="393"/>
    </row>
    <row r="533" spans="5:15" s="428" customFormat="1" ht="14.1" customHeight="1">
      <c r="E533" s="456"/>
      <c r="F533" s="456"/>
      <c r="G533" s="456"/>
      <c r="H533" s="456"/>
      <c r="I533" s="456"/>
      <c r="J533" s="456"/>
      <c r="K533" s="456"/>
      <c r="L533" s="456"/>
      <c r="M533" s="456"/>
      <c r="N533" s="456"/>
      <c r="O533" s="393"/>
    </row>
    <row r="534" spans="5:15" s="428" customFormat="1" ht="14.1" customHeight="1">
      <c r="E534" s="456"/>
      <c r="F534" s="456"/>
      <c r="G534" s="456"/>
      <c r="H534" s="456"/>
      <c r="I534" s="456"/>
      <c r="J534" s="456"/>
      <c r="K534" s="456"/>
      <c r="L534" s="456"/>
      <c r="M534" s="455" t="s">
        <v>863</v>
      </c>
      <c r="N534" s="455">
        <v>-23500000</v>
      </c>
      <c r="O534" s="393"/>
    </row>
    <row r="535" spans="5:15" s="428" customFormat="1" ht="14.1" customHeight="1">
      <c r="E535" s="452" t="s">
        <v>447</v>
      </c>
      <c r="F535" s="452" t="s">
        <v>606</v>
      </c>
      <c r="G535" s="452" t="s">
        <v>167</v>
      </c>
      <c r="H535" s="452" t="s">
        <v>1628</v>
      </c>
      <c r="I535" s="452" t="s">
        <v>634</v>
      </c>
      <c r="J535" s="453">
        <v>99000</v>
      </c>
      <c r="K535" s="453" t="s">
        <v>1263</v>
      </c>
      <c r="L535" s="454" t="s">
        <v>1766</v>
      </c>
      <c r="M535" s="455">
        <v>160750</v>
      </c>
      <c r="N535" s="456"/>
      <c r="O535" s="393"/>
    </row>
    <row r="536" spans="5:15" s="428" customFormat="1" ht="14.1" customHeight="1">
      <c r="E536" s="456"/>
      <c r="F536" s="456"/>
      <c r="G536" s="456"/>
      <c r="H536" s="456"/>
      <c r="I536" s="456"/>
      <c r="J536" s="456"/>
      <c r="K536" s="456"/>
      <c r="L536" s="456"/>
      <c r="M536" s="455" t="s">
        <v>863</v>
      </c>
      <c r="N536" s="455">
        <v>160750</v>
      </c>
      <c r="O536" s="393"/>
    </row>
    <row r="537" spans="5:15" s="428" customFormat="1" ht="14.1" customHeight="1">
      <c r="E537" s="452" t="s">
        <v>447</v>
      </c>
      <c r="F537" s="452" t="s">
        <v>606</v>
      </c>
      <c r="G537" s="452" t="s">
        <v>628</v>
      </c>
      <c r="H537" s="452" t="s">
        <v>168</v>
      </c>
      <c r="I537" s="452" t="s">
        <v>658</v>
      </c>
      <c r="J537" s="453">
        <v>99000</v>
      </c>
      <c r="K537" s="453" t="s">
        <v>621</v>
      </c>
      <c r="L537" s="454" t="s">
        <v>1766</v>
      </c>
      <c r="M537" s="455">
        <v>588.63</v>
      </c>
      <c r="N537" s="456"/>
      <c r="O537" s="393"/>
    </row>
    <row r="538" spans="5:15" s="428" customFormat="1" ht="14.1" customHeight="1">
      <c r="E538" s="452" t="s">
        <v>447</v>
      </c>
      <c r="F538" s="452" t="s">
        <v>606</v>
      </c>
      <c r="G538" s="452" t="s">
        <v>628</v>
      </c>
      <c r="H538" s="452" t="s">
        <v>168</v>
      </c>
      <c r="I538" s="452" t="s">
        <v>169</v>
      </c>
      <c r="J538" s="453">
        <v>99000</v>
      </c>
      <c r="K538" s="453" t="s">
        <v>621</v>
      </c>
      <c r="L538" s="454" t="s">
        <v>1766</v>
      </c>
      <c r="M538" s="455">
        <v>1960.12</v>
      </c>
      <c r="N538" s="456"/>
      <c r="O538" s="393"/>
    </row>
    <row r="539" spans="5:15" s="428" customFormat="1" ht="14.1" customHeight="1">
      <c r="E539" s="456"/>
      <c r="F539" s="456"/>
      <c r="G539" s="456"/>
      <c r="H539" s="456"/>
      <c r="I539" s="456"/>
      <c r="J539" s="456"/>
      <c r="K539" s="456"/>
      <c r="L539" s="456"/>
      <c r="M539" s="455" t="s">
        <v>863</v>
      </c>
      <c r="N539" s="455">
        <v>2548.75</v>
      </c>
      <c r="O539" s="393"/>
    </row>
    <row r="540" spans="5:15" s="428" customFormat="1" ht="14.1" customHeight="1">
      <c r="E540" s="456"/>
      <c r="F540" s="456"/>
      <c r="G540" s="456"/>
      <c r="H540" s="456"/>
      <c r="I540" s="456"/>
      <c r="J540" s="456"/>
      <c r="K540" s="456"/>
      <c r="L540" s="456"/>
      <c r="M540" s="455" t="s">
        <v>1055</v>
      </c>
      <c r="N540" s="455">
        <v>-26831720.899999999</v>
      </c>
      <c r="O540" s="393"/>
    </row>
    <row r="541" spans="5:15" s="428" customFormat="1" ht="14.1" customHeight="1">
      <c r="E541" s="452" t="s">
        <v>447</v>
      </c>
      <c r="F541" s="452" t="s">
        <v>606</v>
      </c>
      <c r="G541" s="452" t="s">
        <v>1059</v>
      </c>
      <c r="H541" s="452">
        <v>16</v>
      </c>
      <c r="I541" s="452" t="s">
        <v>170</v>
      </c>
      <c r="J541" s="453">
        <v>99000</v>
      </c>
      <c r="K541" s="453" t="s">
        <v>1057</v>
      </c>
      <c r="L541" s="454" t="s">
        <v>171</v>
      </c>
      <c r="M541" s="455">
        <v>22912.59</v>
      </c>
      <c r="N541" s="456"/>
      <c r="O541" s="393"/>
    </row>
    <row r="542" spans="5:15" s="428" customFormat="1" ht="14.1" customHeight="1">
      <c r="E542" s="456"/>
      <c r="F542" s="456"/>
      <c r="G542" s="456"/>
      <c r="H542" s="456"/>
      <c r="I542" s="456"/>
      <c r="J542" s="456"/>
      <c r="K542" s="456"/>
      <c r="L542" s="456"/>
      <c r="M542" s="455" t="s">
        <v>863</v>
      </c>
      <c r="N542" s="455">
        <v>22912.59</v>
      </c>
      <c r="O542" s="393"/>
    </row>
    <row r="543" spans="5:15" s="428" customFormat="1" ht="14.1" customHeight="1">
      <c r="E543" s="452" t="s">
        <v>447</v>
      </c>
      <c r="F543" s="452" t="s">
        <v>606</v>
      </c>
      <c r="G543" s="452" t="s">
        <v>172</v>
      </c>
      <c r="H543" s="452">
        <v>402485</v>
      </c>
      <c r="I543" s="452" t="s">
        <v>173</v>
      </c>
      <c r="J543" s="453">
        <v>99000</v>
      </c>
      <c r="K543" s="453" t="s">
        <v>174</v>
      </c>
      <c r="L543" s="454" t="s">
        <v>171</v>
      </c>
      <c r="M543" s="455">
        <v>407787</v>
      </c>
      <c r="N543" s="456"/>
      <c r="O543" s="393"/>
    </row>
    <row r="544" spans="5:15" s="428" customFormat="1" ht="14.1" customHeight="1">
      <c r="E544" s="456"/>
      <c r="F544" s="456"/>
      <c r="G544" s="456"/>
      <c r="H544" s="456"/>
      <c r="I544" s="456"/>
      <c r="J544" s="456"/>
      <c r="K544" s="456"/>
      <c r="L544" s="456"/>
      <c r="M544" s="455" t="s">
        <v>863</v>
      </c>
      <c r="N544" s="455">
        <v>407787</v>
      </c>
      <c r="O544" s="393"/>
    </row>
    <row r="545" spans="5:15" s="428" customFormat="1" ht="14.1" customHeight="1">
      <c r="E545" s="452" t="s">
        <v>447</v>
      </c>
      <c r="F545" s="452" t="s">
        <v>606</v>
      </c>
      <c r="G545" s="452" t="s">
        <v>877</v>
      </c>
      <c r="H545" s="452" t="s">
        <v>179</v>
      </c>
      <c r="I545" s="452">
        <v>3643</v>
      </c>
      <c r="J545" s="453">
        <v>99000</v>
      </c>
      <c r="K545" s="453" t="s">
        <v>675</v>
      </c>
      <c r="L545" s="454" t="s">
        <v>171</v>
      </c>
      <c r="M545" s="455">
        <v>27313.69</v>
      </c>
      <c r="N545" s="456"/>
      <c r="O545" s="393"/>
    </row>
    <row r="546" spans="5:15" s="428" customFormat="1" ht="14.1" customHeight="1">
      <c r="E546" s="452" t="s">
        <v>447</v>
      </c>
      <c r="F546" s="452" t="s">
        <v>606</v>
      </c>
      <c r="G546" s="452" t="s">
        <v>651</v>
      </c>
      <c r="H546" s="452" t="s">
        <v>175</v>
      </c>
      <c r="I546" s="452" t="s">
        <v>180</v>
      </c>
      <c r="J546" s="453">
        <v>99000</v>
      </c>
      <c r="K546" s="453" t="s">
        <v>675</v>
      </c>
      <c r="L546" s="454" t="s">
        <v>171</v>
      </c>
      <c r="M546" s="455">
        <v>27013.53</v>
      </c>
      <c r="N546" s="456"/>
      <c r="O546" s="393"/>
    </row>
    <row r="547" spans="5:15" s="428" customFormat="1" ht="14.1" customHeight="1">
      <c r="E547" s="452" t="s">
        <v>447</v>
      </c>
      <c r="F547" s="452" t="s">
        <v>606</v>
      </c>
      <c r="G547" s="452" t="s">
        <v>651</v>
      </c>
      <c r="H547" s="452" t="s">
        <v>175</v>
      </c>
      <c r="I547" s="452" t="s">
        <v>181</v>
      </c>
      <c r="J547" s="453">
        <v>99000</v>
      </c>
      <c r="K547" s="453" t="s">
        <v>675</v>
      </c>
      <c r="L547" s="454" t="s">
        <v>171</v>
      </c>
      <c r="M547" s="455">
        <v>139615.51</v>
      </c>
      <c r="N547" s="456"/>
      <c r="O547" s="393"/>
    </row>
    <row r="548" spans="5:15" s="428" customFormat="1" ht="14.1" customHeight="1">
      <c r="E548" s="452" t="s">
        <v>447</v>
      </c>
      <c r="F548" s="452" t="s">
        <v>606</v>
      </c>
      <c r="G548" s="452" t="s">
        <v>651</v>
      </c>
      <c r="H548" s="452" t="s">
        <v>175</v>
      </c>
      <c r="I548" s="452" t="s">
        <v>177</v>
      </c>
      <c r="J548" s="453">
        <v>99000</v>
      </c>
      <c r="K548" s="453" t="s">
        <v>675</v>
      </c>
      <c r="L548" s="454" t="s">
        <v>171</v>
      </c>
      <c r="M548" s="455">
        <v>76991.62</v>
      </c>
      <c r="N548" s="456"/>
      <c r="O548" s="393"/>
    </row>
    <row r="549" spans="5:15" s="428" customFormat="1" ht="14.1" customHeight="1">
      <c r="E549" s="452" t="s">
        <v>447</v>
      </c>
      <c r="F549" s="452" t="s">
        <v>606</v>
      </c>
      <c r="G549" s="452" t="s">
        <v>651</v>
      </c>
      <c r="H549" s="452" t="s">
        <v>175</v>
      </c>
      <c r="I549" s="452" t="s">
        <v>176</v>
      </c>
      <c r="J549" s="453">
        <v>99000</v>
      </c>
      <c r="K549" s="453" t="s">
        <v>675</v>
      </c>
      <c r="L549" s="454" t="s">
        <v>171</v>
      </c>
      <c r="M549" s="455">
        <v>21839.9</v>
      </c>
      <c r="N549" s="456"/>
      <c r="O549" s="393"/>
    </row>
    <row r="550" spans="5:15" s="428" customFormat="1" ht="14.1" customHeight="1">
      <c r="E550" s="452" t="s">
        <v>447</v>
      </c>
      <c r="F550" s="452" t="s">
        <v>606</v>
      </c>
      <c r="G550" s="452" t="s">
        <v>651</v>
      </c>
      <c r="H550" s="452" t="s">
        <v>175</v>
      </c>
      <c r="I550" s="452" t="s">
        <v>184</v>
      </c>
      <c r="J550" s="453">
        <v>99000</v>
      </c>
      <c r="K550" s="453" t="s">
        <v>675</v>
      </c>
      <c r="L550" s="454" t="s">
        <v>171</v>
      </c>
      <c r="M550" s="455">
        <v>50000</v>
      </c>
      <c r="N550" s="456"/>
      <c r="O550" s="393"/>
    </row>
    <row r="551" spans="5:15" s="428" customFormat="1" ht="14.1" customHeight="1">
      <c r="E551" s="452" t="s">
        <v>447</v>
      </c>
      <c r="F551" s="452" t="s">
        <v>606</v>
      </c>
      <c r="G551" s="452" t="s">
        <v>1063</v>
      </c>
      <c r="H551" s="452">
        <v>2991</v>
      </c>
      <c r="I551" s="452" t="s">
        <v>1155</v>
      </c>
      <c r="J551" s="453">
        <v>99000</v>
      </c>
      <c r="K551" s="453" t="s">
        <v>675</v>
      </c>
      <c r="L551" s="454" t="s">
        <v>171</v>
      </c>
      <c r="M551" s="455">
        <v>3680</v>
      </c>
      <c r="N551" s="457"/>
      <c r="O551" s="393"/>
    </row>
    <row r="552" spans="5:15" s="428" customFormat="1" ht="14.1" customHeight="1">
      <c r="E552" s="452" t="s">
        <v>447</v>
      </c>
      <c r="F552" s="452" t="s">
        <v>606</v>
      </c>
      <c r="G552" s="452" t="s">
        <v>877</v>
      </c>
      <c r="H552" s="452" t="s">
        <v>179</v>
      </c>
      <c r="I552" s="452">
        <v>3639</v>
      </c>
      <c r="J552" s="453">
        <v>99000</v>
      </c>
      <c r="K552" s="453" t="s">
        <v>675</v>
      </c>
      <c r="L552" s="454" t="s">
        <v>171</v>
      </c>
      <c r="M552" s="455">
        <v>6000</v>
      </c>
      <c r="N552" s="457"/>
      <c r="O552" s="393"/>
    </row>
    <row r="553" spans="5:15" s="428" customFormat="1" ht="14.1" customHeight="1">
      <c r="E553" s="452" t="s">
        <v>447</v>
      </c>
      <c r="F553" s="452" t="s">
        <v>606</v>
      </c>
      <c r="G553" s="452" t="s">
        <v>1429</v>
      </c>
      <c r="H553" s="452" t="s">
        <v>182</v>
      </c>
      <c r="I553" s="452" t="s">
        <v>194</v>
      </c>
      <c r="J553" s="453">
        <v>99000</v>
      </c>
      <c r="K553" s="453" t="s">
        <v>675</v>
      </c>
      <c r="L553" s="454" t="s">
        <v>171</v>
      </c>
      <c r="M553" s="455">
        <v>88371.43</v>
      </c>
      <c r="N553" s="457"/>
      <c r="O553" s="393"/>
    </row>
    <row r="554" spans="5:15" s="428" customFormat="1" ht="14.1" customHeight="1">
      <c r="E554" s="452" t="s">
        <v>447</v>
      </c>
      <c r="F554" s="452" t="s">
        <v>606</v>
      </c>
      <c r="G554" s="452" t="s">
        <v>877</v>
      </c>
      <c r="H554" s="452" t="s">
        <v>179</v>
      </c>
      <c r="I554" s="452">
        <v>3642</v>
      </c>
      <c r="J554" s="453">
        <v>99000</v>
      </c>
      <c r="K554" s="453" t="s">
        <v>675</v>
      </c>
      <c r="L554" s="454" t="s">
        <v>171</v>
      </c>
      <c r="M554" s="455">
        <v>26390.01</v>
      </c>
      <c r="N554" s="457"/>
      <c r="O554" s="393"/>
    </row>
    <row r="555" spans="5:15" s="428" customFormat="1" ht="14.1" customHeight="1">
      <c r="E555" s="452" t="s">
        <v>447</v>
      </c>
      <c r="F555" s="452" t="s">
        <v>606</v>
      </c>
      <c r="G555" s="452" t="s">
        <v>877</v>
      </c>
      <c r="H555" s="452" t="s">
        <v>179</v>
      </c>
      <c r="I555" s="452">
        <v>3645</v>
      </c>
      <c r="J555" s="453">
        <v>99000</v>
      </c>
      <c r="K555" s="453" t="s">
        <v>675</v>
      </c>
      <c r="L555" s="454" t="s">
        <v>171</v>
      </c>
      <c r="M555" s="455">
        <v>3526.51</v>
      </c>
      <c r="N555" s="457"/>
      <c r="O555" s="393"/>
    </row>
    <row r="556" spans="5:15" s="428" customFormat="1" ht="14.1" customHeight="1">
      <c r="E556" s="452" t="s">
        <v>447</v>
      </c>
      <c r="F556" s="452" t="s">
        <v>606</v>
      </c>
      <c r="G556" s="452" t="s">
        <v>877</v>
      </c>
      <c r="H556" s="452" t="s">
        <v>179</v>
      </c>
      <c r="I556" s="452">
        <v>3644</v>
      </c>
      <c r="J556" s="453">
        <v>99000</v>
      </c>
      <c r="K556" s="453" t="s">
        <v>675</v>
      </c>
      <c r="L556" s="454" t="s">
        <v>171</v>
      </c>
      <c r="M556" s="455">
        <v>20139.650000000001</v>
      </c>
      <c r="N556" s="457"/>
      <c r="O556" s="393"/>
    </row>
    <row r="557" spans="5:15" s="428" customFormat="1" ht="14.1" customHeight="1">
      <c r="E557" s="452" t="s">
        <v>447</v>
      </c>
      <c r="F557" s="452" t="s">
        <v>606</v>
      </c>
      <c r="G557" s="452" t="s">
        <v>877</v>
      </c>
      <c r="H557" s="452" t="s">
        <v>179</v>
      </c>
      <c r="I557" s="452">
        <v>3646</v>
      </c>
      <c r="J557" s="453">
        <v>99000</v>
      </c>
      <c r="K557" s="453" t="s">
        <v>675</v>
      </c>
      <c r="L557" s="454" t="s">
        <v>171</v>
      </c>
      <c r="M557" s="455">
        <v>7781.75</v>
      </c>
      <c r="N557" s="457"/>
      <c r="O557" s="393"/>
    </row>
    <row r="558" spans="5:15" s="428" customFormat="1" ht="14.1" customHeight="1">
      <c r="E558" s="452" t="s">
        <v>447</v>
      </c>
      <c r="F558" s="452" t="s">
        <v>606</v>
      </c>
      <c r="G558" s="452" t="s">
        <v>651</v>
      </c>
      <c r="H558" s="452" t="s">
        <v>175</v>
      </c>
      <c r="I558" s="452" t="s">
        <v>178</v>
      </c>
      <c r="J558" s="453">
        <v>99000</v>
      </c>
      <c r="K558" s="453" t="s">
        <v>675</v>
      </c>
      <c r="L558" s="454" t="s">
        <v>171</v>
      </c>
      <c r="M558" s="455">
        <v>105000</v>
      </c>
      <c r="N558" s="457"/>
      <c r="O558" s="393"/>
    </row>
    <row r="559" spans="5:15" s="428" customFormat="1" ht="14.1" customHeight="1">
      <c r="E559" s="452" t="s">
        <v>447</v>
      </c>
      <c r="F559" s="452" t="s">
        <v>606</v>
      </c>
      <c r="G559" s="452" t="s">
        <v>877</v>
      </c>
      <c r="H559" s="452" t="s">
        <v>179</v>
      </c>
      <c r="I559" s="452">
        <v>3648</v>
      </c>
      <c r="J559" s="453">
        <v>99000</v>
      </c>
      <c r="K559" s="453" t="s">
        <v>675</v>
      </c>
      <c r="L559" s="454" t="s">
        <v>171</v>
      </c>
      <c r="M559" s="455">
        <v>22018.36</v>
      </c>
      <c r="N559" s="457"/>
      <c r="O559" s="393"/>
    </row>
    <row r="560" spans="5:15" s="428" customFormat="1" ht="14.1" customHeight="1">
      <c r="E560" s="452" t="s">
        <v>447</v>
      </c>
      <c r="F560" s="452" t="s">
        <v>606</v>
      </c>
      <c r="G560" s="452" t="s">
        <v>834</v>
      </c>
      <c r="H560" s="452" t="s">
        <v>185</v>
      </c>
      <c r="I560" s="452" t="s">
        <v>186</v>
      </c>
      <c r="J560" s="453">
        <v>99000</v>
      </c>
      <c r="K560" s="453" t="s">
        <v>675</v>
      </c>
      <c r="L560" s="454" t="s">
        <v>171</v>
      </c>
      <c r="M560" s="455">
        <v>900</v>
      </c>
      <c r="N560" s="457"/>
      <c r="O560" s="393"/>
    </row>
    <row r="561" spans="5:15" s="428" customFormat="1" ht="14.1" customHeight="1">
      <c r="E561" s="452" t="s">
        <v>447</v>
      </c>
      <c r="F561" s="452" t="s">
        <v>606</v>
      </c>
      <c r="G561" s="452" t="s">
        <v>834</v>
      </c>
      <c r="H561" s="452" t="s">
        <v>185</v>
      </c>
      <c r="I561" s="452" t="s">
        <v>196</v>
      </c>
      <c r="J561" s="453">
        <v>99000</v>
      </c>
      <c r="K561" s="453" t="s">
        <v>675</v>
      </c>
      <c r="L561" s="454" t="s">
        <v>171</v>
      </c>
      <c r="M561" s="455">
        <v>324436</v>
      </c>
      <c r="N561" s="457"/>
      <c r="O561" s="393"/>
    </row>
    <row r="562" spans="5:15" s="428" customFormat="1" ht="14.1" customHeight="1">
      <c r="E562" s="452" t="s">
        <v>447</v>
      </c>
      <c r="F562" s="452" t="s">
        <v>606</v>
      </c>
      <c r="G562" s="452" t="s">
        <v>834</v>
      </c>
      <c r="H562" s="452" t="s">
        <v>185</v>
      </c>
      <c r="I562" s="452" t="s">
        <v>198</v>
      </c>
      <c r="J562" s="453">
        <v>99000</v>
      </c>
      <c r="K562" s="453" t="s">
        <v>675</v>
      </c>
      <c r="L562" s="454" t="s">
        <v>171</v>
      </c>
      <c r="M562" s="455">
        <v>1415</v>
      </c>
      <c r="N562" s="457"/>
      <c r="O562" s="393"/>
    </row>
    <row r="563" spans="5:15" s="428" customFormat="1" ht="14.1" customHeight="1">
      <c r="E563" s="452" t="s">
        <v>447</v>
      </c>
      <c r="F563" s="452" t="s">
        <v>606</v>
      </c>
      <c r="G563" s="452" t="s">
        <v>834</v>
      </c>
      <c r="H563" s="452" t="s">
        <v>185</v>
      </c>
      <c r="I563" s="452" t="s">
        <v>191</v>
      </c>
      <c r="J563" s="453">
        <v>99000</v>
      </c>
      <c r="K563" s="453" t="s">
        <v>675</v>
      </c>
      <c r="L563" s="454" t="s">
        <v>171</v>
      </c>
      <c r="M563" s="455">
        <v>750</v>
      </c>
      <c r="N563" s="457"/>
      <c r="O563" s="393"/>
    </row>
    <row r="564" spans="5:15" s="428" customFormat="1" ht="14.1" customHeight="1">
      <c r="E564" s="452" t="s">
        <v>447</v>
      </c>
      <c r="F564" s="452" t="s">
        <v>606</v>
      </c>
      <c r="G564" s="452" t="s">
        <v>877</v>
      </c>
      <c r="H564" s="452" t="s">
        <v>179</v>
      </c>
      <c r="I564" s="452">
        <v>3640</v>
      </c>
      <c r="J564" s="453">
        <v>99000</v>
      </c>
      <c r="K564" s="453" t="s">
        <v>675</v>
      </c>
      <c r="L564" s="454" t="s">
        <v>171</v>
      </c>
      <c r="M564" s="455">
        <v>2663.19</v>
      </c>
      <c r="N564" s="457"/>
      <c r="O564" s="393"/>
    </row>
    <row r="565" spans="5:15" s="428" customFormat="1" ht="14.1" customHeight="1">
      <c r="E565" s="452" t="s">
        <v>447</v>
      </c>
      <c r="F565" s="452" t="s">
        <v>606</v>
      </c>
      <c r="G565" s="452" t="s">
        <v>1429</v>
      </c>
      <c r="H565" s="452" t="s">
        <v>182</v>
      </c>
      <c r="I565" s="452" t="s">
        <v>197</v>
      </c>
      <c r="J565" s="453">
        <v>99000</v>
      </c>
      <c r="K565" s="453" t="s">
        <v>675</v>
      </c>
      <c r="L565" s="454" t="s">
        <v>171</v>
      </c>
      <c r="M565" s="455">
        <v>104388.35</v>
      </c>
      <c r="N565" s="457"/>
      <c r="O565" s="393"/>
    </row>
    <row r="566" spans="5:15" s="428" customFormat="1" ht="14.1" customHeight="1">
      <c r="E566" s="452" t="s">
        <v>447</v>
      </c>
      <c r="F566" s="452" t="s">
        <v>606</v>
      </c>
      <c r="G566" s="452" t="s">
        <v>1429</v>
      </c>
      <c r="H566" s="452" t="s">
        <v>182</v>
      </c>
      <c r="I566" s="452" t="s">
        <v>193</v>
      </c>
      <c r="J566" s="453">
        <v>99000</v>
      </c>
      <c r="K566" s="453" t="s">
        <v>675</v>
      </c>
      <c r="L566" s="454" t="s">
        <v>171</v>
      </c>
      <c r="M566" s="455">
        <v>136622.32999999999</v>
      </c>
      <c r="N566" s="457"/>
      <c r="O566" s="393"/>
    </row>
    <row r="567" spans="5:15" s="428" customFormat="1" ht="14.1" customHeight="1">
      <c r="E567" s="452" t="s">
        <v>447</v>
      </c>
      <c r="F567" s="452" t="s">
        <v>606</v>
      </c>
      <c r="G567" s="452" t="s">
        <v>1429</v>
      </c>
      <c r="H567" s="452" t="s">
        <v>182</v>
      </c>
      <c r="I567" s="452" t="s">
        <v>195</v>
      </c>
      <c r="J567" s="453">
        <v>99000</v>
      </c>
      <c r="K567" s="453" t="s">
        <v>675</v>
      </c>
      <c r="L567" s="454" t="s">
        <v>171</v>
      </c>
      <c r="M567" s="455">
        <v>26674.37</v>
      </c>
      <c r="N567" s="456"/>
      <c r="O567" s="393"/>
    </row>
    <row r="568" spans="5:15" s="428" customFormat="1" ht="14.1" customHeight="1">
      <c r="E568" s="452" t="s">
        <v>447</v>
      </c>
      <c r="F568" s="452" t="s">
        <v>606</v>
      </c>
      <c r="G568" s="452" t="s">
        <v>188</v>
      </c>
      <c r="H568" s="452" t="s">
        <v>189</v>
      </c>
      <c r="I568" s="452" t="s">
        <v>190</v>
      </c>
      <c r="J568" s="453">
        <v>99000</v>
      </c>
      <c r="K568" s="453" t="s">
        <v>675</v>
      </c>
      <c r="L568" s="454" t="s">
        <v>171</v>
      </c>
      <c r="M568" s="455">
        <v>156450</v>
      </c>
      <c r="N568" s="456"/>
      <c r="O568" s="393"/>
    </row>
    <row r="569" spans="5:15" s="428" customFormat="1" ht="14.1" customHeight="1">
      <c r="E569" s="452" t="s">
        <v>447</v>
      </c>
      <c r="F569" s="452" t="s">
        <v>606</v>
      </c>
      <c r="G569" s="452" t="s">
        <v>1429</v>
      </c>
      <c r="H569" s="452" t="s">
        <v>182</v>
      </c>
      <c r="I569" s="452" t="s">
        <v>183</v>
      </c>
      <c r="J569" s="453">
        <v>99000</v>
      </c>
      <c r="K569" s="453" t="s">
        <v>675</v>
      </c>
      <c r="L569" s="454" t="s">
        <v>171</v>
      </c>
      <c r="M569" s="455">
        <v>8383.51</v>
      </c>
      <c r="N569" s="456"/>
      <c r="O569" s="393"/>
    </row>
    <row r="570" spans="5:15" s="428" customFormat="1" ht="14.1" customHeight="1">
      <c r="E570" s="452" t="s">
        <v>447</v>
      </c>
      <c r="F570" s="452" t="s">
        <v>606</v>
      </c>
      <c r="G570" s="452" t="s">
        <v>1429</v>
      </c>
      <c r="H570" s="452" t="s">
        <v>182</v>
      </c>
      <c r="I570" s="452" t="s">
        <v>187</v>
      </c>
      <c r="J570" s="453">
        <v>99000</v>
      </c>
      <c r="K570" s="453" t="s">
        <v>675</v>
      </c>
      <c r="L570" s="454" t="s">
        <v>171</v>
      </c>
      <c r="M570" s="455">
        <v>88371.43</v>
      </c>
      <c r="N570" s="456"/>
      <c r="O570" s="393"/>
    </row>
    <row r="571" spans="5:15" s="428" customFormat="1" ht="14.1" customHeight="1">
      <c r="E571" s="452" t="s">
        <v>447</v>
      </c>
      <c r="F571" s="452" t="s">
        <v>606</v>
      </c>
      <c r="G571" s="452" t="s">
        <v>834</v>
      </c>
      <c r="H571" s="452" t="s">
        <v>1159</v>
      </c>
      <c r="I571" s="452" t="s">
        <v>1157</v>
      </c>
      <c r="J571" s="453">
        <v>99000</v>
      </c>
      <c r="K571" s="453" t="s">
        <v>675</v>
      </c>
      <c r="L571" s="454" t="s">
        <v>171</v>
      </c>
      <c r="M571" s="455">
        <v>750</v>
      </c>
      <c r="N571" s="456"/>
      <c r="O571" s="393"/>
    </row>
    <row r="572" spans="5:15" s="428" customFormat="1" ht="14.1" customHeight="1">
      <c r="E572" s="452" t="s">
        <v>447</v>
      </c>
      <c r="F572" s="452" t="s">
        <v>606</v>
      </c>
      <c r="G572" s="452" t="s">
        <v>834</v>
      </c>
      <c r="H572" s="452" t="s">
        <v>1158</v>
      </c>
      <c r="I572" s="452" t="s">
        <v>1157</v>
      </c>
      <c r="J572" s="453">
        <v>99000</v>
      </c>
      <c r="K572" s="453" t="s">
        <v>675</v>
      </c>
      <c r="L572" s="454" t="s">
        <v>171</v>
      </c>
      <c r="M572" s="455">
        <v>3685</v>
      </c>
      <c r="N572" s="456"/>
      <c r="O572" s="393"/>
    </row>
    <row r="573" spans="5:15" s="428" customFormat="1" ht="14.1" customHeight="1">
      <c r="E573" s="452" t="s">
        <v>447</v>
      </c>
      <c r="F573" s="452" t="s">
        <v>606</v>
      </c>
      <c r="G573" s="452" t="s">
        <v>834</v>
      </c>
      <c r="H573" s="452" t="s">
        <v>1156</v>
      </c>
      <c r="I573" s="452" t="s">
        <v>1157</v>
      </c>
      <c r="J573" s="453">
        <v>99000</v>
      </c>
      <c r="K573" s="453" t="s">
        <v>675</v>
      </c>
      <c r="L573" s="454" t="s">
        <v>171</v>
      </c>
      <c r="M573" s="455">
        <v>750</v>
      </c>
      <c r="N573" s="456"/>
      <c r="O573" s="393"/>
    </row>
    <row r="574" spans="5:15" s="428" customFormat="1" ht="14.1" customHeight="1">
      <c r="E574" s="452" t="s">
        <v>447</v>
      </c>
      <c r="F574" s="452" t="s">
        <v>606</v>
      </c>
      <c r="G574" s="452" t="s">
        <v>1429</v>
      </c>
      <c r="H574" s="452" t="s">
        <v>182</v>
      </c>
      <c r="I574" s="452" t="s">
        <v>192</v>
      </c>
      <c r="J574" s="453">
        <v>99000</v>
      </c>
      <c r="K574" s="453" t="s">
        <v>675</v>
      </c>
      <c r="L574" s="454" t="s">
        <v>171</v>
      </c>
      <c r="M574" s="455">
        <v>12449.27</v>
      </c>
      <c r="N574" s="456"/>
      <c r="O574" s="393"/>
    </row>
    <row r="575" spans="5:15" s="428" customFormat="1" ht="14.1" customHeight="1">
      <c r="E575" s="452" t="s">
        <v>447</v>
      </c>
      <c r="F575" s="452" t="s">
        <v>606</v>
      </c>
      <c r="G575" s="452" t="s">
        <v>877</v>
      </c>
      <c r="H575" s="452" t="s">
        <v>179</v>
      </c>
      <c r="I575" s="452">
        <v>3647</v>
      </c>
      <c r="J575" s="453">
        <v>99000</v>
      </c>
      <c r="K575" s="453" t="s">
        <v>675</v>
      </c>
      <c r="L575" s="454" t="s">
        <v>171</v>
      </c>
      <c r="M575" s="455">
        <v>32599.83</v>
      </c>
      <c r="N575" s="456"/>
      <c r="O575" s="393"/>
    </row>
    <row r="576" spans="5:15" s="428" customFormat="1" ht="14.1" customHeight="1">
      <c r="E576" s="456"/>
      <c r="F576" s="456"/>
      <c r="G576" s="456"/>
      <c r="H576" s="456"/>
      <c r="I576" s="456"/>
      <c r="J576" s="456"/>
      <c r="K576" s="456"/>
      <c r="L576" s="456"/>
      <c r="M576" s="455" t="s">
        <v>863</v>
      </c>
      <c r="N576" s="455">
        <v>1526970.24</v>
      </c>
      <c r="O576" s="393"/>
    </row>
    <row r="577" spans="5:15" s="428" customFormat="1" ht="14.1" customHeight="1">
      <c r="E577" s="452" t="s">
        <v>447</v>
      </c>
      <c r="F577" s="452" t="s">
        <v>606</v>
      </c>
      <c r="G577" s="452" t="s">
        <v>651</v>
      </c>
      <c r="H577" s="452" t="s">
        <v>175</v>
      </c>
      <c r="I577" s="452" t="s">
        <v>181</v>
      </c>
      <c r="J577" s="453">
        <v>90000</v>
      </c>
      <c r="K577" s="453" t="s">
        <v>640</v>
      </c>
      <c r="L577" s="454" t="s">
        <v>171</v>
      </c>
      <c r="M577" s="455">
        <v>5374.81</v>
      </c>
      <c r="N577" s="456"/>
      <c r="O577" s="393"/>
    </row>
    <row r="578" spans="5:15" s="428" customFormat="1" ht="14.1" customHeight="1">
      <c r="E578" s="452" t="s">
        <v>447</v>
      </c>
      <c r="F578" s="452" t="s">
        <v>606</v>
      </c>
      <c r="G578" s="452" t="s">
        <v>1235</v>
      </c>
      <c r="H578" s="452" t="s">
        <v>175</v>
      </c>
      <c r="I578" s="452" t="s">
        <v>199</v>
      </c>
      <c r="J578" s="453">
        <v>90000</v>
      </c>
      <c r="K578" s="453" t="s">
        <v>640</v>
      </c>
      <c r="L578" s="454" t="s">
        <v>171</v>
      </c>
      <c r="M578" s="455">
        <v>64112</v>
      </c>
      <c r="N578" s="456"/>
      <c r="O578" s="393"/>
    </row>
    <row r="579" spans="5:15" s="428" customFormat="1" ht="14.1" customHeight="1">
      <c r="E579" s="456"/>
      <c r="F579" s="456"/>
      <c r="G579" s="456"/>
      <c r="H579" s="456"/>
      <c r="I579" s="456"/>
      <c r="J579" s="456"/>
      <c r="K579" s="456"/>
      <c r="L579" s="456"/>
      <c r="M579" s="455" t="s">
        <v>863</v>
      </c>
      <c r="N579" s="455">
        <v>69486.81</v>
      </c>
      <c r="O579" s="393"/>
    </row>
    <row r="580" spans="5:15" s="428" customFormat="1" ht="14.1" customHeight="1">
      <c r="E580" s="452" t="s">
        <v>447</v>
      </c>
      <c r="F580" s="452" t="s">
        <v>606</v>
      </c>
      <c r="G580" s="452" t="s">
        <v>188</v>
      </c>
      <c r="H580" s="452" t="s">
        <v>200</v>
      </c>
      <c r="I580" s="452" t="s">
        <v>201</v>
      </c>
      <c r="J580" s="453">
        <v>99000</v>
      </c>
      <c r="K580" s="453" t="s">
        <v>1255</v>
      </c>
      <c r="L580" s="454" t="s">
        <v>171</v>
      </c>
      <c r="M580" s="455">
        <v>36000</v>
      </c>
      <c r="N580" s="456"/>
      <c r="O580" s="393"/>
    </row>
    <row r="581" spans="5:15" s="428" customFormat="1" ht="14.1" customHeight="1">
      <c r="E581" s="456"/>
      <c r="F581" s="456"/>
      <c r="G581" s="456"/>
      <c r="H581" s="456"/>
      <c r="I581" s="456"/>
      <c r="J581" s="456"/>
      <c r="K581" s="456"/>
      <c r="L581" s="456"/>
      <c r="M581" s="455" t="s">
        <v>863</v>
      </c>
      <c r="N581" s="455">
        <v>36000</v>
      </c>
      <c r="O581" s="393"/>
    </row>
    <row r="582" spans="5:15" s="428" customFormat="1" ht="14.1" customHeight="1">
      <c r="E582" s="456"/>
      <c r="F582" s="456"/>
      <c r="G582" s="456"/>
      <c r="H582" s="456"/>
      <c r="I582" s="456"/>
      <c r="J582" s="456"/>
      <c r="K582" s="456"/>
      <c r="L582" s="456"/>
      <c r="M582" s="456"/>
      <c r="N582" s="456"/>
      <c r="O582" s="393"/>
    </row>
    <row r="583" spans="5:15" s="428" customFormat="1" ht="14.1" customHeight="1">
      <c r="E583" s="452" t="s">
        <v>447</v>
      </c>
      <c r="F583" s="452" t="s">
        <v>606</v>
      </c>
      <c r="G583" s="452" t="s">
        <v>188</v>
      </c>
      <c r="H583" s="452" t="s">
        <v>189</v>
      </c>
      <c r="I583" s="452" t="s">
        <v>214</v>
      </c>
      <c r="J583" s="453">
        <v>90000</v>
      </c>
      <c r="K583" s="453" t="s">
        <v>633</v>
      </c>
      <c r="L583" s="454" t="s">
        <v>171</v>
      </c>
      <c r="M583" s="455">
        <v>228318.3</v>
      </c>
      <c r="N583" s="456"/>
      <c r="O583" s="393"/>
    </row>
    <row r="584" spans="5:15" s="428" customFormat="1" ht="14.1" customHeight="1">
      <c r="E584" s="452" t="s">
        <v>447</v>
      </c>
      <c r="F584" s="452" t="s">
        <v>606</v>
      </c>
      <c r="G584" s="452" t="s">
        <v>792</v>
      </c>
      <c r="H584" s="452">
        <v>390603</v>
      </c>
      <c r="I584" s="452" t="s">
        <v>218</v>
      </c>
      <c r="J584" s="453">
        <v>90000</v>
      </c>
      <c r="K584" s="453" t="s">
        <v>633</v>
      </c>
      <c r="L584" s="454" t="s">
        <v>171</v>
      </c>
      <c r="M584" s="455">
        <v>172232.1</v>
      </c>
      <c r="N584" s="456"/>
      <c r="O584" s="393"/>
    </row>
    <row r="585" spans="5:15" s="428" customFormat="1" ht="14.1" customHeight="1">
      <c r="E585" s="452" t="s">
        <v>447</v>
      </c>
      <c r="F585" s="452" t="s">
        <v>606</v>
      </c>
      <c r="G585" s="452" t="s">
        <v>680</v>
      </c>
      <c r="H585" s="452" t="s">
        <v>209</v>
      </c>
      <c r="I585" s="452" t="s">
        <v>210</v>
      </c>
      <c r="J585" s="453">
        <v>90000</v>
      </c>
      <c r="K585" s="453" t="s">
        <v>633</v>
      </c>
      <c r="L585" s="454" t="s">
        <v>171</v>
      </c>
      <c r="M585" s="455">
        <v>1632000</v>
      </c>
      <c r="N585" s="456"/>
      <c r="O585" s="393"/>
    </row>
    <row r="586" spans="5:15" s="428" customFormat="1" ht="14.1" customHeight="1">
      <c r="E586" s="452" t="s">
        <v>447</v>
      </c>
      <c r="F586" s="452" t="s">
        <v>606</v>
      </c>
      <c r="G586" s="452" t="s">
        <v>188</v>
      </c>
      <c r="H586" s="452" t="s">
        <v>189</v>
      </c>
      <c r="I586" s="452" t="s">
        <v>215</v>
      </c>
      <c r="J586" s="453">
        <v>90000</v>
      </c>
      <c r="K586" s="453" t="s">
        <v>633</v>
      </c>
      <c r="L586" s="454" t="s">
        <v>171</v>
      </c>
      <c r="M586" s="455">
        <v>152212.20000000001</v>
      </c>
      <c r="N586" s="456"/>
      <c r="O586" s="393"/>
    </row>
    <row r="587" spans="5:15" s="428" customFormat="1" ht="14.1" customHeight="1">
      <c r="E587" s="452" t="s">
        <v>447</v>
      </c>
      <c r="F587" s="452" t="s">
        <v>606</v>
      </c>
      <c r="G587" s="452" t="s">
        <v>188</v>
      </c>
      <c r="H587" s="452" t="s">
        <v>189</v>
      </c>
      <c r="I587" s="452" t="s">
        <v>212</v>
      </c>
      <c r="J587" s="453">
        <v>90000</v>
      </c>
      <c r="K587" s="453" t="s">
        <v>633</v>
      </c>
      <c r="L587" s="454" t="s">
        <v>171</v>
      </c>
      <c r="M587" s="455">
        <v>456636.6</v>
      </c>
      <c r="N587" s="456"/>
      <c r="O587" s="393"/>
    </row>
    <row r="588" spans="5:15" s="428" customFormat="1" ht="14.1" customHeight="1">
      <c r="E588" s="452" t="s">
        <v>447</v>
      </c>
      <c r="F588" s="452" t="s">
        <v>606</v>
      </c>
      <c r="G588" s="452" t="s">
        <v>188</v>
      </c>
      <c r="H588" s="452" t="s">
        <v>189</v>
      </c>
      <c r="I588" s="452" t="s">
        <v>211</v>
      </c>
      <c r="J588" s="453">
        <v>90000</v>
      </c>
      <c r="K588" s="453" t="s">
        <v>633</v>
      </c>
      <c r="L588" s="454" t="s">
        <v>171</v>
      </c>
      <c r="M588" s="455">
        <v>76106.100000000006</v>
      </c>
      <c r="N588" s="456"/>
      <c r="O588" s="393"/>
    </row>
    <row r="589" spans="5:15" s="428" customFormat="1" ht="14.1" customHeight="1">
      <c r="E589" s="452" t="s">
        <v>447</v>
      </c>
      <c r="F589" s="452" t="s">
        <v>606</v>
      </c>
      <c r="G589" s="452" t="s">
        <v>188</v>
      </c>
      <c r="H589" s="452" t="s">
        <v>189</v>
      </c>
      <c r="I589" s="452" t="s">
        <v>213</v>
      </c>
      <c r="J589" s="453">
        <v>90000</v>
      </c>
      <c r="K589" s="453" t="s">
        <v>633</v>
      </c>
      <c r="L589" s="454" t="s">
        <v>171</v>
      </c>
      <c r="M589" s="455">
        <v>456636.6</v>
      </c>
      <c r="N589" s="456"/>
      <c r="O589" s="393"/>
    </row>
    <row r="590" spans="5:15" s="428" customFormat="1" ht="14.1" customHeight="1">
      <c r="E590" s="456"/>
      <c r="F590" s="456"/>
      <c r="G590" s="456"/>
      <c r="H590" s="456"/>
      <c r="I590" s="456"/>
      <c r="J590" s="456"/>
      <c r="K590" s="456"/>
      <c r="L590" s="456"/>
      <c r="M590" s="455" t="s">
        <v>863</v>
      </c>
      <c r="N590" s="455">
        <v>3174141.9</v>
      </c>
      <c r="O590" s="393"/>
    </row>
    <row r="591" spans="5:15" s="428" customFormat="1" ht="14.1" customHeight="1">
      <c r="E591" s="452" t="s">
        <v>447</v>
      </c>
      <c r="F591" s="452" t="s">
        <v>606</v>
      </c>
      <c r="G591" s="452" t="s">
        <v>188</v>
      </c>
      <c r="H591" s="452" t="s">
        <v>189</v>
      </c>
      <c r="I591" s="452" t="s">
        <v>219</v>
      </c>
      <c r="J591" s="453">
        <v>90000</v>
      </c>
      <c r="K591" s="453" t="s">
        <v>654</v>
      </c>
      <c r="L591" s="454" t="s">
        <v>171</v>
      </c>
      <c r="M591" s="455">
        <v>53400</v>
      </c>
      <c r="N591" s="456"/>
      <c r="O591" s="393"/>
    </row>
    <row r="592" spans="5:15" s="428" customFormat="1" ht="14.1" customHeight="1">
      <c r="E592" s="452" t="s">
        <v>447</v>
      </c>
      <c r="F592" s="452" t="s">
        <v>606</v>
      </c>
      <c r="G592" s="452" t="s">
        <v>651</v>
      </c>
      <c r="H592" s="452" t="s">
        <v>221</v>
      </c>
      <c r="I592" s="452" t="s">
        <v>222</v>
      </c>
      <c r="J592" s="453">
        <v>90000</v>
      </c>
      <c r="K592" s="453" t="s">
        <v>654</v>
      </c>
      <c r="L592" s="454" t="s">
        <v>171</v>
      </c>
      <c r="M592" s="455">
        <v>45737.22</v>
      </c>
      <c r="N592" s="456"/>
      <c r="O592" s="393"/>
    </row>
    <row r="593" spans="5:15" s="428" customFormat="1" ht="14.1" customHeight="1">
      <c r="E593" s="452" t="s">
        <v>447</v>
      </c>
      <c r="F593" s="452" t="s">
        <v>606</v>
      </c>
      <c r="G593" s="452" t="s">
        <v>651</v>
      </c>
      <c r="H593" s="452" t="s">
        <v>175</v>
      </c>
      <c r="I593" s="452" t="s">
        <v>220</v>
      </c>
      <c r="J593" s="453">
        <v>90000</v>
      </c>
      <c r="K593" s="453" t="s">
        <v>654</v>
      </c>
      <c r="L593" s="454" t="s">
        <v>171</v>
      </c>
      <c r="M593" s="455">
        <v>323039.5</v>
      </c>
      <c r="N593" s="456"/>
      <c r="O593" s="393"/>
    </row>
    <row r="594" spans="5:15" s="428" customFormat="1" ht="14.1" customHeight="1">
      <c r="E594" s="456"/>
      <c r="F594" s="456"/>
      <c r="G594" s="456"/>
      <c r="H594" s="456"/>
      <c r="I594" s="456"/>
      <c r="J594" s="456"/>
      <c r="K594" s="456"/>
      <c r="L594" s="456"/>
      <c r="M594" s="455" t="s">
        <v>863</v>
      </c>
      <c r="N594" s="455">
        <v>422176.72</v>
      </c>
      <c r="O594" s="393"/>
    </row>
    <row r="595" spans="5:15" s="428" customFormat="1" ht="14.1" customHeight="1">
      <c r="E595" s="456"/>
      <c r="F595" s="456"/>
      <c r="G595" s="456"/>
      <c r="H595" s="456"/>
      <c r="I595" s="456"/>
      <c r="J595" s="456"/>
      <c r="K595" s="456"/>
      <c r="L595" s="456"/>
      <c r="M595" s="455" t="s">
        <v>1055</v>
      </c>
      <c r="N595" s="455">
        <v>5659475.2599999988</v>
      </c>
      <c r="O595" s="393"/>
    </row>
    <row r="596" spans="5:15" s="428" customFormat="1" ht="14.1" customHeight="1">
      <c r="E596" s="452" t="s">
        <v>447</v>
      </c>
      <c r="F596" s="452" t="s">
        <v>606</v>
      </c>
      <c r="G596" s="452" t="s">
        <v>223</v>
      </c>
      <c r="H596" s="452" t="s">
        <v>224</v>
      </c>
      <c r="I596" s="452" t="s">
        <v>225</v>
      </c>
      <c r="J596" s="453">
        <v>99000</v>
      </c>
      <c r="K596" s="453" t="s">
        <v>621</v>
      </c>
      <c r="L596" s="454" t="s">
        <v>226</v>
      </c>
      <c r="M596" s="455">
        <v>3454.11</v>
      </c>
      <c r="N596" s="456"/>
      <c r="O596" s="393"/>
    </row>
    <row r="597" spans="5:15" s="428" customFormat="1" ht="14.1" customHeight="1">
      <c r="E597" s="452" t="s">
        <v>447</v>
      </c>
      <c r="F597" s="452" t="s">
        <v>606</v>
      </c>
      <c r="G597" s="452" t="s">
        <v>223</v>
      </c>
      <c r="H597" s="452" t="s">
        <v>224</v>
      </c>
      <c r="I597" s="452" t="s">
        <v>634</v>
      </c>
      <c r="J597" s="453">
        <v>99000</v>
      </c>
      <c r="K597" s="453" t="s">
        <v>621</v>
      </c>
      <c r="L597" s="454" t="s">
        <v>226</v>
      </c>
      <c r="M597" s="455">
        <v>169.3</v>
      </c>
      <c r="N597" s="456"/>
      <c r="O597" s="393"/>
    </row>
    <row r="598" spans="5:15" s="428" customFormat="1" ht="14.1" customHeight="1">
      <c r="E598" s="456"/>
      <c r="F598" s="456"/>
      <c r="G598" s="456"/>
      <c r="H598" s="456"/>
      <c r="I598" s="456"/>
      <c r="J598" s="456"/>
      <c r="K598" s="456"/>
      <c r="L598" s="456"/>
      <c r="M598" s="455" t="s">
        <v>863</v>
      </c>
      <c r="N598" s="455">
        <v>3623.41</v>
      </c>
      <c r="O598" s="393"/>
    </row>
    <row r="599" spans="5:15" s="428" customFormat="1" ht="14.1" customHeight="1">
      <c r="E599" s="456"/>
      <c r="F599" s="456"/>
      <c r="G599" s="456"/>
      <c r="H599" s="456"/>
      <c r="I599" s="456"/>
      <c r="J599" s="456"/>
      <c r="K599" s="456"/>
      <c r="L599" s="456"/>
      <c r="M599" s="455" t="s">
        <v>1055</v>
      </c>
      <c r="N599" s="455">
        <v>3623.41</v>
      </c>
      <c r="O599" s="393"/>
    </row>
    <row r="600" spans="5:15" s="428" customFormat="1" ht="14.1" customHeight="1">
      <c r="E600" s="452" t="s">
        <v>447</v>
      </c>
      <c r="F600" s="452" t="s">
        <v>606</v>
      </c>
      <c r="G600" s="452" t="s">
        <v>733</v>
      </c>
      <c r="H600" s="452">
        <v>145</v>
      </c>
      <c r="I600" s="452" t="s">
        <v>227</v>
      </c>
      <c r="J600" s="453">
        <v>99000</v>
      </c>
      <c r="K600" s="453" t="s">
        <v>1057</v>
      </c>
      <c r="L600" s="454" t="s">
        <v>46</v>
      </c>
      <c r="M600" s="455">
        <v>2248.7399999999998</v>
      </c>
      <c r="N600" s="456"/>
      <c r="O600" s="393"/>
    </row>
    <row r="601" spans="5:15" s="428" customFormat="1" ht="14.1" customHeight="1">
      <c r="E601" s="452" t="s">
        <v>447</v>
      </c>
      <c r="F601" s="452" t="s">
        <v>606</v>
      </c>
      <c r="G601" s="452" t="s">
        <v>865</v>
      </c>
      <c r="H601" s="452">
        <v>912322</v>
      </c>
      <c r="I601" s="452" t="s">
        <v>1160</v>
      </c>
      <c r="J601" s="453">
        <v>99000</v>
      </c>
      <c r="K601" s="453" t="s">
        <v>1057</v>
      </c>
      <c r="L601" s="454" t="s">
        <v>46</v>
      </c>
      <c r="M601" s="455">
        <v>2462.2199999999998</v>
      </c>
      <c r="N601" s="456"/>
      <c r="O601" s="393"/>
    </row>
    <row r="602" spans="5:15" s="428" customFormat="1" ht="14.1" customHeight="1">
      <c r="E602" s="456"/>
      <c r="F602" s="456"/>
      <c r="G602" s="456"/>
      <c r="H602" s="456"/>
      <c r="I602" s="456"/>
      <c r="J602" s="456"/>
      <c r="K602" s="456"/>
      <c r="L602" s="456"/>
      <c r="M602" s="455" t="s">
        <v>863</v>
      </c>
      <c r="N602" s="455">
        <v>4710.96</v>
      </c>
      <c r="O602" s="393"/>
    </row>
    <row r="603" spans="5:15" s="428" customFormat="1" ht="14.1" customHeight="1">
      <c r="E603" s="452" t="s">
        <v>447</v>
      </c>
      <c r="F603" s="452" t="s">
        <v>606</v>
      </c>
      <c r="G603" s="452" t="s">
        <v>1073</v>
      </c>
      <c r="H603" s="452" t="s">
        <v>228</v>
      </c>
      <c r="I603" s="452" t="s">
        <v>1233</v>
      </c>
      <c r="J603" s="453">
        <v>99000</v>
      </c>
      <c r="K603" s="453" t="s">
        <v>675</v>
      </c>
      <c r="L603" s="454" t="s">
        <v>46</v>
      </c>
      <c r="M603" s="455">
        <v>2500</v>
      </c>
      <c r="N603" s="456"/>
      <c r="O603" s="393"/>
    </row>
    <row r="604" spans="5:15" s="428" customFormat="1" ht="14.1" customHeight="1">
      <c r="E604" s="452" t="s">
        <v>447</v>
      </c>
      <c r="F604" s="452" t="s">
        <v>606</v>
      </c>
      <c r="G604" s="452" t="s">
        <v>634</v>
      </c>
      <c r="H604" s="452" t="s">
        <v>1161</v>
      </c>
      <c r="I604" s="452" t="s">
        <v>1162</v>
      </c>
      <c r="J604" s="453">
        <v>99000</v>
      </c>
      <c r="K604" s="453" t="s">
        <v>675</v>
      </c>
      <c r="L604" s="454" t="s">
        <v>46</v>
      </c>
      <c r="M604" s="455">
        <v>-780</v>
      </c>
      <c r="N604" s="456"/>
      <c r="O604" s="393"/>
    </row>
    <row r="605" spans="5:15" s="428" customFormat="1" ht="14.1" customHeight="1">
      <c r="E605" s="456"/>
      <c r="F605" s="456"/>
      <c r="G605" s="456"/>
      <c r="H605" s="456"/>
      <c r="I605" s="456"/>
      <c r="J605" s="456"/>
      <c r="K605" s="456"/>
      <c r="L605" s="456"/>
      <c r="M605" s="455" t="s">
        <v>863</v>
      </c>
      <c r="N605" s="455">
        <v>1720</v>
      </c>
      <c r="O605" s="393"/>
    </row>
    <row r="606" spans="5:15" s="428" customFormat="1" ht="14.1" customHeight="1">
      <c r="E606" s="452" t="s">
        <v>447</v>
      </c>
      <c r="F606" s="452" t="s">
        <v>606</v>
      </c>
      <c r="G606" s="452" t="s">
        <v>634</v>
      </c>
      <c r="H606" s="452" t="s">
        <v>1163</v>
      </c>
      <c r="I606" s="452" t="s">
        <v>1164</v>
      </c>
      <c r="J606" s="453">
        <v>99000</v>
      </c>
      <c r="K606" s="453" t="s">
        <v>1579</v>
      </c>
      <c r="L606" s="454" t="s">
        <v>46</v>
      </c>
      <c r="M606" s="455">
        <v>3927276</v>
      </c>
      <c r="N606" s="456"/>
      <c r="O606" s="393"/>
    </row>
    <row r="607" spans="5:15" s="428" customFormat="1" ht="14.1" customHeight="1">
      <c r="E607" s="456"/>
      <c r="F607" s="456"/>
      <c r="G607" s="456"/>
      <c r="H607" s="456"/>
      <c r="I607" s="456"/>
      <c r="J607" s="456"/>
      <c r="K607" s="456"/>
      <c r="L607" s="456"/>
      <c r="M607" s="455" t="s">
        <v>863</v>
      </c>
      <c r="N607" s="455">
        <v>3927276</v>
      </c>
      <c r="O607" s="393"/>
    </row>
    <row r="608" spans="5:15" s="428" customFormat="1" ht="14.1" customHeight="1">
      <c r="E608" s="452" t="s">
        <v>447</v>
      </c>
      <c r="F608" s="452" t="s">
        <v>606</v>
      </c>
      <c r="G608" s="452" t="s">
        <v>229</v>
      </c>
      <c r="H608" s="452" t="s">
        <v>230</v>
      </c>
      <c r="I608" s="452" t="s">
        <v>231</v>
      </c>
      <c r="J608" s="453">
        <v>90000</v>
      </c>
      <c r="K608" s="453" t="s">
        <v>640</v>
      </c>
      <c r="L608" s="454" t="s">
        <v>46</v>
      </c>
      <c r="M608" s="455">
        <v>1600</v>
      </c>
      <c r="N608" s="456"/>
      <c r="O608" s="429"/>
    </row>
    <row r="609" spans="5:15" s="428" customFormat="1" ht="14.1" customHeight="1">
      <c r="E609" s="456"/>
      <c r="F609" s="456"/>
      <c r="G609" s="456"/>
      <c r="H609" s="456"/>
      <c r="I609" s="456"/>
      <c r="J609" s="456"/>
      <c r="K609" s="456"/>
      <c r="L609" s="456"/>
      <c r="M609" s="455" t="s">
        <v>863</v>
      </c>
      <c r="N609" s="455">
        <v>1600</v>
      </c>
      <c r="O609" s="429"/>
    </row>
    <row r="610" spans="5:15" s="428" customFormat="1" ht="14.1" customHeight="1">
      <c r="E610" s="452" t="s">
        <v>447</v>
      </c>
      <c r="F610" s="452" t="s">
        <v>606</v>
      </c>
      <c r="G610" s="452" t="s">
        <v>634</v>
      </c>
      <c r="H610" s="452" t="s">
        <v>1167</v>
      </c>
      <c r="I610" s="452" t="s">
        <v>44</v>
      </c>
      <c r="J610" s="453">
        <v>99000</v>
      </c>
      <c r="K610" s="453" t="s">
        <v>732</v>
      </c>
      <c r="L610" s="454" t="s">
        <v>46</v>
      </c>
      <c r="M610" s="455">
        <v>-9577967.6400000006</v>
      </c>
      <c r="N610" s="456"/>
      <c r="O610" s="429"/>
    </row>
    <row r="611" spans="5:15" s="428" customFormat="1" ht="14.1" customHeight="1">
      <c r="E611" s="452" t="s">
        <v>447</v>
      </c>
      <c r="F611" s="452" t="s">
        <v>606</v>
      </c>
      <c r="G611" s="452" t="s">
        <v>634</v>
      </c>
      <c r="H611" s="452" t="s">
        <v>1165</v>
      </c>
      <c r="I611" s="452" t="s">
        <v>1166</v>
      </c>
      <c r="J611" s="453">
        <v>99000</v>
      </c>
      <c r="K611" s="453" t="s">
        <v>732</v>
      </c>
      <c r="L611" s="454" t="s">
        <v>46</v>
      </c>
      <c r="M611" s="455">
        <v>-58847040.039999999</v>
      </c>
      <c r="N611" s="456"/>
      <c r="O611" s="429"/>
    </row>
    <row r="612" spans="5:15" s="428" customFormat="1" ht="14.1" customHeight="1">
      <c r="E612" s="456"/>
      <c r="F612" s="456"/>
      <c r="G612" s="456"/>
      <c r="H612" s="456"/>
      <c r="I612" s="456"/>
      <c r="J612" s="456"/>
      <c r="K612" s="456"/>
      <c r="L612" s="456"/>
      <c r="M612" s="455" t="s">
        <v>863</v>
      </c>
      <c r="N612" s="455">
        <v>-68425007.680000007</v>
      </c>
      <c r="O612" s="429"/>
    </row>
    <row r="613" spans="5:15" s="428" customFormat="1" ht="14.1" customHeight="1">
      <c r="E613" s="452" t="s">
        <v>447</v>
      </c>
      <c r="F613" s="452" t="s">
        <v>606</v>
      </c>
      <c r="G613" s="452" t="s">
        <v>634</v>
      </c>
      <c r="H613" s="452" t="s">
        <v>1168</v>
      </c>
      <c r="I613" s="452" t="s">
        <v>634</v>
      </c>
      <c r="J613" s="453">
        <v>90000</v>
      </c>
      <c r="K613" s="453" t="s">
        <v>703</v>
      </c>
      <c r="L613" s="454" t="s">
        <v>46</v>
      </c>
      <c r="M613" s="455">
        <v>5000000</v>
      </c>
      <c r="N613" s="456"/>
      <c r="O613" s="429"/>
    </row>
    <row r="614" spans="5:15" s="428" customFormat="1" ht="14.1" customHeight="1">
      <c r="E614" s="452" t="s">
        <v>447</v>
      </c>
      <c r="F614" s="452" t="s">
        <v>606</v>
      </c>
      <c r="G614" s="452" t="s">
        <v>634</v>
      </c>
      <c r="H614" s="452" t="s">
        <v>1169</v>
      </c>
      <c r="I614" s="452" t="s">
        <v>1170</v>
      </c>
      <c r="J614" s="453">
        <v>90000</v>
      </c>
      <c r="K614" s="453" t="s">
        <v>703</v>
      </c>
      <c r="L614" s="454" t="s">
        <v>46</v>
      </c>
      <c r="M614" s="455">
        <v>-170181</v>
      </c>
      <c r="N614" s="456"/>
      <c r="O614" s="429"/>
    </row>
    <row r="615" spans="5:15" s="428" customFormat="1" ht="14.1" customHeight="1">
      <c r="E615" s="456"/>
      <c r="F615" s="456"/>
      <c r="G615" s="456"/>
      <c r="H615" s="456"/>
      <c r="I615" s="456"/>
      <c r="J615" s="456"/>
      <c r="K615" s="456"/>
      <c r="L615" s="456"/>
      <c r="M615" s="455" t="s">
        <v>863</v>
      </c>
      <c r="N615" s="455">
        <v>4829819</v>
      </c>
      <c r="O615" s="429"/>
    </row>
    <row r="616" spans="5:15" s="428" customFormat="1" ht="14.1" customHeight="1">
      <c r="E616" s="452" t="s">
        <v>447</v>
      </c>
      <c r="F616" s="452" t="s">
        <v>606</v>
      </c>
      <c r="G616" s="452" t="s">
        <v>821</v>
      </c>
      <c r="H616" s="452" t="s">
        <v>1171</v>
      </c>
      <c r="I616" s="452" t="s">
        <v>870</v>
      </c>
      <c r="J616" s="453">
        <v>99000</v>
      </c>
      <c r="K616" s="453" t="s">
        <v>621</v>
      </c>
      <c r="L616" s="454" t="s">
        <v>46</v>
      </c>
      <c r="M616" s="455">
        <v>858.45</v>
      </c>
      <c r="N616" s="456"/>
      <c r="O616" s="429"/>
    </row>
    <row r="617" spans="5:15" s="428" customFormat="1" ht="14.1" customHeight="1">
      <c r="E617" s="452" t="s">
        <v>447</v>
      </c>
      <c r="F617" s="452" t="s">
        <v>606</v>
      </c>
      <c r="G617" s="452" t="s">
        <v>628</v>
      </c>
      <c r="H617" s="452" t="s">
        <v>232</v>
      </c>
      <c r="I617" s="452" t="s">
        <v>233</v>
      </c>
      <c r="J617" s="453">
        <v>99000</v>
      </c>
      <c r="K617" s="453" t="s">
        <v>621</v>
      </c>
      <c r="L617" s="454" t="s">
        <v>46</v>
      </c>
      <c r="M617" s="455">
        <v>886.67</v>
      </c>
      <c r="N617" s="456"/>
      <c r="O617" s="429"/>
    </row>
    <row r="618" spans="5:15" s="428" customFormat="1" ht="14.1" customHeight="1">
      <c r="E618" s="452" t="s">
        <v>447</v>
      </c>
      <c r="F618" s="452" t="s">
        <v>606</v>
      </c>
      <c r="G618" s="452" t="s">
        <v>628</v>
      </c>
      <c r="H618" s="452" t="s">
        <v>232</v>
      </c>
      <c r="I618" s="452" t="s">
        <v>658</v>
      </c>
      <c r="J618" s="453">
        <v>99000</v>
      </c>
      <c r="K618" s="453" t="s">
        <v>621</v>
      </c>
      <c r="L618" s="454" t="s">
        <v>46</v>
      </c>
      <c r="M618" s="455">
        <v>25.32</v>
      </c>
      <c r="N618" s="456"/>
      <c r="O618" s="429"/>
    </row>
    <row r="619" spans="5:15" s="428" customFormat="1" ht="14.1" customHeight="1">
      <c r="E619" s="452" t="s">
        <v>447</v>
      </c>
      <c r="F619" s="452" t="s">
        <v>606</v>
      </c>
      <c r="G619" s="452" t="s">
        <v>223</v>
      </c>
      <c r="H619" s="452" t="s">
        <v>234</v>
      </c>
      <c r="I619" s="452" t="s">
        <v>658</v>
      </c>
      <c r="J619" s="453">
        <v>99000</v>
      </c>
      <c r="K619" s="453" t="s">
        <v>621</v>
      </c>
      <c r="L619" s="454" t="s">
        <v>46</v>
      </c>
      <c r="M619" s="455">
        <v>421.55</v>
      </c>
      <c r="N619" s="456"/>
      <c r="O619" s="429"/>
    </row>
    <row r="620" spans="5:15" s="428" customFormat="1" ht="14.1" customHeight="1">
      <c r="E620" s="452" t="s">
        <v>447</v>
      </c>
      <c r="F620" s="452" t="s">
        <v>606</v>
      </c>
      <c r="G620" s="452" t="s">
        <v>223</v>
      </c>
      <c r="H620" s="452" t="s">
        <v>234</v>
      </c>
      <c r="I620" s="452" t="s">
        <v>235</v>
      </c>
      <c r="J620" s="453">
        <v>99000</v>
      </c>
      <c r="K620" s="453" t="s">
        <v>621</v>
      </c>
      <c r="L620" s="454" t="s">
        <v>46</v>
      </c>
      <c r="M620" s="455">
        <v>3436.57</v>
      </c>
      <c r="N620" s="456"/>
      <c r="O620" s="429"/>
    </row>
    <row r="621" spans="5:15" s="428" customFormat="1" ht="14.1" customHeight="1">
      <c r="E621" s="452" t="s">
        <v>447</v>
      </c>
      <c r="F621" s="452" t="s">
        <v>606</v>
      </c>
      <c r="G621" s="452" t="s">
        <v>821</v>
      </c>
      <c r="H621" s="452" t="s">
        <v>1171</v>
      </c>
      <c r="I621" s="452" t="s">
        <v>658</v>
      </c>
      <c r="J621" s="453">
        <v>99000</v>
      </c>
      <c r="K621" s="453" t="s">
        <v>621</v>
      </c>
      <c r="L621" s="454" t="s">
        <v>46</v>
      </c>
      <c r="M621" s="455">
        <v>149.62</v>
      </c>
      <c r="N621" s="456"/>
      <c r="O621" s="429"/>
    </row>
    <row r="622" spans="5:15" s="428" customFormat="1" ht="14.1" customHeight="1">
      <c r="E622" s="456"/>
      <c r="F622" s="456"/>
      <c r="G622" s="456"/>
      <c r="H622" s="456"/>
      <c r="I622" s="456"/>
      <c r="J622" s="456"/>
      <c r="K622" s="456"/>
      <c r="L622" s="456"/>
      <c r="M622" s="455" t="s">
        <v>863</v>
      </c>
      <c r="N622" s="455">
        <v>5778.18</v>
      </c>
      <c r="O622" s="429"/>
    </row>
    <row r="623" spans="5:15" s="428" customFormat="1" ht="14.1" customHeight="1">
      <c r="E623" s="456"/>
      <c r="F623" s="456"/>
      <c r="G623" s="456"/>
      <c r="H623" s="456"/>
      <c r="I623" s="456"/>
      <c r="J623" s="456"/>
      <c r="K623" s="456"/>
      <c r="L623" s="456"/>
      <c r="M623" s="455" t="s">
        <v>1055</v>
      </c>
      <c r="N623" s="455">
        <v>-59654103.539999999</v>
      </c>
      <c r="O623" s="429"/>
    </row>
    <row r="624" spans="5:15" s="428" customFormat="1" ht="14.1" customHeight="1">
      <c r="E624" s="452" t="s">
        <v>447</v>
      </c>
      <c r="F624" s="452" t="s">
        <v>606</v>
      </c>
      <c r="G624" s="452" t="s">
        <v>1059</v>
      </c>
      <c r="H624" s="452">
        <v>17</v>
      </c>
      <c r="I624" s="452" t="s">
        <v>1172</v>
      </c>
      <c r="J624" s="453">
        <v>99000</v>
      </c>
      <c r="K624" s="453" t="s">
        <v>1057</v>
      </c>
      <c r="L624" s="454" t="s">
        <v>1173</v>
      </c>
      <c r="M624" s="455">
        <v>41788.379999999997</v>
      </c>
      <c r="N624" s="456"/>
      <c r="O624" s="429"/>
    </row>
    <row r="625" spans="5:15" s="428" customFormat="1" ht="14.1" customHeight="1">
      <c r="E625" s="456"/>
      <c r="F625" s="456"/>
      <c r="G625" s="456"/>
      <c r="H625" s="456"/>
      <c r="I625" s="456"/>
      <c r="J625" s="456"/>
      <c r="K625" s="456"/>
      <c r="L625" s="456"/>
      <c r="M625" s="455" t="s">
        <v>863</v>
      </c>
      <c r="N625" s="455">
        <v>41788.379999999997</v>
      </c>
      <c r="O625" s="429"/>
    </row>
    <row r="626" spans="5:15" s="428" customFormat="1" ht="14.1" customHeight="1">
      <c r="E626" s="452" t="s">
        <v>447</v>
      </c>
      <c r="F626" s="452" t="s">
        <v>606</v>
      </c>
      <c r="G626" s="452" t="s">
        <v>172</v>
      </c>
      <c r="H626" s="452">
        <v>404007</v>
      </c>
      <c r="I626" s="452" t="s">
        <v>1174</v>
      </c>
      <c r="J626" s="453">
        <v>99000</v>
      </c>
      <c r="K626" s="453" t="s">
        <v>174</v>
      </c>
      <c r="L626" s="454" t="s">
        <v>1173</v>
      </c>
      <c r="M626" s="455">
        <v>70000</v>
      </c>
      <c r="N626" s="456"/>
      <c r="O626" s="429"/>
    </row>
    <row r="627" spans="5:15" s="428" customFormat="1" ht="14.1" customHeight="1">
      <c r="E627" s="456"/>
      <c r="F627" s="456"/>
      <c r="G627" s="456"/>
      <c r="H627" s="456"/>
      <c r="I627" s="456"/>
      <c r="J627" s="456"/>
      <c r="K627" s="456"/>
      <c r="L627" s="456"/>
      <c r="M627" s="455" t="s">
        <v>863</v>
      </c>
      <c r="N627" s="455">
        <v>70000</v>
      </c>
      <c r="O627" s="429"/>
    </row>
    <row r="628" spans="5:15" s="428" customFormat="1" ht="14.1" customHeight="1">
      <c r="E628" s="452" t="s">
        <v>447</v>
      </c>
      <c r="F628" s="452" t="s">
        <v>606</v>
      </c>
      <c r="G628" s="452" t="s">
        <v>651</v>
      </c>
      <c r="H628" s="452" t="s">
        <v>1535</v>
      </c>
      <c r="I628" s="452" t="s">
        <v>1536</v>
      </c>
      <c r="J628" s="453">
        <v>99000</v>
      </c>
      <c r="K628" s="453" t="s">
        <v>675</v>
      </c>
      <c r="L628" s="454" t="s">
        <v>1173</v>
      </c>
      <c r="M628" s="455">
        <v>25000</v>
      </c>
      <c r="N628" s="456"/>
      <c r="O628" s="429"/>
    </row>
    <row r="629" spans="5:15" s="428" customFormat="1" ht="14.1" customHeight="1">
      <c r="E629" s="456"/>
      <c r="F629" s="456"/>
      <c r="G629" s="456"/>
      <c r="H629" s="456"/>
      <c r="I629" s="456"/>
      <c r="J629" s="456"/>
      <c r="K629" s="456"/>
      <c r="L629" s="456"/>
      <c r="M629" s="456"/>
      <c r="N629" s="456"/>
      <c r="O629" s="429"/>
    </row>
    <row r="630" spans="5:15" s="428" customFormat="1" ht="14.1" customHeight="1">
      <c r="E630" s="452" t="s">
        <v>447</v>
      </c>
      <c r="F630" s="452" t="s">
        <v>606</v>
      </c>
      <c r="G630" s="452" t="s">
        <v>834</v>
      </c>
      <c r="H630" s="452" t="s">
        <v>1179</v>
      </c>
      <c r="I630" s="452" t="s">
        <v>1176</v>
      </c>
      <c r="J630" s="453">
        <v>99000</v>
      </c>
      <c r="K630" s="453" t="s">
        <v>675</v>
      </c>
      <c r="L630" s="454" t="s">
        <v>1173</v>
      </c>
      <c r="M630" s="455">
        <v>3685</v>
      </c>
      <c r="N630" s="456"/>
      <c r="O630" s="429"/>
    </row>
    <row r="631" spans="5:15" s="428" customFormat="1" ht="14.1" customHeight="1">
      <c r="E631" s="452" t="s">
        <v>447</v>
      </c>
      <c r="F631" s="452" t="s">
        <v>606</v>
      </c>
      <c r="G631" s="452" t="s">
        <v>834</v>
      </c>
      <c r="H631" s="452" t="s">
        <v>1175</v>
      </c>
      <c r="I631" s="452" t="s">
        <v>1176</v>
      </c>
      <c r="J631" s="453">
        <v>99000</v>
      </c>
      <c r="K631" s="453" t="s">
        <v>675</v>
      </c>
      <c r="L631" s="454" t="s">
        <v>1173</v>
      </c>
      <c r="M631" s="455">
        <v>750</v>
      </c>
      <c r="N631" s="457"/>
      <c r="O631" s="429"/>
    </row>
    <row r="632" spans="5:15" s="428" customFormat="1" ht="14.1" customHeight="1">
      <c r="E632" s="452" t="s">
        <v>447</v>
      </c>
      <c r="F632" s="452" t="s">
        <v>606</v>
      </c>
      <c r="G632" s="452" t="s">
        <v>651</v>
      </c>
      <c r="H632" s="452" t="s">
        <v>1183</v>
      </c>
      <c r="I632" s="452" t="s">
        <v>1587</v>
      </c>
      <c r="J632" s="453">
        <v>99000</v>
      </c>
      <c r="K632" s="453" t="s">
        <v>675</v>
      </c>
      <c r="L632" s="454" t="s">
        <v>1173</v>
      </c>
      <c r="M632" s="455">
        <v>227108.35</v>
      </c>
      <c r="N632" s="457"/>
      <c r="O632" s="429"/>
    </row>
    <row r="633" spans="5:15" s="428" customFormat="1" ht="14.1" customHeight="1">
      <c r="E633" s="452" t="s">
        <v>447</v>
      </c>
      <c r="F633" s="452" t="s">
        <v>606</v>
      </c>
      <c r="G633" s="452" t="s">
        <v>877</v>
      </c>
      <c r="H633" s="452">
        <v>3641</v>
      </c>
      <c r="I633" s="452" t="s">
        <v>1587</v>
      </c>
      <c r="J633" s="453">
        <v>99000</v>
      </c>
      <c r="K633" s="453" t="s">
        <v>675</v>
      </c>
      <c r="L633" s="454" t="s">
        <v>1173</v>
      </c>
      <c r="M633" s="455">
        <v>8529.09</v>
      </c>
      <c r="N633" s="457"/>
      <c r="O633" s="429"/>
    </row>
    <row r="634" spans="5:15" s="428" customFormat="1" ht="14.1" customHeight="1">
      <c r="E634" s="452" t="s">
        <v>447</v>
      </c>
      <c r="F634" s="452" t="s">
        <v>606</v>
      </c>
      <c r="G634" s="452" t="s">
        <v>651</v>
      </c>
      <c r="H634" s="452" t="s">
        <v>1186</v>
      </c>
      <c r="I634" s="452" t="s">
        <v>1587</v>
      </c>
      <c r="J634" s="453">
        <v>99000</v>
      </c>
      <c r="K634" s="453" t="s">
        <v>675</v>
      </c>
      <c r="L634" s="454" t="s">
        <v>1173</v>
      </c>
      <c r="M634" s="455">
        <v>81517.100000000006</v>
      </c>
      <c r="N634" s="457"/>
      <c r="O634" s="429"/>
    </row>
    <row r="635" spans="5:15" s="428" customFormat="1" ht="14.1" customHeight="1">
      <c r="E635" s="452" t="s">
        <v>447</v>
      </c>
      <c r="F635" s="452" t="s">
        <v>606</v>
      </c>
      <c r="G635" s="452" t="s">
        <v>651</v>
      </c>
      <c r="H635" s="452" t="s">
        <v>1181</v>
      </c>
      <c r="I635" s="452" t="s">
        <v>1182</v>
      </c>
      <c r="J635" s="453">
        <v>99000</v>
      </c>
      <c r="K635" s="453" t="s">
        <v>675</v>
      </c>
      <c r="L635" s="454" t="s">
        <v>1173</v>
      </c>
      <c r="M635" s="455">
        <v>182928.4</v>
      </c>
      <c r="N635" s="457"/>
      <c r="O635" s="429"/>
    </row>
    <row r="636" spans="5:15" s="428" customFormat="1" ht="14.1" customHeight="1">
      <c r="E636" s="452" t="s">
        <v>447</v>
      </c>
      <c r="F636" s="452" t="s">
        <v>606</v>
      </c>
      <c r="G636" s="452" t="s">
        <v>651</v>
      </c>
      <c r="H636" s="452" t="s">
        <v>1540</v>
      </c>
      <c r="I636" s="452" t="s">
        <v>1587</v>
      </c>
      <c r="J636" s="453">
        <v>99000</v>
      </c>
      <c r="K636" s="453" t="s">
        <v>675</v>
      </c>
      <c r="L636" s="454" t="s">
        <v>1173</v>
      </c>
      <c r="M636" s="455">
        <v>35488.879999999997</v>
      </c>
      <c r="N636" s="457"/>
      <c r="O636" s="429"/>
    </row>
    <row r="637" spans="5:15" s="428" customFormat="1" ht="14.1" customHeight="1">
      <c r="E637" s="452" t="s">
        <v>447</v>
      </c>
      <c r="F637" s="452" t="s">
        <v>606</v>
      </c>
      <c r="G637" s="452" t="s">
        <v>651</v>
      </c>
      <c r="H637" s="452" t="s">
        <v>1541</v>
      </c>
      <c r="I637" s="452" t="s">
        <v>1587</v>
      </c>
      <c r="J637" s="453">
        <v>99000</v>
      </c>
      <c r="K637" s="453" t="s">
        <v>675</v>
      </c>
      <c r="L637" s="454" t="s">
        <v>1173</v>
      </c>
      <c r="M637" s="455">
        <v>15561.65</v>
      </c>
      <c r="N637" s="457"/>
      <c r="O637" s="429"/>
    </row>
    <row r="638" spans="5:15" s="428" customFormat="1" ht="14.1" customHeight="1">
      <c r="E638" s="452" t="s">
        <v>447</v>
      </c>
      <c r="F638" s="452" t="s">
        <v>606</v>
      </c>
      <c r="G638" s="452" t="s">
        <v>651</v>
      </c>
      <c r="H638" s="452" t="s">
        <v>1188</v>
      </c>
      <c r="I638" s="452" t="s">
        <v>1587</v>
      </c>
      <c r="J638" s="453">
        <v>99000</v>
      </c>
      <c r="K638" s="453" t="s">
        <v>675</v>
      </c>
      <c r="L638" s="454" t="s">
        <v>1173</v>
      </c>
      <c r="M638" s="455">
        <v>100000</v>
      </c>
      <c r="N638" s="457"/>
      <c r="O638" s="429"/>
    </row>
    <row r="639" spans="5:15" s="428" customFormat="1" ht="14.1" customHeight="1">
      <c r="E639" s="452" t="s">
        <v>447</v>
      </c>
      <c r="F639" s="452" t="s">
        <v>606</v>
      </c>
      <c r="G639" s="452" t="s">
        <v>651</v>
      </c>
      <c r="H639" s="452" t="s">
        <v>1532</v>
      </c>
      <c r="I639" s="452" t="s">
        <v>1587</v>
      </c>
      <c r="J639" s="453">
        <v>99000</v>
      </c>
      <c r="K639" s="453" t="s">
        <v>675</v>
      </c>
      <c r="L639" s="454" t="s">
        <v>1173</v>
      </c>
      <c r="M639" s="455">
        <v>208451.79</v>
      </c>
      <c r="N639" s="457"/>
      <c r="O639" s="429"/>
    </row>
    <row r="640" spans="5:15" s="428" customFormat="1" ht="14.1" customHeight="1">
      <c r="E640" s="452" t="s">
        <v>447</v>
      </c>
      <c r="F640" s="452" t="s">
        <v>606</v>
      </c>
      <c r="G640" s="452" t="s">
        <v>651</v>
      </c>
      <c r="H640" s="452" t="s">
        <v>1189</v>
      </c>
      <c r="I640" s="452" t="s">
        <v>1587</v>
      </c>
      <c r="J640" s="453">
        <v>99000</v>
      </c>
      <c r="K640" s="453" t="s">
        <v>675</v>
      </c>
      <c r="L640" s="454" t="s">
        <v>1173</v>
      </c>
      <c r="M640" s="455">
        <v>925</v>
      </c>
      <c r="N640" s="457"/>
      <c r="O640" s="429"/>
    </row>
    <row r="641" spans="5:15" s="428" customFormat="1" ht="14.1" customHeight="1">
      <c r="E641" s="452" t="s">
        <v>447</v>
      </c>
      <c r="F641" s="452" t="s">
        <v>606</v>
      </c>
      <c r="G641" s="452" t="s">
        <v>1235</v>
      </c>
      <c r="H641" s="452" t="s">
        <v>1184</v>
      </c>
      <c r="I641" s="452" t="s">
        <v>1587</v>
      </c>
      <c r="J641" s="453">
        <v>99000</v>
      </c>
      <c r="K641" s="453" t="s">
        <v>675</v>
      </c>
      <c r="L641" s="454" t="s">
        <v>1173</v>
      </c>
      <c r="M641" s="455">
        <v>98995.6</v>
      </c>
      <c r="N641" s="457"/>
      <c r="O641" s="429"/>
    </row>
    <row r="642" spans="5:15" s="428" customFormat="1" ht="14.1" customHeight="1">
      <c r="E642" s="452" t="s">
        <v>447</v>
      </c>
      <c r="F642" s="452" t="s">
        <v>606</v>
      </c>
      <c r="G642" s="452" t="s">
        <v>651</v>
      </c>
      <c r="H642" s="452" t="s">
        <v>1187</v>
      </c>
      <c r="I642" s="452" t="s">
        <v>1587</v>
      </c>
      <c r="J642" s="453">
        <v>99000</v>
      </c>
      <c r="K642" s="453" t="s">
        <v>675</v>
      </c>
      <c r="L642" s="454" t="s">
        <v>1173</v>
      </c>
      <c r="M642" s="455">
        <v>139019.70000000001</v>
      </c>
      <c r="N642" s="457"/>
      <c r="O642" s="429"/>
    </row>
    <row r="643" spans="5:15" s="428" customFormat="1" ht="14.1" customHeight="1">
      <c r="E643" s="452" t="s">
        <v>447</v>
      </c>
      <c r="F643" s="452" t="s">
        <v>606</v>
      </c>
      <c r="G643" s="452" t="s">
        <v>651</v>
      </c>
      <c r="H643" s="452" t="s">
        <v>1185</v>
      </c>
      <c r="I643" s="452" t="s">
        <v>1587</v>
      </c>
      <c r="J643" s="453">
        <v>99000</v>
      </c>
      <c r="K643" s="453" t="s">
        <v>675</v>
      </c>
      <c r="L643" s="454" t="s">
        <v>1173</v>
      </c>
      <c r="M643" s="455">
        <v>90000</v>
      </c>
      <c r="N643" s="457"/>
      <c r="O643" s="429"/>
    </row>
    <row r="644" spans="5:15" s="428" customFormat="1" ht="14.1" customHeight="1">
      <c r="E644" s="452" t="s">
        <v>447</v>
      </c>
      <c r="F644" s="452" t="s">
        <v>606</v>
      </c>
      <c r="G644" s="452" t="s">
        <v>1063</v>
      </c>
      <c r="H644" s="452">
        <v>2920</v>
      </c>
      <c r="I644" s="452" t="s">
        <v>1534</v>
      </c>
      <c r="J644" s="453">
        <v>99000</v>
      </c>
      <c r="K644" s="453" t="s">
        <v>675</v>
      </c>
      <c r="L644" s="454" t="s">
        <v>1173</v>
      </c>
      <c r="M644" s="455">
        <v>545437.80000000005</v>
      </c>
      <c r="N644" s="457"/>
      <c r="O644" s="429"/>
    </row>
    <row r="645" spans="5:15" s="428" customFormat="1" ht="14.1" customHeight="1">
      <c r="E645" s="452" t="s">
        <v>447</v>
      </c>
      <c r="F645" s="452" t="s">
        <v>606</v>
      </c>
      <c r="G645" s="452" t="s">
        <v>651</v>
      </c>
      <c r="H645" s="452" t="s">
        <v>1539</v>
      </c>
      <c r="I645" s="452" t="s">
        <v>1587</v>
      </c>
      <c r="J645" s="453">
        <v>99000</v>
      </c>
      <c r="K645" s="453" t="s">
        <v>675</v>
      </c>
      <c r="L645" s="454" t="s">
        <v>1173</v>
      </c>
      <c r="M645" s="455">
        <v>16218</v>
      </c>
      <c r="N645" s="457"/>
      <c r="O645" s="429"/>
    </row>
    <row r="646" spans="5:15" s="428" customFormat="1" ht="14.1" customHeight="1">
      <c r="E646" s="452" t="s">
        <v>447</v>
      </c>
      <c r="F646" s="452" t="s">
        <v>606</v>
      </c>
      <c r="G646" s="452" t="s">
        <v>1235</v>
      </c>
      <c r="H646" s="452">
        <v>32</v>
      </c>
      <c r="I646" s="452" t="s">
        <v>1587</v>
      </c>
      <c r="J646" s="453">
        <v>99000</v>
      </c>
      <c r="K646" s="453" t="s">
        <v>675</v>
      </c>
      <c r="L646" s="454" t="s">
        <v>1173</v>
      </c>
      <c r="M646" s="455">
        <v>135000</v>
      </c>
      <c r="N646" s="457"/>
      <c r="O646" s="429"/>
    </row>
    <row r="647" spans="5:15" s="428" customFormat="1" ht="14.1" customHeight="1">
      <c r="E647" s="452" t="s">
        <v>447</v>
      </c>
      <c r="F647" s="452" t="s">
        <v>606</v>
      </c>
      <c r="G647" s="452" t="s">
        <v>1235</v>
      </c>
      <c r="H647" s="452">
        <v>31</v>
      </c>
      <c r="I647" s="452" t="s">
        <v>1587</v>
      </c>
      <c r="J647" s="453">
        <v>99000</v>
      </c>
      <c r="K647" s="453" t="s">
        <v>675</v>
      </c>
      <c r="L647" s="454" t="s">
        <v>1173</v>
      </c>
      <c r="M647" s="455">
        <v>45811.72</v>
      </c>
      <c r="N647" s="456"/>
      <c r="O647" s="429"/>
    </row>
    <row r="648" spans="5:15" s="428" customFormat="1" ht="14.1" customHeight="1">
      <c r="E648" s="452" t="s">
        <v>447</v>
      </c>
      <c r="F648" s="452" t="s">
        <v>606</v>
      </c>
      <c r="G648" s="452" t="s">
        <v>651</v>
      </c>
      <c r="H648" s="452" t="s">
        <v>1537</v>
      </c>
      <c r="I648" s="452" t="s">
        <v>1538</v>
      </c>
      <c r="J648" s="453">
        <v>99000</v>
      </c>
      <c r="K648" s="453" t="s">
        <v>675</v>
      </c>
      <c r="L648" s="454" t="s">
        <v>1173</v>
      </c>
      <c r="M648" s="455">
        <v>95528.39</v>
      </c>
      <c r="N648" s="456"/>
      <c r="O648" s="429"/>
    </row>
    <row r="649" spans="5:15" s="428" customFormat="1" ht="14.1" customHeight="1">
      <c r="E649" s="452" t="s">
        <v>447</v>
      </c>
      <c r="F649" s="452" t="s">
        <v>606</v>
      </c>
      <c r="G649" s="452" t="s">
        <v>1235</v>
      </c>
      <c r="H649" s="452">
        <v>36</v>
      </c>
      <c r="I649" s="452" t="s">
        <v>1587</v>
      </c>
      <c r="J649" s="453">
        <v>99000</v>
      </c>
      <c r="K649" s="453" t="s">
        <v>675</v>
      </c>
      <c r="L649" s="454" t="s">
        <v>1173</v>
      </c>
      <c r="M649" s="455">
        <v>42682.61</v>
      </c>
      <c r="N649" s="456"/>
      <c r="O649" s="429"/>
    </row>
    <row r="650" spans="5:15" s="428" customFormat="1" ht="14.1" customHeight="1">
      <c r="E650" s="452" t="s">
        <v>447</v>
      </c>
      <c r="F650" s="452" t="s">
        <v>606</v>
      </c>
      <c r="G650" s="452" t="s">
        <v>1235</v>
      </c>
      <c r="H650" s="452">
        <v>13100</v>
      </c>
      <c r="I650" s="452" t="s">
        <v>1178</v>
      </c>
      <c r="J650" s="453">
        <v>99000</v>
      </c>
      <c r="K650" s="453" t="s">
        <v>675</v>
      </c>
      <c r="L650" s="454" t="s">
        <v>1173</v>
      </c>
      <c r="M650" s="455">
        <v>2603</v>
      </c>
      <c r="N650" s="456"/>
      <c r="O650" s="429"/>
    </row>
    <row r="651" spans="5:15" s="428" customFormat="1" ht="14.1" customHeight="1">
      <c r="E651" s="452" t="s">
        <v>447</v>
      </c>
      <c r="F651" s="452" t="s">
        <v>606</v>
      </c>
      <c r="G651" s="452" t="s">
        <v>172</v>
      </c>
      <c r="H651" s="452">
        <v>399487399491</v>
      </c>
      <c r="I651" s="452">
        <v>399487</v>
      </c>
      <c r="J651" s="453">
        <v>99000</v>
      </c>
      <c r="K651" s="453" t="s">
        <v>675</v>
      </c>
      <c r="L651" s="454" t="s">
        <v>1173</v>
      </c>
      <c r="M651" s="455">
        <v>19206.150000000001</v>
      </c>
      <c r="N651" s="456"/>
      <c r="O651" s="429"/>
    </row>
    <row r="652" spans="5:15" s="428" customFormat="1" ht="14.1" customHeight="1">
      <c r="E652" s="452" t="s">
        <v>447</v>
      </c>
      <c r="F652" s="452" t="s">
        <v>606</v>
      </c>
      <c r="G652" s="452" t="s">
        <v>1429</v>
      </c>
      <c r="H652" s="452" t="s">
        <v>753</v>
      </c>
      <c r="I652" s="452" t="s">
        <v>755</v>
      </c>
      <c r="J652" s="453">
        <v>99000</v>
      </c>
      <c r="K652" s="453" t="s">
        <v>675</v>
      </c>
      <c r="L652" s="454" t="s">
        <v>1173</v>
      </c>
      <c r="M652" s="455">
        <v>88371.43</v>
      </c>
      <c r="N652" s="456"/>
      <c r="O652" s="429"/>
    </row>
    <row r="653" spans="5:15" s="428" customFormat="1" ht="14.1" customHeight="1">
      <c r="E653" s="452" t="s">
        <v>447</v>
      </c>
      <c r="F653" s="452" t="s">
        <v>606</v>
      </c>
      <c r="G653" s="452" t="s">
        <v>1235</v>
      </c>
      <c r="H653" s="452">
        <v>41</v>
      </c>
      <c r="I653" s="452" t="s">
        <v>1533</v>
      </c>
      <c r="J653" s="453">
        <v>99000</v>
      </c>
      <c r="K653" s="453" t="s">
        <v>675</v>
      </c>
      <c r="L653" s="454" t="s">
        <v>1173</v>
      </c>
      <c r="M653" s="455">
        <v>3337.77</v>
      </c>
      <c r="N653" s="456"/>
      <c r="O653" s="429"/>
    </row>
    <row r="654" spans="5:15" s="428" customFormat="1" ht="14.1" customHeight="1">
      <c r="E654" s="452" t="s">
        <v>447</v>
      </c>
      <c r="F654" s="452" t="s">
        <v>606</v>
      </c>
      <c r="G654" s="452" t="s">
        <v>1429</v>
      </c>
      <c r="H654" s="452" t="s">
        <v>753</v>
      </c>
      <c r="I654" s="452" t="s">
        <v>754</v>
      </c>
      <c r="J654" s="453">
        <v>99000</v>
      </c>
      <c r="K654" s="453" t="s">
        <v>675</v>
      </c>
      <c r="L654" s="454" t="s">
        <v>1173</v>
      </c>
      <c r="M654" s="455">
        <v>-25877.58</v>
      </c>
      <c r="N654" s="456"/>
      <c r="O654" s="429"/>
    </row>
    <row r="655" spans="5:15" s="428" customFormat="1" ht="14.1" customHeight="1">
      <c r="E655" s="452" t="s">
        <v>447</v>
      </c>
      <c r="F655" s="452" t="s">
        <v>606</v>
      </c>
      <c r="G655" s="452" t="s">
        <v>834</v>
      </c>
      <c r="H655" s="452" t="s">
        <v>1180</v>
      </c>
      <c r="I655" s="452" t="s">
        <v>1587</v>
      </c>
      <c r="J655" s="453">
        <v>99000</v>
      </c>
      <c r="K655" s="453" t="s">
        <v>675</v>
      </c>
      <c r="L655" s="454" t="s">
        <v>1173</v>
      </c>
      <c r="M655" s="455">
        <v>2700</v>
      </c>
      <c r="N655" s="456"/>
      <c r="O655" s="429"/>
    </row>
    <row r="656" spans="5:15" s="428" customFormat="1" ht="14.1" customHeight="1">
      <c r="E656" s="452" t="s">
        <v>447</v>
      </c>
      <c r="F656" s="452" t="s">
        <v>606</v>
      </c>
      <c r="G656" s="452" t="s">
        <v>1429</v>
      </c>
      <c r="H656" s="452" t="s">
        <v>753</v>
      </c>
      <c r="I656" s="452" t="s">
        <v>754</v>
      </c>
      <c r="J656" s="453">
        <v>99000</v>
      </c>
      <c r="K656" s="453" t="s">
        <v>675</v>
      </c>
      <c r="L656" s="454" t="s">
        <v>1173</v>
      </c>
      <c r="M656" s="455">
        <v>10677.58</v>
      </c>
      <c r="N656" s="456"/>
      <c r="O656" s="429"/>
    </row>
    <row r="657" spans="5:15" s="428" customFormat="1" ht="14.1" customHeight="1">
      <c r="E657" s="452" t="s">
        <v>447</v>
      </c>
      <c r="F657" s="452" t="s">
        <v>606</v>
      </c>
      <c r="G657" s="452" t="s">
        <v>651</v>
      </c>
      <c r="H657" s="452" t="s">
        <v>1177</v>
      </c>
      <c r="I657" s="452" t="s">
        <v>1587</v>
      </c>
      <c r="J657" s="453">
        <v>99000</v>
      </c>
      <c r="K657" s="453" t="s">
        <v>675</v>
      </c>
      <c r="L657" s="454" t="s">
        <v>1173</v>
      </c>
      <c r="M657" s="455">
        <v>29554.93</v>
      </c>
      <c r="N657" s="456"/>
      <c r="O657" s="429"/>
    </row>
    <row r="658" spans="5:15" s="428" customFormat="1" ht="14.1" customHeight="1">
      <c r="E658" s="456"/>
      <c r="F658" s="456"/>
      <c r="G658" s="456"/>
      <c r="H658" s="456"/>
      <c r="I658" s="456"/>
      <c r="J658" s="456"/>
      <c r="K658" s="456"/>
      <c r="L658" s="456"/>
      <c r="M658" s="455" t="s">
        <v>863</v>
      </c>
      <c r="N658" s="455">
        <v>2229212.36</v>
      </c>
      <c r="O658" s="429"/>
    </row>
    <row r="659" spans="5:15" s="428" customFormat="1" ht="14.1" customHeight="1">
      <c r="E659" s="452" t="s">
        <v>447</v>
      </c>
      <c r="F659" s="452" t="s">
        <v>606</v>
      </c>
      <c r="G659" s="452" t="s">
        <v>727</v>
      </c>
      <c r="H659" s="452" t="s">
        <v>756</v>
      </c>
      <c r="I659" s="452" t="s">
        <v>757</v>
      </c>
      <c r="J659" s="453">
        <v>90000</v>
      </c>
      <c r="K659" s="453" t="s">
        <v>633</v>
      </c>
      <c r="L659" s="454" t="s">
        <v>1173</v>
      </c>
      <c r="M659" s="455">
        <v>3400000</v>
      </c>
      <c r="N659" s="456"/>
      <c r="O659" s="429"/>
    </row>
    <row r="660" spans="5:15" s="428" customFormat="1" ht="14.1" customHeight="1">
      <c r="E660" s="456"/>
      <c r="F660" s="456"/>
      <c r="G660" s="456"/>
      <c r="H660" s="456"/>
      <c r="I660" s="456"/>
      <c r="J660" s="456"/>
      <c r="K660" s="456"/>
      <c r="L660" s="456"/>
      <c r="M660" s="455" t="s">
        <v>863</v>
      </c>
      <c r="N660" s="455">
        <v>3400000</v>
      </c>
      <c r="O660" s="429"/>
    </row>
    <row r="661" spans="5:15" s="428" customFormat="1" ht="14.1" customHeight="1">
      <c r="E661" s="452" t="s">
        <v>447</v>
      </c>
      <c r="F661" s="452" t="s">
        <v>606</v>
      </c>
      <c r="G661" s="452" t="s">
        <v>1235</v>
      </c>
      <c r="H661" s="452">
        <v>42</v>
      </c>
      <c r="I661" s="452" t="s">
        <v>1587</v>
      </c>
      <c r="J661" s="453">
        <v>90000</v>
      </c>
      <c r="K661" s="453" t="s">
        <v>1542</v>
      </c>
      <c r="L661" s="454" t="s">
        <v>1173</v>
      </c>
      <c r="M661" s="455">
        <v>22927</v>
      </c>
      <c r="N661" s="456"/>
      <c r="O661" s="429"/>
    </row>
    <row r="662" spans="5:15" s="428" customFormat="1" ht="14.1" customHeight="1">
      <c r="E662" s="456"/>
      <c r="F662" s="456"/>
      <c r="G662" s="456"/>
      <c r="H662" s="456"/>
      <c r="I662" s="456"/>
      <c r="J662" s="456"/>
      <c r="K662" s="456"/>
      <c r="L662" s="456"/>
      <c r="M662" s="455" t="s">
        <v>863</v>
      </c>
      <c r="N662" s="455">
        <v>22927</v>
      </c>
      <c r="O662" s="429"/>
    </row>
    <row r="663" spans="5:15" s="428" customFormat="1" ht="14.1" customHeight="1">
      <c r="E663" s="452" t="s">
        <v>447</v>
      </c>
      <c r="F663" s="452" t="s">
        <v>606</v>
      </c>
      <c r="G663" s="452" t="s">
        <v>680</v>
      </c>
      <c r="H663" s="452" t="s">
        <v>1543</v>
      </c>
      <c r="I663" s="452" t="s">
        <v>210</v>
      </c>
      <c r="J663" s="453">
        <v>90000</v>
      </c>
      <c r="K663" s="453" t="s">
        <v>703</v>
      </c>
      <c r="L663" s="454" t="s">
        <v>1173</v>
      </c>
      <c r="M663" s="455">
        <v>3400000</v>
      </c>
      <c r="N663" s="456"/>
      <c r="O663" s="429"/>
    </row>
    <row r="664" spans="5:15" s="428" customFormat="1" ht="14.1" customHeight="1">
      <c r="E664" s="456"/>
      <c r="F664" s="456"/>
      <c r="G664" s="456"/>
      <c r="H664" s="456"/>
      <c r="I664" s="456"/>
      <c r="J664" s="456"/>
      <c r="K664" s="456"/>
      <c r="L664" s="456"/>
      <c r="M664" s="455" t="s">
        <v>863</v>
      </c>
      <c r="N664" s="455">
        <v>3400000</v>
      </c>
      <c r="O664" s="429"/>
    </row>
    <row r="665" spans="5:15" s="428" customFormat="1" ht="14.1" customHeight="1">
      <c r="E665" s="456"/>
      <c r="F665" s="456"/>
      <c r="G665" s="456"/>
      <c r="H665" s="456"/>
      <c r="I665" s="456"/>
      <c r="J665" s="456"/>
      <c r="K665" s="456"/>
      <c r="L665" s="456"/>
      <c r="M665" s="455" t="s">
        <v>1055</v>
      </c>
      <c r="N665" s="455">
        <v>9163927.7400000002</v>
      </c>
      <c r="O665" s="429"/>
    </row>
    <row r="666" spans="5:15" s="428" customFormat="1" ht="14.1" customHeight="1">
      <c r="E666" s="452" t="s">
        <v>447</v>
      </c>
      <c r="F666" s="452" t="s">
        <v>606</v>
      </c>
      <c r="G666" s="452" t="s">
        <v>865</v>
      </c>
      <c r="H666" s="452">
        <v>913880</v>
      </c>
      <c r="I666" s="452" t="s">
        <v>227</v>
      </c>
      <c r="J666" s="453">
        <v>99000</v>
      </c>
      <c r="K666" s="453" t="s">
        <v>675</v>
      </c>
      <c r="L666" s="454" t="s">
        <v>1706</v>
      </c>
      <c r="M666" s="455">
        <v>931.7</v>
      </c>
      <c r="N666" s="456"/>
      <c r="O666" s="429"/>
    </row>
    <row r="667" spans="5:15" s="428" customFormat="1" ht="14.1" customHeight="1">
      <c r="E667" s="452" t="s">
        <v>447</v>
      </c>
      <c r="F667" s="452" t="s">
        <v>606</v>
      </c>
      <c r="G667" s="452" t="s">
        <v>634</v>
      </c>
      <c r="H667" s="452" t="s">
        <v>758</v>
      </c>
      <c r="I667" s="452" t="s">
        <v>759</v>
      </c>
      <c r="J667" s="453">
        <v>99000</v>
      </c>
      <c r="K667" s="453" t="s">
        <v>675</v>
      </c>
      <c r="L667" s="454" t="s">
        <v>1706</v>
      </c>
      <c r="M667" s="455">
        <v>-45811.72</v>
      </c>
      <c r="N667" s="456"/>
      <c r="O667" s="429"/>
    </row>
    <row r="668" spans="5:15" s="428" customFormat="1" ht="14.1" customHeight="1">
      <c r="E668" s="456"/>
      <c r="F668" s="456"/>
      <c r="G668" s="456"/>
      <c r="H668" s="456"/>
      <c r="I668" s="456"/>
      <c r="J668" s="456"/>
      <c r="K668" s="456"/>
      <c r="L668" s="456"/>
      <c r="M668" s="455" t="s">
        <v>863</v>
      </c>
      <c r="N668" s="455">
        <v>-44880.02</v>
      </c>
      <c r="O668" s="429"/>
    </row>
    <row r="669" spans="5:15" s="428" customFormat="1" ht="14.1" customHeight="1">
      <c r="E669" s="452" t="s">
        <v>447</v>
      </c>
      <c r="F669" s="452" t="s">
        <v>606</v>
      </c>
      <c r="G669" s="452" t="s">
        <v>634</v>
      </c>
      <c r="H669" s="452" t="s">
        <v>1190</v>
      </c>
      <c r="I669" s="452" t="s">
        <v>1164</v>
      </c>
      <c r="J669" s="453">
        <v>99000</v>
      </c>
      <c r="K669" s="453" t="s">
        <v>1579</v>
      </c>
      <c r="L669" s="454" t="s">
        <v>1706</v>
      </c>
      <c r="M669" s="455">
        <v>-3927276</v>
      </c>
      <c r="N669" s="456"/>
      <c r="O669" s="429"/>
    </row>
    <row r="670" spans="5:15" s="428" customFormat="1" ht="14.1" customHeight="1">
      <c r="E670" s="456"/>
      <c r="F670" s="456"/>
      <c r="G670" s="456"/>
      <c r="H670" s="456"/>
      <c r="I670" s="456"/>
      <c r="J670" s="456"/>
      <c r="K670" s="456"/>
      <c r="L670" s="456"/>
      <c r="M670" s="455" t="s">
        <v>863</v>
      </c>
      <c r="N670" s="455">
        <v>-3927276</v>
      </c>
      <c r="O670" s="429"/>
    </row>
    <row r="671" spans="5:15" s="428" customFormat="1" ht="14.1" customHeight="1">
      <c r="E671" s="452" t="s">
        <v>447</v>
      </c>
      <c r="F671" s="452" t="s">
        <v>606</v>
      </c>
      <c r="G671" s="452" t="s">
        <v>760</v>
      </c>
      <c r="H671" s="452">
        <v>21047482</v>
      </c>
      <c r="I671" s="452" t="s">
        <v>761</v>
      </c>
      <c r="J671" s="453">
        <v>99000</v>
      </c>
      <c r="K671" s="453" t="s">
        <v>1545</v>
      </c>
      <c r="L671" s="454" t="s">
        <v>1706</v>
      </c>
      <c r="M671" s="455">
        <v>18563.75</v>
      </c>
      <c r="N671" s="456"/>
      <c r="O671" s="429"/>
    </row>
    <row r="672" spans="5:15" s="428" customFormat="1" ht="14.1" customHeight="1">
      <c r="E672" s="452" t="s">
        <v>447</v>
      </c>
      <c r="F672" s="452" t="s">
        <v>606</v>
      </c>
      <c r="G672" s="452" t="s">
        <v>760</v>
      </c>
      <c r="H672" s="452">
        <v>2326.0030139999999</v>
      </c>
      <c r="I672" s="452" t="s">
        <v>761</v>
      </c>
      <c r="J672" s="453">
        <v>99000</v>
      </c>
      <c r="K672" s="453" t="s">
        <v>1545</v>
      </c>
      <c r="L672" s="454" t="s">
        <v>1706</v>
      </c>
      <c r="M672" s="455">
        <v>5425</v>
      </c>
      <c r="N672" s="456"/>
      <c r="O672" s="429"/>
    </row>
    <row r="673" spans="5:15" s="428" customFormat="1" ht="14.1" customHeight="1">
      <c r="E673" s="452" t="s">
        <v>447</v>
      </c>
      <c r="F673" s="452" t="s">
        <v>606</v>
      </c>
      <c r="G673" s="452" t="s">
        <v>733</v>
      </c>
      <c r="H673" s="452">
        <v>506</v>
      </c>
      <c r="I673" s="452" t="s">
        <v>1544</v>
      </c>
      <c r="J673" s="453">
        <v>99000</v>
      </c>
      <c r="K673" s="453" t="s">
        <v>1545</v>
      </c>
      <c r="L673" s="454" t="s">
        <v>1706</v>
      </c>
      <c r="M673" s="455">
        <v>119</v>
      </c>
      <c r="N673" s="456"/>
      <c r="O673" s="429"/>
    </row>
    <row r="674" spans="5:15" s="428" customFormat="1" ht="14.1" customHeight="1">
      <c r="E674" s="456"/>
      <c r="F674" s="456"/>
      <c r="G674" s="456"/>
      <c r="H674" s="456"/>
      <c r="I674" s="456"/>
      <c r="J674" s="456"/>
      <c r="K674" s="456"/>
      <c r="L674" s="456"/>
      <c r="M674" s="455" t="s">
        <v>863</v>
      </c>
      <c r="N674" s="455">
        <v>24107.75</v>
      </c>
      <c r="O674" s="429"/>
    </row>
    <row r="675" spans="5:15" s="428" customFormat="1" ht="14.1" customHeight="1">
      <c r="E675" s="452" t="s">
        <v>447</v>
      </c>
      <c r="F675" s="452" t="s">
        <v>606</v>
      </c>
      <c r="G675" s="452" t="s">
        <v>634</v>
      </c>
      <c r="H675" s="452" t="s">
        <v>762</v>
      </c>
      <c r="I675" s="452" t="s">
        <v>634</v>
      </c>
      <c r="J675" s="453">
        <v>99000</v>
      </c>
      <c r="K675" s="453" t="s">
        <v>644</v>
      </c>
      <c r="L675" s="454" t="s">
        <v>1706</v>
      </c>
      <c r="M675" s="455">
        <v>-155521.1</v>
      </c>
      <c r="N675" s="456"/>
      <c r="O675" s="429"/>
    </row>
    <row r="676" spans="5:15" s="428" customFormat="1" ht="14.1" customHeight="1">
      <c r="E676" s="456"/>
      <c r="F676" s="456"/>
      <c r="G676" s="456"/>
      <c r="H676" s="456"/>
      <c r="I676" s="456"/>
      <c r="J676" s="456"/>
      <c r="K676" s="456"/>
      <c r="L676" s="456"/>
      <c r="M676" s="455" t="s">
        <v>863</v>
      </c>
      <c r="N676" s="455">
        <v>-155521.1</v>
      </c>
      <c r="O676" s="429"/>
    </row>
    <row r="677" spans="5:15" s="428" customFormat="1" ht="14.1" customHeight="1">
      <c r="E677" s="452" t="s">
        <v>447</v>
      </c>
      <c r="F677" s="452" t="s">
        <v>606</v>
      </c>
      <c r="G677" s="452" t="s">
        <v>873</v>
      </c>
      <c r="H677" s="452">
        <v>135705</v>
      </c>
      <c r="I677" s="452" t="s">
        <v>163</v>
      </c>
      <c r="J677" s="453">
        <v>99000</v>
      </c>
      <c r="K677" s="453" t="s">
        <v>617</v>
      </c>
      <c r="L677" s="454" t="s">
        <v>1706</v>
      </c>
      <c r="M677" s="455">
        <v>15743.99</v>
      </c>
      <c r="N677" s="456"/>
      <c r="O677" s="429"/>
    </row>
    <row r="678" spans="5:15" s="428" customFormat="1" ht="14.1" customHeight="1">
      <c r="E678" s="456"/>
      <c r="F678" s="456"/>
      <c r="G678" s="456"/>
      <c r="H678" s="456"/>
      <c r="I678" s="456"/>
      <c r="J678" s="456"/>
      <c r="K678" s="456"/>
      <c r="L678" s="456"/>
      <c r="M678" s="456"/>
      <c r="N678" s="456"/>
      <c r="O678" s="429"/>
    </row>
    <row r="679" spans="5:15" s="428" customFormat="1" ht="14.1" customHeight="1">
      <c r="E679" s="452" t="s">
        <v>447</v>
      </c>
      <c r="F679" s="452" t="s">
        <v>606</v>
      </c>
      <c r="G679" s="452" t="s">
        <v>1546</v>
      </c>
      <c r="H679" s="452">
        <v>526</v>
      </c>
      <c r="I679" s="452" t="s">
        <v>1547</v>
      </c>
      <c r="J679" s="453">
        <v>99000</v>
      </c>
      <c r="K679" s="453" t="s">
        <v>617</v>
      </c>
      <c r="L679" s="454" t="s">
        <v>1706</v>
      </c>
      <c r="M679" s="455">
        <v>525</v>
      </c>
      <c r="N679" s="456"/>
      <c r="O679" s="429"/>
    </row>
    <row r="680" spans="5:15" s="428" customFormat="1" ht="14.1" customHeight="1">
      <c r="E680" s="456"/>
      <c r="F680" s="456"/>
      <c r="G680" s="456"/>
      <c r="H680" s="456"/>
      <c r="I680" s="456"/>
      <c r="J680" s="456"/>
      <c r="K680" s="456"/>
      <c r="L680" s="456"/>
      <c r="M680" s="455" t="s">
        <v>863</v>
      </c>
      <c r="N680" s="455">
        <v>16268.99</v>
      </c>
      <c r="O680" s="429"/>
    </row>
    <row r="681" spans="5:15" s="428" customFormat="1" ht="14.1" customHeight="1">
      <c r="E681" s="452" t="s">
        <v>447</v>
      </c>
      <c r="F681" s="452" t="s">
        <v>606</v>
      </c>
      <c r="G681" s="452" t="s">
        <v>634</v>
      </c>
      <c r="H681" s="452" t="s">
        <v>758</v>
      </c>
      <c r="I681" s="452" t="s">
        <v>166</v>
      </c>
      <c r="J681" s="453">
        <v>99000</v>
      </c>
      <c r="K681" s="453" t="s">
        <v>732</v>
      </c>
      <c r="L681" s="454" t="s">
        <v>1706</v>
      </c>
      <c r="M681" s="455">
        <v>-6078260</v>
      </c>
      <c r="N681" s="456"/>
      <c r="O681" s="429"/>
    </row>
    <row r="682" spans="5:15" s="428" customFormat="1" ht="14.1" customHeight="1">
      <c r="E682" s="456"/>
      <c r="F682" s="456"/>
      <c r="G682" s="456"/>
      <c r="H682" s="456"/>
      <c r="I682" s="456"/>
      <c r="J682" s="456"/>
      <c r="K682" s="456"/>
      <c r="L682" s="456"/>
      <c r="M682" s="455" t="s">
        <v>863</v>
      </c>
      <c r="N682" s="455">
        <v>-6078260</v>
      </c>
      <c r="O682" s="429"/>
    </row>
    <row r="683" spans="5:15" s="428" customFormat="1" ht="14.1" customHeight="1">
      <c r="E683" s="452" t="s">
        <v>447</v>
      </c>
      <c r="F683" s="452" t="s">
        <v>606</v>
      </c>
      <c r="G683" s="452" t="s">
        <v>634</v>
      </c>
      <c r="H683" s="452" t="s">
        <v>763</v>
      </c>
      <c r="I683" s="452" t="s">
        <v>634</v>
      </c>
      <c r="J683" s="453">
        <v>90000</v>
      </c>
      <c r="K683" s="453" t="s">
        <v>703</v>
      </c>
      <c r="L683" s="454" t="s">
        <v>1706</v>
      </c>
      <c r="M683" s="455">
        <v>-140807.71</v>
      </c>
      <c r="N683" s="456"/>
      <c r="O683" s="429"/>
    </row>
    <row r="684" spans="5:15" s="428" customFormat="1" ht="14.1" customHeight="1">
      <c r="E684" s="452" t="s">
        <v>447</v>
      </c>
      <c r="F684" s="452" t="s">
        <v>606</v>
      </c>
      <c r="G684" s="452" t="s">
        <v>634</v>
      </c>
      <c r="H684" s="452" t="s">
        <v>1548</v>
      </c>
      <c r="I684" s="452" t="s">
        <v>237</v>
      </c>
      <c r="J684" s="453">
        <v>90000</v>
      </c>
      <c r="K684" s="453" t="s">
        <v>703</v>
      </c>
      <c r="L684" s="454" t="s">
        <v>1706</v>
      </c>
      <c r="M684" s="455">
        <v>-4527053</v>
      </c>
      <c r="N684" s="456"/>
      <c r="O684" s="429"/>
    </row>
    <row r="685" spans="5:15" s="428" customFormat="1" ht="14.1" customHeight="1">
      <c r="E685" s="452" t="s">
        <v>447</v>
      </c>
      <c r="F685" s="452" t="s">
        <v>606</v>
      </c>
      <c r="G685" s="452" t="s">
        <v>634</v>
      </c>
      <c r="H685" s="452" t="s">
        <v>764</v>
      </c>
      <c r="I685" s="452" t="s">
        <v>634</v>
      </c>
      <c r="J685" s="453">
        <v>90000</v>
      </c>
      <c r="K685" s="453" t="s">
        <v>703</v>
      </c>
      <c r="L685" s="454" t="s">
        <v>1706</v>
      </c>
      <c r="M685" s="455">
        <v>-53400</v>
      </c>
      <c r="N685" s="456"/>
      <c r="O685" s="429"/>
    </row>
    <row r="686" spans="5:15" s="428" customFormat="1" ht="14.1" customHeight="1">
      <c r="E686" s="456"/>
      <c r="F686" s="456"/>
      <c r="G686" s="456"/>
      <c r="H686" s="456"/>
      <c r="I686" s="456"/>
      <c r="J686" s="456"/>
      <c r="K686" s="456"/>
      <c r="L686" s="456"/>
      <c r="M686" s="455" t="s">
        <v>863</v>
      </c>
      <c r="N686" s="455">
        <v>-4721260.71</v>
      </c>
      <c r="O686" s="429"/>
    </row>
    <row r="687" spans="5:15" s="428" customFormat="1" ht="14.1" customHeight="1">
      <c r="E687" s="452" t="s">
        <v>447</v>
      </c>
      <c r="F687" s="452" t="s">
        <v>606</v>
      </c>
      <c r="G687" s="452" t="s">
        <v>223</v>
      </c>
      <c r="H687" s="452" t="s">
        <v>1549</v>
      </c>
      <c r="I687" s="452" t="s">
        <v>658</v>
      </c>
      <c r="J687" s="453">
        <v>99000</v>
      </c>
      <c r="K687" s="453" t="s">
        <v>621</v>
      </c>
      <c r="L687" s="454" t="s">
        <v>1706</v>
      </c>
      <c r="M687" s="455">
        <v>465.81</v>
      </c>
      <c r="N687" s="456"/>
      <c r="O687" s="429"/>
    </row>
    <row r="688" spans="5:15" s="428" customFormat="1" ht="14.1" customHeight="1">
      <c r="E688" s="452" t="s">
        <v>447</v>
      </c>
      <c r="F688" s="452" t="s">
        <v>606</v>
      </c>
      <c r="G688" s="452" t="s">
        <v>223</v>
      </c>
      <c r="H688" s="452" t="s">
        <v>1549</v>
      </c>
      <c r="I688" s="452" t="s">
        <v>1551</v>
      </c>
      <c r="J688" s="453">
        <v>99000</v>
      </c>
      <c r="K688" s="453" t="s">
        <v>621</v>
      </c>
      <c r="L688" s="454" t="s">
        <v>1706</v>
      </c>
      <c r="M688" s="455">
        <v>1919.12</v>
      </c>
      <c r="N688" s="456"/>
      <c r="O688" s="429"/>
    </row>
    <row r="689" spans="5:15" s="428" customFormat="1" ht="14.1" customHeight="1">
      <c r="E689" s="452" t="s">
        <v>447</v>
      </c>
      <c r="F689" s="452" t="s">
        <v>606</v>
      </c>
      <c r="G689" s="452" t="s">
        <v>223</v>
      </c>
      <c r="H689" s="452" t="s">
        <v>1549</v>
      </c>
      <c r="I689" s="452" t="s">
        <v>1550</v>
      </c>
      <c r="J689" s="453">
        <v>99000</v>
      </c>
      <c r="K689" s="453" t="s">
        <v>621</v>
      </c>
      <c r="L689" s="454" t="s">
        <v>1706</v>
      </c>
      <c r="M689" s="455">
        <v>221.24</v>
      </c>
      <c r="N689" s="456"/>
      <c r="O689" s="429"/>
    </row>
    <row r="690" spans="5:15" s="428" customFormat="1" ht="14.1" customHeight="1">
      <c r="E690" s="452" t="s">
        <v>447</v>
      </c>
      <c r="F690" s="452" t="s">
        <v>606</v>
      </c>
      <c r="G690" s="452" t="s">
        <v>628</v>
      </c>
      <c r="H690" s="452" t="s">
        <v>1191</v>
      </c>
      <c r="I690" s="452" t="s">
        <v>1192</v>
      </c>
      <c r="J690" s="453">
        <v>99000</v>
      </c>
      <c r="K690" s="453" t="s">
        <v>621</v>
      </c>
      <c r="L690" s="454" t="s">
        <v>1706</v>
      </c>
      <c r="M690" s="455">
        <v>1078.7</v>
      </c>
      <c r="N690" s="456"/>
      <c r="O690" s="429"/>
    </row>
    <row r="691" spans="5:15" s="428" customFormat="1" ht="14.1" customHeight="1">
      <c r="E691" s="456"/>
      <c r="F691" s="456"/>
      <c r="G691" s="456"/>
      <c r="H691" s="456"/>
      <c r="I691" s="456"/>
      <c r="J691" s="456"/>
      <c r="K691" s="456"/>
      <c r="L691" s="456"/>
      <c r="M691" s="455" t="s">
        <v>863</v>
      </c>
      <c r="N691" s="455">
        <v>3684.87</v>
      </c>
      <c r="O691" s="429"/>
    </row>
    <row r="692" spans="5:15" s="428" customFormat="1" ht="14.1" customHeight="1">
      <c r="E692" s="456"/>
      <c r="F692" s="456"/>
      <c r="G692" s="456"/>
      <c r="H692" s="456"/>
      <c r="I692" s="456"/>
      <c r="J692" s="456"/>
      <c r="K692" s="456"/>
      <c r="L692" s="456"/>
      <c r="M692" s="455" t="s">
        <v>1055</v>
      </c>
      <c r="N692" s="455">
        <v>-14883136.220000001</v>
      </c>
      <c r="O692" s="429"/>
    </row>
    <row r="693" spans="5:15" s="428" customFormat="1" ht="14.1" customHeight="1">
      <c r="E693" s="452" t="s">
        <v>447</v>
      </c>
      <c r="F693" s="452" t="s">
        <v>606</v>
      </c>
      <c r="G693" s="452" t="s">
        <v>1235</v>
      </c>
      <c r="H693" s="452">
        <v>51</v>
      </c>
      <c r="I693" s="452" t="s">
        <v>1587</v>
      </c>
      <c r="J693" s="453">
        <v>99000</v>
      </c>
      <c r="K693" s="453" t="s">
        <v>675</v>
      </c>
      <c r="L693" s="454" t="s">
        <v>766</v>
      </c>
      <c r="M693" s="455">
        <v>3204</v>
      </c>
      <c r="N693" s="456"/>
      <c r="O693" s="429"/>
    </row>
    <row r="694" spans="5:15" s="428" customFormat="1" ht="14.1" customHeight="1">
      <c r="E694" s="452" t="s">
        <v>447</v>
      </c>
      <c r="F694" s="452" t="s">
        <v>606</v>
      </c>
      <c r="G694" s="452" t="s">
        <v>1429</v>
      </c>
      <c r="H694" s="452" t="s">
        <v>771</v>
      </c>
      <c r="I694" s="452" t="s">
        <v>772</v>
      </c>
      <c r="J694" s="453">
        <v>99000</v>
      </c>
      <c r="K694" s="453" t="s">
        <v>675</v>
      </c>
      <c r="L694" s="454" t="s">
        <v>766</v>
      </c>
      <c r="M694" s="455">
        <v>6880.61</v>
      </c>
      <c r="N694" s="456"/>
      <c r="O694" s="429"/>
    </row>
    <row r="695" spans="5:15" s="428" customFormat="1" ht="14.1" customHeight="1">
      <c r="E695" s="452" t="s">
        <v>447</v>
      </c>
      <c r="F695" s="452" t="s">
        <v>606</v>
      </c>
      <c r="G695" s="452" t="s">
        <v>1429</v>
      </c>
      <c r="H695" s="452" t="s">
        <v>83</v>
      </c>
      <c r="I695" s="452" t="s">
        <v>773</v>
      </c>
      <c r="J695" s="453">
        <v>99000</v>
      </c>
      <c r="K695" s="453" t="s">
        <v>675</v>
      </c>
      <c r="L695" s="454" t="s">
        <v>766</v>
      </c>
      <c r="M695" s="455">
        <v>-13990.39</v>
      </c>
      <c r="N695" s="456"/>
      <c r="O695" s="429"/>
    </row>
    <row r="696" spans="5:15" s="428" customFormat="1" ht="14.1" customHeight="1">
      <c r="E696" s="452" t="s">
        <v>447</v>
      </c>
      <c r="F696" s="452" t="s">
        <v>606</v>
      </c>
      <c r="G696" s="452" t="s">
        <v>1429</v>
      </c>
      <c r="H696" s="452" t="s">
        <v>767</v>
      </c>
      <c r="I696" s="452" t="s">
        <v>768</v>
      </c>
      <c r="J696" s="453">
        <v>99000</v>
      </c>
      <c r="K696" s="453" t="s">
        <v>675</v>
      </c>
      <c r="L696" s="454" t="s">
        <v>766</v>
      </c>
      <c r="M696" s="455">
        <v>88371.43</v>
      </c>
      <c r="N696" s="456"/>
      <c r="O696" s="429"/>
    </row>
    <row r="697" spans="5:15" s="428" customFormat="1" ht="14.1" customHeight="1">
      <c r="E697" s="452" t="s">
        <v>447</v>
      </c>
      <c r="F697" s="452" t="s">
        <v>606</v>
      </c>
      <c r="G697" s="452" t="s">
        <v>651</v>
      </c>
      <c r="H697" s="452" t="s">
        <v>765</v>
      </c>
      <c r="I697" s="452" t="s">
        <v>1587</v>
      </c>
      <c r="J697" s="453">
        <v>99000</v>
      </c>
      <c r="K697" s="453" t="s">
        <v>675</v>
      </c>
      <c r="L697" s="454" t="s">
        <v>766</v>
      </c>
      <c r="M697" s="455">
        <v>30855.72</v>
      </c>
      <c r="N697" s="456"/>
      <c r="O697" s="393"/>
    </row>
    <row r="698" spans="5:15" s="428" customFormat="1" ht="14.1" customHeight="1">
      <c r="E698" s="452" t="s">
        <v>447</v>
      </c>
      <c r="F698" s="452" t="s">
        <v>606</v>
      </c>
      <c r="G698" s="452" t="s">
        <v>1268</v>
      </c>
      <c r="H698" s="452" t="s">
        <v>85</v>
      </c>
      <c r="I698" s="452" t="s">
        <v>775</v>
      </c>
      <c r="J698" s="453">
        <v>99000</v>
      </c>
      <c r="K698" s="453" t="s">
        <v>675</v>
      </c>
      <c r="L698" s="454" t="s">
        <v>766</v>
      </c>
      <c r="M698" s="455">
        <v>3769589</v>
      </c>
      <c r="N698" s="456"/>
      <c r="O698" s="392"/>
    </row>
    <row r="699" spans="5:15" s="428" customFormat="1" ht="14.1" customHeight="1">
      <c r="E699" s="452" t="s">
        <v>447</v>
      </c>
      <c r="F699" s="452" t="s">
        <v>606</v>
      </c>
      <c r="G699" s="452" t="s">
        <v>1268</v>
      </c>
      <c r="H699" s="452" t="s">
        <v>769</v>
      </c>
      <c r="I699" s="452" t="s">
        <v>770</v>
      </c>
      <c r="J699" s="453">
        <v>99000</v>
      </c>
      <c r="K699" s="453" t="s">
        <v>675</v>
      </c>
      <c r="L699" s="454" t="s">
        <v>766</v>
      </c>
      <c r="M699" s="455">
        <v>157687</v>
      </c>
      <c r="N699" s="456"/>
      <c r="O699" s="392"/>
    </row>
    <row r="700" spans="5:15" s="428" customFormat="1" ht="14.1" customHeight="1">
      <c r="E700" s="452" t="s">
        <v>447</v>
      </c>
      <c r="F700" s="452" t="s">
        <v>606</v>
      </c>
      <c r="G700" s="452" t="s">
        <v>1429</v>
      </c>
      <c r="H700" s="452" t="s">
        <v>86</v>
      </c>
      <c r="I700" s="452" t="s">
        <v>774</v>
      </c>
      <c r="J700" s="453">
        <v>99000</v>
      </c>
      <c r="K700" s="453" t="s">
        <v>675</v>
      </c>
      <c r="L700" s="454" t="s">
        <v>766</v>
      </c>
      <c r="M700" s="455">
        <v>88371.43</v>
      </c>
      <c r="N700" s="456"/>
      <c r="O700" s="393"/>
    </row>
    <row r="701" spans="5:15" s="428" customFormat="1" ht="14.1" customHeight="1">
      <c r="E701" s="456"/>
      <c r="F701" s="456"/>
      <c r="G701" s="456"/>
      <c r="H701" s="456"/>
      <c r="I701" s="456"/>
      <c r="J701" s="456"/>
      <c r="K701" s="456"/>
      <c r="L701" s="456"/>
      <c r="M701" s="455" t="s">
        <v>863</v>
      </c>
      <c r="N701" s="455">
        <v>4130968.8</v>
      </c>
      <c r="O701" s="393"/>
    </row>
    <row r="702" spans="5:15" s="428" customFormat="1" ht="14.1" customHeight="1">
      <c r="E702" s="452" t="s">
        <v>447</v>
      </c>
      <c r="F702" s="452" t="s">
        <v>606</v>
      </c>
      <c r="G702" s="452" t="s">
        <v>611</v>
      </c>
      <c r="H702" s="452">
        <v>10348738</v>
      </c>
      <c r="I702" s="452" t="s">
        <v>791</v>
      </c>
      <c r="J702" s="453">
        <v>99000</v>
      </c>
      <c r="K702" s="453" t="s">
        <v>617</v>
      </c>
      <c r="L702" s="454" t="s">
        <v>766</v>
      </c>
      <c r="M702" s="455">
        <v>1508.22</v>
      </c>
      <c r="N702" s="456"/>
      <c r="O702" s="392"/>
    </row>
    <row r="703" spans="5:15" s="428" customFormat="1" ht="14.1" customHeight="1">
      <c r="E703" s="452" t="s">
        <v>447</v>
      </c>
      <c r="F703" s="452" t="s">
        <v>606</v>
      </c>
      <c r="G703" s="452" t="s">
        <v>611</v>
      </c>
      <c r="H703" s="452">
        <v>10343143</v>
      </c>
      <c r="I703" s="452" t="s">
        <v>791</v>
      </c>
      <c r="J703" s="453">
        <v>99000</v>
      </c>
      <c r="K703" s="453" t="s">
        <v>617</v>
      </c>
      <c r="L703" s="454" t="s">
        <v>766</v>
      </c>
      <c r="M703" s="455">
        <v>880.28</v>
      </c>
      <c r="N703" s="456"/>
      <c r="O703" s="393"/>
    </row>
    <row r="704" spans="5:15" s="428" customFormat="1" ht="14.1" customHeight="1">
      <c r="E704" s="452" t="s">
        <v>447</v>
      </c>
      <c r="F704" s="452" t="s">
        <v>606</v>
      </c>
      <c r="G704" s="452" t="s">
        <v>611</v>
      </c>
      <c r="H704" s="452">
        <v>10329737</v>
      </c>
      <c r="I704" s="452" t="s">
        <v>776</v>
      </c>
      <c r="J704" s="453">
        <v>99000</v>
      </c>
      <c r="K704" s="453" t="s">
        <v>617</v>
      </c>
      <c r="L704" s="454" t="s">
        <v>766</v>
      </c>
      <c r="M704" s="455">
        <v>10253.1</v>
      </c>
      <c r="N704" s="456"/>
      <c r="O704" s="392"/>
    </row>
    <row r="705" spans="5:15" s="428" customFormat="1" ht="14.1" customHeight="1">
      <c r="E705" s="456"/>
      <c r="F705" s="456"/>
      <c r="G705" s="456"/>
      <c r="H705" s="456"/>
      <c r="I705" s="456"/>
      <c r="J705" s="456"/>
      <c r="K705" s="456"/>
      <c r="L705" s="456"/>
      <c r="M705" s="455" t="s">
        <v>863</v>
      </c>
      <c r="N705" s="455">
        <v>12641.6</v>
      </c>
      <c r="O705" s="392"/>
    </row>
    <row r="706" spans="5:15" s="428" customFormat="1" ht="14.1" customHeight="1">
      <c r="E706" s="452" t="s">
        <v>447</v>
      </c>
      <c r="F706" s="452" t="s">
        <v>606</v>
      </c>
      <c r="G706" s="452" t="s">
        <v>680</v>
      </c>
      <c r="H706" s="452" t="s">
        <v>87</v>
      </c>
      <c r="I706" s="452" t="s">
        <v>777</v>
      </c>
      <c r="J706" s="453">
        <v>90000</v>
      </c>
      <c r="K706" s="453" t="s">
        <v>633</v>
      </c>
      <c r="L706" s="454" t="s">
        <v>766</v>
      </c>
      <c r="M706" s="455">
        <v>680000</v>
      </c>
      <c r="N706" s="456"/>
      <c r="O706" s="393"/>
    </row>
    <row r="707" spans="5:15" s="428" customFormat="1" ht="14.1" customHeight="1">
      <c r="E707" s="456"/>
      <c r="F707" s="456"/>
      <c r="G707" s="456"/>
      <c r="H707" s="456"/>
      <c r="I707" s="456"/>
      <c r="J707" s="456"/>
      <c r="K707" s="456"/>
      <c r="L707" s="456"/>
      <c r="M707" s="455" t="s">
        <v>863</v>
      </c>
      <c r="N707" s="455">
        <v>680000</v>
      </c>
      <c r="O707" s="392"/>
    </row>
    <row r="708" spans="5:15" s="428" customFormat="1" ht="14.1" customHeight="1">
      <c r="E708" s="452" t="s">
        <v>447</v>
      </c>
      <c r="F708" s="452" t="s">
        <v>606</v>
      </c>
      <c r="G708" s="452" t="s">
        <v>188</v>
      </c>
      <c r="H708" s="452" t="s">
        <v>88</v>
      </c>
      <c r="I708" s="452" t="s">
        <v>791</v>
      </c>
      <c r="J708" s="453">
        <v>90000</v>
      </c>
      <c r="K708" s="453" t="s">
        <v>703</v>
      </c>
      <c r="L708" s="454" t="s">
        <v>766</v>
      </c>
      <c r="M708" s="455">
        <v>7658.8</v>
      </c>
      <c r="N708" s="456"/>
      <c r="O708" s="392"/>
    </row>
    <row r="709" spans="5:15" s="428" customFormat="1" ht="14.1" customHeight="1">
      <c r="E709" s="452" t="s">
        <v>447</v>
      </c>
      <c r="F709" s="452" t="s">
        <v>606</v>
      </c>
      <c r="G709" s="452" t="s">
        <v>188</v>
      </c>
      <c r="H709" s="452" t="s">
        <v>89</v>
      </c>
      <c r="I709" s="452" t="s">
        <v>791</v>
      </c>
      <c r="J709" s="453">
        <v>90000</v>
      </c>
      <c r="K709" s="453" t="s">
        <v>703</v>
      </c>
      <c r="L709" s="454" t="s">
        <v>766</v>
      </c>
      <c r="M709" s="455">
        <v>3829.4</v>
      </c>
      <c r="N709" s="456"/>
      <c r="O709" s="393"/>
    </row>
    <row r="710" spans="5:15" s="428" customFormat="1" ht="14.1" customHeight="1">
      <c r="E710" s="452" t="s">
        <v>447</v>
      </c>
      <c r="F710" s="452" t="s">
        <v>606</v>
      </c>
      <c r="G710" s="452" t="s">
        <v>188</v>
      </c>
      <c r="H710" s="452" t="s">
        <v>90</v>
      </c>
      <c r="I710" s="452" t="s">
        <v>791</v>
      </c>
      <c r="J710" s="453">
        <v>90000</v>
      </c>
      <c r="K710" s="453" t="s">
        <v>703</v>
      </c>
      <c r="L710" s="454" t="s">
        <v>766</v>
      </c>
      <c r="M710" s="455">
        <v>7658.8</v>
      </c>
      <c r="N710" s="456"/>
      <c r="O710" s="393"/>
    </row>
    <row r="711" spans="5:15" s="428" customFormat="1" ht="14.1" customHeight="1">
      <c r="E711" s="452" t="s">
        <v>447</v>
      </c>
      <c r="F711" s="452" t="s">
        <v>606</v>
      </c>
      <c r="G711" s="452" t="s">
        <v>188</v>
      </c>
      <c r="H711" s="452" t="s">
        <v>91</v>
      </c>
      <c r="I711" s="452" t="s">
        <v>791</v>
      </c>
      <c r="J711" s="453">
        <v>90000</v>
      </c>
      <c r="K711" s="453" t="s">
        <v>703</v>
      </c>
      <c r="L711" s="454" t="s">
        <v>766</v>
      </c>
      <c r="M711" s="455">
        <v>22976.400000000001</v>
      </c>
      <c r="N711" s="456"/>
      <c r="O711" s="393"/>
    </row>
    <row r="712" spans="5:15" s="428" customFormat="1" ht="14.1" customHeight="1">
      <c r="E712" s="452" t="s">
        <v>447</v>
      </c>
      <c r="F712" s="452" t="s">
        <v>606</v>
      </c>
      <c r="G712" s="452" t="s">
        <v>188</v>
      </c>
      <c r="H712" s="452" t="s">
        <v>92</v>
      </c>
      <c r="I712" s="452" t="s">
        <v>791</v>
      </c>
      <c r="J712" s="453">
        <v>90000</v>
      </c>
      <c r="K712" s="453" t="s">
        <v>703</v>
      </c>
      <c r="L712" s="454" t="s">
        <v>766</v>
      </c>
      <c r="M712" s="455">
        <v>22976.400000000001</v>
      </c>
      <c r="N712" s="456"/>
      <c r="O712" s="393"/>
    </row>
    <row r="713" spans="5:15" s="428" customFormat="1" ht="14.1" customHeight="1">
      <c r="E713" s="452" t="s">
        <v>447</v>
      </c>
      <c r="F713" s="452" t="s">
        <v>606</v>
      </c>
      <c r="G713" s="452" t="s">
        <v>188</v>
      </c>
      <c r="H713" s="452" t="s">
        <v>93</v>
      </c>
      <c r="I713" s="452" t="s">
        <v>791</v>
      </c>
      <c r="J713" s="453">
        <v>90000</v>
      </c>
      <c r="K713" s="453" t="s">
        <v>703</v>
      </c>
      <c r="L713" s="454" t="s">
        <v>766</v>
      </c>
      <c r="M713" s="455">
        <v>11488.2</v>
      </c>
      <c r="N713" s="456"/>
      <c r="O713" s="392"/>
    </row>
    <row r="714" spans="5:15" s="428" customFormat="1" ht="14.1" customHeight="1">
      <c r="E714" s="452" t="s">
        <v>447</v>
      </c>
      <c r="F714" s="452" t="s">
        <v>606</v>
      </c>
      <c r="G714" s="452" t="s">
        <v>188</v>
      </c>
      <c r="H714" s="452" t="s">
        <v>94</v>
      </c>
      <c r="I714" s="452" t="s">
        <v>791</v>
      </c>
      <c r="J714" s="453">
        <v>90000</v>
      </c>
      <c r="K714" s="453" t="s">
        <v>703</v>
      </c>
      <c r="L714" s="454" t="s">
        <v>766</v>
      </c>
      <c r="M714" s="455">
        <v>57410.49</v>
      </c>
      <c r="N714" s="456"/>
      <c r="O714" s="393"/>
    </row>
    <row r="715" spans="5:15" s="428" customFormat="1" ht="14.1" customHeight="1">
      <c r="E715" s="452" t="s">
        <v>447</v>
      </c>
      <c r="F715" s="452" t="s">
        <v>606</v>
      </c>
      <c r="G715" s="452" t="s">
        <v>188</v>
      </c>
      <c r="H715" s="452" t="s">
        <v>95</v>
      </c>
      <c r="I715" s="452" t="s">
        <v>791</v>
      </c>
      <c r="J715" s="453">
        <v>90000</v>
      </c>
      <c r="K715" s="453" t="s">
        <v>703</v>
      </c>
      <c r="L715" s="454" t="s">
        <v>766</v>
      </c>
      <c r="M715" s="455">
        <v>152212.20000000001</v>
      </c>
      <c r="N715" s="456"/>
      <c r="O715" s="393"/>
    </row>
    <row r="716" spans="5:15" s="428" customFormat="1" ht="14.1" customHeight="1">
      <c r="E716" s="452" t="s">
        <v>447</v>
      </c>
      <c r="F716" s="452" t="s">
        <v>606</v>
      </c>
      <c r="G716" s="452" t="s">
        <v>188</v>
      </c>
      <c r="H716" s="452" t="s">
        <v>96</v>
      </c>
      <c r="I716" s="452" t="s">
        <v>791</v>
      </c>
      <c r="J716" s="453">
        <v>90000</v>
      </c>
      <c r="K716" s="453" t="s">
        <v>703</v>
      </c>
      <c r="L716" s="454" t="s">
        <v>766</v>
      </c>
      <c r="M716" s="455">
        <v>112540</v>
      </c>
      <c r="N716" s="456"/>
      <c r="O716" s="392"/>
    </row>
    <row r="717" spans="5:15" s="428" customFormat="1" ht="14.1" customHeight="1">
      <c r="E717" s="452" t="s">
        <v>447</v>
      </c>
      <c r="F717" s="452" t="s">
        <v>606</v>
      </c>
      <c r="G717" s="452" t="s">
        <v>680</v>
      </c>
      <c r="H717" s="452" t="s">
        <v>97</v>
      </c>
      <c r="I717" s="452" t="s">
        <v>210</v>
      </c>
      <c r="J717" s="453">
        <v>90000</v>
      </c>
      <c r="K717" s="453" t="s">
        <v>703</v>
      </c>
      <c r="L717" s="454" t="s">
        <v>766</v>
      </c>
      <c r="M717" s="455">
        <v>680000</v>
      </c>
      <c r="N717" s="456"/>
      <c r="O717" s="392"/>
    </row>
    <row r="718" spans="5:15" s="428" customFormat="1" ht="14.1" customHeight="1">
      <c r="E718" s="452" t="s">
        <v>447</v>
      </c>
      <c r="F718" s="452" t="s">
        <v>606</v>
      </c>
      <c r="G718" s="452" t="s">
        <v>188</v>
      </c>
      <c r="H718" s="452" t="s">
        <v>98</v>
      </c>
      <c r="I718" s="452" t="s">
        <v>778</v>
      </c>
      <c r="J718" s="453">
        <v>90000</v>
      </c>
      <c r="K718" s="453" t="s">
        <v>703</v>
      </c>
      <c r="L718" s="454" t="s">
        <v>766</v>
      </c>
      <c r="M718" s="455">
        <v>18000</v>
      </c>
      <c r="N718" s="456"/>
      <c r="O718" s="393"/>
    </row>
    <row r="719" spans="5:15" s="428" customFormat="1" ht="14.1" customHeight="1">
      <c r="E719" s="452" t="s">
        <v>447</v>
      </c>
      <c r="F719" s="452" t="s">
        <v>606</v>
      </c>
      <c r="G719" s="452" t="s">
        <v>188</v>
      </c>
      <c r="H719" s="452" t="s">
        <v>99</v>
      </c>
      <c r="I719" s="452" t="s">
        <v>791</v>
      </c>
      <c r="J719" s="453">
        <v>90000</v>
      </c>
      <c r="K719" s="453" t="s">
        <v>703</v>
      </c>
      <c r="L719" s="454" t="s">
        <v>766</v>
      </c>
      <c r="M719" s="455">
        <v>57410.65</v>
      </c>
      <c r="N719" s="456"/>
      <c r="O719" s="392"/>
    </row>
    <row r="720" spans="5:15" s="428" customFormat="1" ht="14.1" customHeight="1">
      <c r="E720" s="452" t="s">
        <v>447</v>
      </c>
      <c r="F720" s="452" t="s">
        <v>606</v>
      </c>
      <c r="G720" s="452" t="s">
        <v>188</v>
      </c>
      <c r="H720" s="452" t="s">
        <v>100</v>
      </c>
      <c r="I720" s="452" t="s">
        <v>791</v>
      </c>
      <c r="J720" s="453">
        <v>90000</v>
      </c>
      <c r="K720" s="453" t="s">
        <v>703</v>
      </c>
      <c r="L720" s="454" t="s">
        <v>766</v>
      </c>
      <c r="M720" s="455">
        <v>172231.95</v>
      </c>
      <c r="N720" s="456"/>
      <c r="O720" s="392"/>
    </row>
    <row r="721" spans="5:15" s="428" customFormat="1" ht="14.1" customHeight="1">
      <c r="E721" s="452" t="s">
        <v>447</v>
      </c>
      <c r="F721" s="452" t="s">
        <v>606</v>
      </c>
      <c r="G721" s="452" t="s">
        <v>188</v>
      </c>
      <c r="H721" s="452" t="s">
        <v>101</v>
      </c>
      <c r="I721" s="452" t="s">
        <v>791</v>
      </c>
      <c r="J721" s="453">
        <v>90000</v>
      </c>
      <c r="K721" s="453" t="s">
        <v>703</v>
      </c>
      <c r="L721" s="454" t="s">
        <v>766</v>
      </c>
      <c r="M721" s="455">
        <v>28705.279999999999</v>
      </c>
      <c r="N721" s="456"/>
      <c r="O721" s="393"/>
    </row>
    <row r="722" spans="5:15" s="428" customFormat="1" ht="14.1" customHeight="1">
      <c r="E722" s="452" t="s">
        <v>447</v>
      </c>
      <c r="F722" s="452" t="s">
        <v>606</v>
      </c>
      <c r="G722" s="452" t="s">
        <v>188</v>
      </c>
      <c r="H722" s="452" t="s">
        <v>102</v>
      </c>
      <c r="I722" s="452" t="s">
        <v>791</v>
      </c>
      <c r="J722" s="453">
        <v>90000</v>
      </c>
      <c r="K722" s="453" t="s">
        <v>703</v>
      </c>
      <c r="L722" s="454" t="s">
        <v>766</v>
      </c>
      <c r="M722" s="455">
        <v>28705.33</v>
      </c>
      <c r="N722" s="456"/>
      <c r="O722" s="392"/>
    </row>
    <row r="723" spans="5:15" s="428" customFormat="1" ht="14.1" customHeight="1">
      <c r="E723" s="456"/>
      <c r="F723" s="456"/>
      <c r="G723" s="456"/>
      <c r="H723" s="456"/>
      <c r="I723" s="456"/>
      <c r="J723" s="456"/>
      <c r="K723" s="456"/>
      <c r="L723" s="456"/>
      <c r="M723" s="455" t="s">
        <v>863</v>
      </c>
      <c r="N723" s="455">
        <v>1383803.9</v>
      </c>
      <c r="O723" s="393"/>
    </row>
    <row r="724" spans="5:15" s="428" customFormat="1" ht="14.1" customHeight="1">
      <c r="E724" s="456"/>
      <c r="F724" s="456"/>
      <c r="G724" s="456"/>
      <c r="H724" s="456"/>
      <c r="I724" s="456"/>
      <c r="J724" s="456"/>
      <c r="K724" s="456"/>
      <c r="L724" s="456"/>
      <c r="M724" s="455" t="s">
        <v>1055</v>
      </c>
      <c r="N724" s="455">
        <v>6207414.3000000026</v>
      </c>
      <c r="O724" s="393"/>
    </row>
    <row r="725" spans="5:15" s="428" customFormat="1" ht="14.1" customHeight="1">
      <c r="E725" s="452" t="s">
        <v>447</v>
      </c>
      <c r="F725" s="452" t="s">
        <v>606</v>
      </c>
      <c r="G725" s="452" t="s">
        <v>1059</v>
      </c>
      <c r="H725" s="452">
        <v>18</v>
      </c>
      <c r="I725" s="452" t="s">
        <v>1172</v>
      </c>
      <c r="J725" s="453">
        <v>99000</v>
      </c>
      <c r="K725" s="453" t="s">
        <v>1057</v>
      </c>
      <c r="L725" s="454" t="s">
        <v>779</v>
      </c>
      <c r="M725" s="455">
        <v>55874.52</v>
      </c>
      <c r="N725" s="456"/>
      <c r="O725" s="392"/>
    </row>
    <row r="726" spans="5:15" s="428" customFormat="1" ht="14.1" customHeight="1">
      <c r="E726" s="456"/>
      <c r="F726" s="456"/>
      <c r="G726" s="456"/>
      <c r="H726" s="456"/>
      <c r="I726" s="456"/>
      <c r="J726" s="456"/>
      <c r="K726" s="456"/>
      <c r="L726" s="456"/>
      <c r="M726" s="456"/>
      <c r="N726" s="456"/>
      <c r="O726" s="393"/>
    </row>
    <row r="727" spans="5:15" s="428" customFormat="1" ht="14.1" customHeight="1">
      <c r="E727" s="456"/>
      <c r="F727" s="456"/>
      <c r="G727" s="456"/>
      <c r="H727" s="456"/>
      <c r="I727" s="456"/>
      <c r="J727" s="456"/>
      <c r="K727" s="456"/>
      <c r="L727" s="456"/>
      <c r="M727" s="455" t="s">
        <v>863</v>
      </c>
      <c r="N727" s="455">
        <v>55874.52</v>
      </c>
      <c r="O727" s="393"/>
    </row>
    <row r="728" spans="5:15" s="428" customFormat="1" ht="14.1" customHeight="1">
      <c r="E728" s="452" t="s">
        <v>447</v>
      </c>
      <c r="F728" s="452" t="s">
        <v>606</v>
      </c>
      <c r="G728" s="452" t="s">
        <v>1235</v>
      </c>
      <c r="H728" s="452" t="s">
        <v>103</v>
      </c>
      <c r="I728" s="452" t="s">
        <v>780</v>
      </c>
      <c r="J728" s="453">
        <v>99000</v>
      </c>
      <c r="K728" s="453" t="s">
        <v>675</v>
      </c>
      <c r="L728" s="454" t="s">
        <v>779</v>
      </c>
      <c r="M728" s="455">
        <v>1389</v>
      </c>
      <c r="N728" s="456"/>
      <c r="O728" s="393"/>
    </row>
    <row r="729" spans="5:15" s="428" customFormat="1" ht="14.1" customHeight="1">
      <c r="E729" s="452" t="s">
        <v>447</v>
      </c>
      <c r="F729" s="452" t="s">
        <v>606</v>
      </c>
      <c r="G729" s="452" t="s">
        <v>1235</v>
      </c>
      <c r="H729" s="452" t="s">
        <v>103</v>
      </c>
      <c r="I729" s="452" t="s">
        <v>782</v>
      </c>
      <c r="J729" s="453">
        <v>99000</v>
      </c>
      <c r="K729" s="453" t="s">
        <v>675</v>
      </c>
      <c r="L729" s="454" t="s">
        <v>779</v>
      </c>
      <c r="M729" s="455">
        <v>15064</v>
      </c>
      <c r="N729" s="456"/>
      <c r="O729" s="393"/>
    </row>
    <row r="730" spans="5:15" s="428" customFormat="1" ht="14.1" customHeight="1">
      <c r="E730" s="452" t="s">
        <v>447</v>
      </c>
      <c r="F730" s="452" t="s">
        <v>606</v>
      </c>
      <c r="G730" s="452" t="s">
        <v>1235</v>
      </c>
      <c r="H730" s="452" t="s">
        <v>103</v>
      </c>
      <c r="I730" s="452" t="s">
        <v>783</v>
      </c>
      <c r="J730" s="453">
        <v>99000</v>
      </c>
      <c r="K730" s="453" t="s">
        <v>675</v>
      </c>
      <c r="L730" s="454" t="s">
        <v>779</v>
      </c>
      <c r="M730" s="455">
        <v>8874.49</v>
      </c>
      <c r="N730" s="456"/>
      <c r="O730" s="392"/>
    </row>
    <row r="731" spans="5:15" s="428" customFormat="1" ht="14.1" customHeight="1">
      <c r="E731" s="452" t="s">
        <v>447</v>
      </c>
      <c r="F731" s="452" t="s">
        <v>606</v>
      </c>
      <c r="G731" s="452" t="s">
        <v>1235</v>
      </c>
      <c r="H731" s="452" t="s">
        <v>103</v>
      </c>
      <c r="I731" s="452" t="s">
        <v>781</v>
      </c>
      <c r="J731" s="453">
        <v>99000</v>
      </c>
      <c r="K731" s="453" t="s">
        <v>675</v>
      </c>
      <c r="L731" s="454" t="s">
        <v>779</v>
      </c>
      <c r="M731" s="455">
        <v>8517.35</v>
      </c>
      <c r="N731" s="456"/>
      <c r="O731" s="393"/>
    </row>
    <row r="732" spans="5:15" s="428" customFormat="1" ht="14.1" customHeight="1">
      <c r="E732" s="456"/>
      <c r="F732" s="456"/>
      <c r="G732" s="456"/>
      <c r="H732" s="456"/>
      <c r="I732" s="456"/>
      <c r="J732" s="456"/>
      <c r="K732" s="456"/>
      <c r="L732" s="456"/>
      <c r="M732" s="455" t="s">
        <v>863</v>
      </c>
      <c r="N732" s="455">
        <v>33844.839999999997</v>
      </c>
      <c r="O732" s="393"/>
    </row>
    <row r="733" spans="5:15" s="428" customFormat="1" ht="14.1" customHeight="1">
      <c r="E733" s="452" t="s">
        <v>447</v>
      </c>
      <c r="F733" s="452" t="s">
        <v>606</v>
      </c>
      <c r="G733" s="452" t="s">
        <v>634</v>
      </c>
      <c r="H733" s="452" t="s">
        <v>104</v>
      </c>
      <c r="I733" s="452" t="s">
        <v>1100</v>
      </c>
      <c r="J733" s="453">
        <v>10300</v>
      </c>
      <c r="K733" s="453" t="s">
        <v>1101</v>
      </c>
      <c r="L733" s="454" t="s">
        <v>779</v>
      </c>
      <c r="M733" s="455">
        <v>-5479320</v>
      </c>
      <c r="N733" s="456"/>
      <c r="O733" s="392"/>
    </row>
    <row r="734" spans="5:15" s="428" customFormat="1" ht="14.1" customHeight="1">
      <c r="E734" s="456"/>
      <c r="F734" s="456"/>
      <c r="G734" s="456"/>
      <c r="H734" s="456"/>
      <c r="I734" s="456"/>
      <c r="J734" s="456"/>
      <c r="K734" s="456"/>
      <c r="L734" s="456"/>
      <c r="M734" s="455" t="s">
        <v>863</v>
      </c>
      <c r="N734" s="455">
        <v>-5479320</v>
      </c>
      <c r="O734" s="393"/>
    </row>
    <row r="735" spans="5:15" s="428" customFormat="1" ht="14.1" customHeight="1">
      <c r="E735" s="452" t="s">
        <v>447</v>
      </c>
      <c r="F735" s="452" t="s">
        <v>606</v>
      </c>
      <c r="G735" s="452" t="s">
        <v>704</v>
      </c>
      <c r="H735" s="452" t="s">
        <v>105</v>
      </c>
      <c r="I735" s="452" t="s">
        <v>658</v>
      </c>
      <c r="J735" s="453">
        <v>99000</v>
      </c>
      <c r="K735" s="453" t="s">
        <v>732</v>
      </c>
      <c r="L735" s="454" t="s">
        <v>779</v>
      </c>
      <c r="M735" s="455">
        <v>70</v>
      </c>
      <c r="N735" s="456"/>
      <c r="O735" s="392"/>
    </row>
    <row r="736" spans="5:15" s="428" customFormat="1" ht="14.1" customHeight="1">
      <c r="E736" s="452" t="s">
        <v>447</v>
      </c>
      <c r="F736" s="452" t="s">
        <v>606</v>
      </c>
      <c r="G736" s="452" t="s">
        <v>611</v>
      </c>
      <c r="H736" s="452" t="s">
        <v>106</v>
      </c>
      <c r="I736" s="452" t="s">
        <v>1102</v>
      </c>
      <c r="J736" s="453">
        <v>99000</v>
      </c>
      <c r="K736" s="453" t="s">
        <v>732</v>
      </c>
      <c r="L736" s="454" t="s">
        <v>779</v>
      </c>
      <c r="M736" s="455">
        <v>16000</v>
      </c>
      <c r="N736" s="456"/>
      <c r="O736" s="393"/>
    </row>
    <row r="737" spans="5:15" s="428" customFormat="1" ht="14.1" customHeight="1">
      <c r="E737" s="456"/>
      <c r="F737" s="456"/>
      <c r="G737" s="456"/>
      <c r="H737" s="456"/>
      <c r="I737" s="456"/>
      <c r="J737" s="456"/>
      <c r="K737" s="456"/>
      <c r="L737" s="456"/>
      <c r="M737" s="455" t="s">
        <v>863</v>
      </c>
      <c r="N737" s="455">
        <v>16070</v>
      </c>
      <c r="O737" s="393"/>
    </row>
    <row r="738" spans="5:15" s="428" customFormat="1" ht="14.1" customHeight="1">
      <c r="E738" s="452" t="s">
        <v>447</v>
      </c>
      <c r="F738" s="452" t="s">
        <v>606</v>
      </c>
      <c r="G738" s="452" t="s">
        <v>634</v>
      </c>
      <c r="H738" s="452" t="s">
        <v>107</v>
      </c>
      <c r="I738" s="452" t="s">
        <v>634</v>
      </c>
      <c r="J738" s="453">
        <v>99000</v>
      </c>
      <c r="K738" s="453" t="s">
        <v>1103</v>
      </c>
      <c r="L738" s="454" t="s">
        <v>779</v>
      </c>
      <c r="M738" s="455">
        <v>32211.37</v>
      </c>
      <c r="N738" s="456"/>
      <c r="O738" s="393"/>
    </row>
    <row r="739" spans="5:15" s="428" customFormat="1" ht="14.1" customHeight="1">
      <c r="E739" s="456"/>
      <c r="F739" s="456"/>
      <c r="G739" s="456"/>
      <c r="H739" s="456"/>
      <c r="I739" s="456"/>
      <c r="J739" s="456"/>
      <c r="K739" s="456"/>
      <c r="L739" s="456"/>
      <c r="M739" s="455" t="s">
        <v>863</v>
      </c>
      <c r="N739" s="455">
        <v>32211.37</v>
      </c>
      <c r="O739" s="392"/>
    </row>
    <row r="740" spans="5:15" s="428" customFormat="1" ht="14.1" customHeight="1">
      <c r="E740" s="452" t="s">
        <v>447</v>
      </c>
      <c r="F740" s="452" t="s">
        <v>606</v>
      </c>
      <c r="G740" s="452" t="s">
        <v>634</v>
      </c>
      <c r="H740" s="452" t="s">
        <v>108</v>
      </c>
      <c r="I740" s="452" t="s">
        <v>1104</v>
      </c>
      <c r="J740" s="453">
        <v>90000</v>
      </c>
      <c r="K740" s="453" t="s">
        <v>703</v>
      </c>
      <c r="L740" s="454" t="s">
        <v>779</v>
      </c>
      <c r="M740" s="455">
        <v>-6203713.0499999998</v>
      </c>
      <c r="N740" s="456"/>
      <c r="O740" s="393"/>
    </row>
    <row r="741" spans="5:15" s="428" customFormat="1" ht="14.1" customHeight="1">
      <c r="E741" s="456"/>
      <c r="F741" s="456"/>
      <c r="G741" s="456"/>
      <c r="H741" s="456"/>
      <c r="I741" s="456"/>
      <c r="J741" s="456"/>
      <c r="K741" s="456"/>
      <c r="L741" s="456"/>
      <c r="M741" s="455" t="s">
        <v>863</v>
      </c>
      <c r="N741" s="455">
        <v>-6203713.0499999998</v>
      </c>
      <c r="O741" s="393"/>
    </row>
    <row r="742" spans="5:15" s="428" customFormat="1" ht="14.1" customHeight="1">
      <c r="E742" s="452" t="s">
        <v>447</v>
      </c>
      <c r="F742" s="452" t="s">
        <v>606</v>
      </c>
      <c r="G742" s="452" t="s">
        <v>634</v>
      </c>
      <c r="H742" s="452" t="s">
        <v>109</v>
      </c>
      <c r="I742" s="452" t="s">
        <v>1105</v>
      </c>
      <c r="J742" s="453">
        <v>99000</v>
      </c>
      <c r="K742" s="453" t="s">
        <v>621</v>
      </c>
      <c r="L742" s="454" t="s">
        <v>779</v>
      </c>
      <c r="M742" s="455">
        <v>-3858.12</v>
      </c>
      <c r="N742" s="456"/>
      <c r="O742" s="393"/>
    </row>
    <row r="743" spans="5:15" s="428" customFormat="1" ht="14.1" customHeight="1">
      <c r="E743" s="452" t="s">
        <v>447</v>
      </c>
      <c r="F743" s="452" t="s">
        <v>606</v>
      </c>
      <c r="G743" s="452" t="s">
        <v>634</v>
      </c>
      <c r="H743" s="452" t="s">
        <v>109</v>
      </c>
      <c r="I743" s="452" t="s">
        <v>1106</v>
      </c>
      <c r="J743" s="453">
        <v>99000</v>
      </c>
      <c r="K743" s="453" t="s">
        <v>621</v>
      </c>
      <c r="L743" s="454" t="s">
        <v>779</v>
      </c>
      <c r="M743" s="455">
        <v>-2606.17</v>
      </c>
      <c r="N743" s="456"/>
      <c r="O743" s="393"/>
    </row>
    <row r="744" spans="5:15" s="428" customFormat="1" ht="14.1" customHeight="1">
      <c r="E744" s="456"/>
      <c r="F744" s="456"/>
      <c r="G744" s="456"/>
      <c r="H744" s="456"/>
      <c r="I744" s="456"/>
      <c r="J744" s="456"/>
      <c r="K744" s="456"/>
      <c r="L744" s="456"/>
      <c r="M744" s="455" t="s">
        <v>863</v>
      </c>
      <c r="N744" s="455">
        <v>-6464.29</v>
      </c>
      <c r="O744" s="393"/>
    </row>
    <row r="745" spans="5:15" s="428" customFormat="1" ht="14.1" customHeight="1">
      <c r="E745" s="456"/>
      <c r="F745" s="456"/>
      <c r="G745" s="456"/>
      <c r="H745" s="456"/>
      <c r="I745" s="456"/>
      <c r="J745" s="456"/>
      <c r="K745" s="456"/>
      <c r="L745" s="456"/>
      <c r="M745" s="455" t="s">
        <v>1055</v>
      </c>
      <c r="N745" s="455">
        <v>-11551496.609999999</v>
      </c>
      <c r="O745" s="392"/>
    </row>
    <row r="746" spans="5:15" s="428" customFormat="1" ht="14.1" customHeight="1">
      <c r="E746" s="452" t="s">
        <v>447</v>
      </c>
      <c r="F746" s="452" t="s">
        <v>606</v>
      </c>
      <c r="G746" s="452" t="s">
        <v>1429</v>
      </c>
      <c r="H746" s="452" t="s">
        <v>110</v>
      </c>
      <c r="I746" s="452" t="s">
        <v>111</v>
      </c>
      <c r="J746" s="453">
        <v>99000</v>
      </c>
      <c r="K746" s="453" t="s">
        <v>675</v>
      </c>
      <c r="L746" s="454" t="s">
        <v>1108</v>
      </c>
      <c r="M746" s="455">
        <v>5789.49</v>
      </c>
      <c r="N746" s="456"/>
      <c r="O746" s="392"/>
    </row>
    <row r="747" spans="5:15" s="428" customFormat="1" ht="14.1" customHeight="1">
      <c r="E747" s="452" t="s">
        <v>447</v>
      </c>
      <c r="F747" s="452" t="s">
        <v>606</v>
      </c>
      <c r="G747" s="452" t="s">
        <v>1268</v>
      </c>
      <c r="H747" s="452" t="s">
        <v>112</v>
      </c>
      <c r="I747" s="452" t="s">
        <v>113</v>
      </c>
      <c r="J747" s="453">
        <v>99000</v>
      </c>
      <c r="K747" s="453" t="s">
        <v>675</v>
      </c>
      <c r="L747" s="454" t="s">
        <v>1108</v>
      </c>
      <c r="M747" s="455">
        <v>157687</v>
      </c>
      <c r="N747" s="456"/>
      <c r="O747" s="393"/>
    </row>
    <row r="748" spans="5:15" s="428" customFormat="1" ht="14.1" customHeight="1">
      <c r="E748" s="452" t="s">
        <v>447</v>
      </c>
      <c r="F748" s="452" t="s">
        <v>606</v>
      </c>
      <c r="G748" s="452" t="s">
        <v>1268</v>
      </c>
      <c r="H748" s="452" t="s">
        <v>112</v>
      </c>
      <c r="I748" s="452" t="s">
        <v>114</v>
      </c>
      <c r="J748" s="453">
        <v>99000</v>
      </c>
      <c r="K748" s="453" t="s">
        <v>675</v>
      </c>
      <c r="L748" s="454" t="s">
        <v>1108</v>
      </c>
      <c r="M748" s="455">
        <v>1724478</v>
      </c>
      <c r="N748" s="456"/>
      <c r="O748" s="393"/>
    </row>
    <row r="749" spans="5:15" s="428" customFormat="1" ht="14.1" customHeight="1">
      <c r="E749" s="452" t="s">
        <v>447</v>
      </c>
      <c r="F749" s="452" t="s">
        <v>606</v>
      </c>
      <c r="G749" s="452" t="s">
        <v>651</v>
      </c>
      <c r="H749" s="452" t="s">
        <v>115</v>
      </c>
      <c r="I749" s="452" t="s">
        <v>791</v>
      </c>
      <c r="J749" s="453">
        <v>99000</v>
      </c>
      <c r="K749" s="453" t="s">
        <v>675</v>
      </c>
      <c r="L749" s="454" t="s">
        <v>1108</v>
      </c>
      <c r="M749" s="455">
        <v>5136</v>
      </c>
      <c r="N749" s="456"/>
      <c r="O749" s="393"/>
    </row>
    <row r="750" spans="5:15" s="428" customFormat="1" ht="14.1" customHeight="1">
      <c r="E750" s="452" t="s">
        <v>447</v>
      </c>
      <c r="F750" s="452" t="s">
        <v>606</v>
      </c>
      <c r="G750" s="452" t="s">
        <v>877</v>
      </c>
      <c r="H750" s="452">
        <v>1</v>
      </c>
      <c r="I750" s="452" t="s">
        <v>1587</v>
      </c>
      <c r="J750" s="453">
        <v>99000</v>
      </c>
      <c r="K750" s="453" t="s">
        <v>675</v>
      </c>
      <c r="L750" s="454" t="s">
        <v>1108</v>
      </c>
      <c r="M750" s="455">
        <v>112179.6</v>
      </c>
      <c r="N750" s="456"/>
      <c r="O750" s="392"/>
    </row>
    <row r="751" spans="5:15" s="428" customFormat="1" ht="14.1" customHeight="1">
      <c r="E751" s="452" t="s">
        <v>447</v>
      </c>
      <c r="F751" s="452" t="s">
        <v>606</v>
      </c>
      <c r="G751" s="452" t="s">
        <v>1235</v>
      </c>
      <c r="H751" s="452">
        <v>5557</v>
      </c>
      <c r="I751" s="452">
        <v>55</v>
      </c>
      <c r="J751" s="453">
        <v>99000</v>
      </c>
      <c r="K751" s="453" t="s">
        <v>675</v>
      </c>
      <c r="L751" s="454" t="s">
        <v>1108</v>
      </c>
      <c r="M751" s="455">
        <v>9587.59</v>
      </c>
      <c r="N751" s="456"/>
      <c r="O751" s="393"/>
    </row>
    <row r="752" spans="5:15" s="428" customFormat="1" ht="14.1" customHeight="1">
      <c r="E752" s="452" t="s">
        <v>447</v>
      </c>
      <c r="F752" s="452" t="s">
        <v>606</v>
      </c>
      <c r="G752" s="452" t="s">
        <v>1235</v>
      </c>
      <c r="H752" s="452">
        <v>5557</v>
      </c>
      <c r="I752" s="452">
        <v>57</v>
      </c>
      <c r="J752" s="453">
        <v>99000</v>
      </c>
      <c r="K752" s="453" t="s">
        <v>675</v>
      </c>
      <c r="L752" s="454" t="s">
        <v>1108</v>
      </c>
      <c r="M752" s="455">
        <v>269792</v>
      </c>
      <c r="N752" s="456"/>
      <c r="O752" s="392"/>
    </row>
    <row r="753" spans="5:15" s="428" customFormat="1" ht="14.1" customHeight="1">
      <c r="E753" s="452" t="s">
        <v>447</v>
      </c>
      <c r="F753" s="452" t="s">
        <v>606</v>
      </c>
      <c r="G753" s="452" t="s">
        <v>1429</v>
      </c>
      <c r="H753" s="452" t="s">
        <v>110</v>
      </c>
      <c r="I753" s="452" t="s">
        <v>116</v>
      </c>
      <c r="J753" s="453">
        <v>99000</v>
      </c>
      <c r="K753" s="453" t="s">
        <v>675</v>
      </c>
      <c r="L753" s="454" t="s">
        <v>1108</v>
      </c>
      <c r="M753" s="455">
        <v>9859.7099999999991</v>
      </c>
      <c r="N753" s="456"/>
      <c r="O753" s="393"/>
    </row>
    <row r="754" spans="5:15" s="428" customFormat="1" ht="14.1" customHeight="1">
      <c r="E754" s="452" t="s">
        <v>447</v>
      </c>
      <c r="F754" s="452" t="s">
        <v>606</v>
      </c>
      <c r="G754" s="452" t="s">
        <v>651</v>
      </c>
      <c r="H754" s="452" t="s">
        <v>117</v>
      </c>
      <c r="I754" s="452" t="s">
        <v>1107</v>
      </c>
      <c r="J754" s="453">
        <v>99000</v>
      </c>
      <c r="K754" s="453" t="s">
        <v>675</v>
      </c>
      <c r="L754" s="454" t="s">
        <v>1108</v>
      </c>
      <c r="M754" s="455">
        <v>248327</v>
      </c>
      <c r="N754" s="456"/>
      <c r="O754" s="393"/>
    </row>
    <row r="755" spans="5:15" s="428" customFormat="1" ht="14.1" customHeight="1">
      <c r="E755" s="452" t="s">
        <v>447</v>
      </c>
      <c r="F755" s="452" t="s">
        <v>606</v>
      </c>
      <c r="G755" s="452" t="s">
        <v>651</v>
      </c>
      <c r="H755" s="452" t="s">
        <v>118</v>
      </c>
      <c r="I755" s="452" t="s">
        <v>1107</v>
      </c>
      <c r="J755" s="453">
        <v>99000</v>
      </c>
      <c r="K755" s="453" t="s">
        <v>675</v>
      </c>
      <c r="L755" s="454" t="s">
        <v>1108</v>
      </c>
      <c r="M755" s="455">
        <v>67119.199999999997</v>
      </c>
      <c r="N755" s="456"/>
      <c r="O755" s="392"/>
    </row>
    <row r="756" spans="5:15" s="428" customFormat="1" ht="14.1" customHeight="1">
      <c r="E756" s="452" t="s">
        <v>447</v>
      </c>
      <c r="F756" s="452" t="s">
        <v>606</v>
      </c>
      <c r="G756" s="452" t="s">
        <v>651</v>
      </c>
      <c r="H756" s="452" t="s">
        <v>119</v>
      </c>
      <c r="I756" s="452" t="s">
        <v>1107</v>
      </c>
      <c r="J756" s="453">
        <v>99000</v>
      </c>
      <c r="K756" s="453" t="s">
        <v>675</v>
      </c>
      <c r="L756" s="454" t="s">
        <v>1108</v>
      </c>
      <c r="M756" s="455">
        <v>521129.48</v>
      </c>
      <c r="N756" s="456"/>
      <c r="O756" s="393"/>
    </row>
    <row r="757" spans="5:15" s="428" customFormat="1" ht="14.1" customHeight="1">
      <c r="E757" s="452" t="s">
        <v>447</v>
      </c>
      <c r="F757" s="452" t="s">
        <v>606</v>
      </c>
      <c r="G757" s="452" t="s">
        <v>1429</v>
      </c>
      <c r="H757" s="452" t="s">
        <v>110</v>
      </c>
      <c r="I757" s="452" t="s">
        <v>120</v>
      </c>
      <c r="J757" s="453">
        <v>99000</v>
      </c>
      <c r="K757" s="453" t="s">
        <v>675</v>
      </c>
      <c r="L757" s="454" t="s">
        <v>1108</v>
      </c>
      <c r="M757" s="455">
        <v>88371.43</v>
      </c>
      <c r="N757" s="456"/>
      <c r="O757" s="392"/>
    </row>
    <row r="758" spans="5:15" s="428" customFormat="1" ht="14.1" customHeight="1">
      <c r="E758" s="456"/>
      <c r="F758" s="456"/>
      <c r="G758" s="456"/>
      <c r="H758" s="456"/>
      <c r="I758" s="456"/>
      <c r="J758" s="456"/>
      <c r="K758" s="456"/>
      <c r="L758" s="456"/>
      <c r="M758" s="455" t="s">
        <v>863</v>
      </c>
      <c r="N758" s="455">
        <v>3219456.5</v>
      </c>
      <c r="O758" s="392"/>
    </row>
    <row r="759" spans="5:15" s="428" customFormat="1" ht="14.1" customHeight="1">
      <c r="E759" s="456"/>
      <c r="F759" s="456"/>
      <c r="G759" s="456"/>
      <c r="H759" s="456"/>
      <c r="I759" s="456"/>
      <c r="J759" s="456"/>
      <c r="K759" s="456"/>
      <c r="L759" s="456"/>
      <c r="M759" s="455" t="s">
        <v>1055</v>
      </c>
      <c r="N759" s="455">
        <v>3219456.5</v>
      </c>
      <c r="O759" s="393"/>
    </row>
    <row r="760" spans="5:15" s="428" customFormat="1" ht="14.1" customHeight="1">
      <c r="E760" s="452" t="s">
        <v>447</v>
      </c>
      <c r="F760" s="452" t="s">
        <v>606</v>
      </c>
      <c r="G760" s="452" t="s">
        <v>1059</v>
      </c>
      <c r="H760" s="452">
        <v>19</v>
      </c>
      <c r="I760" s="452" t="s">
        <v>1172</v>
      </c>
      <c r="J760" s="453">
        <v>99000</v>
      </c>
      <c r="K760" s="453" t="s">
        <v>1057</v>
      </c>
      <c r="L760" s="454" t="s">
        <v>1109</v>
      </c>
      <c r="M760" s="455">
        <v>41048.949999999997</v>
      </c>
      <c r="N760" s="456"/>
      <c r="O760" s="392"/>
    </row>
    <row r="761" spans="5:15" s="428" customFormat="1" ht="14.1" customHeight="1">
      <c r="E761" s="456"/>
      <c r="F761" s="456"/>
      <c r="G761" s="456"/>
      <c r="H761" s="456"/>
      <c r="I761" s="456"/>
      <c r="J761" s="456"/>
      <c r="K761" s="456"/>
      <c r="L761" s="456"/>
      <c r="M761" s="455" t="s">
        <v>863</v>
      </c>
      <c r="N761" s="455">
        <v>41048.949999999997</v>
      </c>
      <c r="O761" s="393"/>
    </row>
    <row r="762" spans="5:15" s="428" customFormat="1" ht="14.1" customHeight="1">
      <c r="E762" s="452" t="s">
        <v>447</v>
      </c>
      <c r="F762" s="452" t="s">
        <v>606</v>
      </c>
      <c r="G762" s="452" t="s">
        <v>1429</v>
      </c>
      <c r="H762" s="452" t="s">
        <v>121</v>
      </c>
      <c r="I762" s="452" t="s">
        <v>1111</v>
      </c>
      <c r="J762" s="453">
        <v>99000</v>
      </c>
      <c r="K762" s="453" t="s">
        <v>675</v>
      </c>
      <c r="L762" s="454" t="s">
        <v>1109</v>
      </c>
      <c r="M762" s="455">
        <v>4851.9799999999996</v>
      </c>
      <c r="N762" s="456"/>
      <c r="O762" s="393"/>
    </row>
    <row r="763" spans="5:15" s="428" customFormat="1" ht="14.1" customHeight="1">
      <c r="E763" s="452" t="s">
        <v>447</v>
      </c>
      <c r="F763" s="452" t="s">
        <v>606</v>
      </c>
      <c r="G763" s="452" t="s">
        <v>1429</v>
      </c>
      <c r="H763" s="452" t="s">
        <v>121</v>
      </c>
      <c r="I763" s="452" t="s">
        <v>1110</v>
      </c>
      <c r="J763" s="453">
        <v>99000</v>
      </c>
      <c r="K763" s="453" t="s">
        <v>675</v>
      </c>
      <c r="L763" s="454" t="s">
        <v>1109</v>
      </c>
      <c r="M763" s="455">
        <v>50693.68</v>
      </c>
      <c r="N763" s="456"/>
      <c r="O763" s="392"/>
    </row>
    <row r="764" spans="5:15" s="428" customFormat="1" ht="14.1" customHeight="1">
      <c r="E764" s="456"/>
      <c r="F764" s="456"/>
      <c r="G764" s="456"/>
      <c r="H764" s="456"/>
      <c r="I764" s="456"/>
      <c r="J764" s="456"/>
      <c r="K764" s="456"/>
      <c r="L764" s="456"/>
      <c r="M764" s="455" t="s">
        <v>863</v>
      </c>
      <c r="N764" s="455">
        <v>55545.66</v>
      </c>
      <c r="O764" s="393"/>
    </row>
    <row r="765" spans="5:15" s="428" customFormat="1" ht="14.1" customHeight="1">
      <c r="E765" s="452" t="s">
        <v>447</v>
      </c>
      <c r="F765" s="452" t="s">
        <v>606</v>
      </c>
      <c r="G765" s="452" t="s">
        <v>1112</v>
      </c>
      <c r="H765" s="452">
        <v>922737</v>
      </c>
      <c r="I765" s="452" t="s">
        <v>1113</v>
      </c>
      <c r="J765" s="453">
        <v>99000</v>
      </c>
      <c r="K765" s="453" t="s">
        <v>1545</v>
      </c>
      <c r="L765" s="454" t="s">
        <v>1109</v>
      </c>
      <c r="M765" s="455">
        <v>20</v>
      </c>
      <c r="N765" s="456"/>
      <c r="O765" s="392"/>
    </row>
    <row r="766" spans="5:15" s="428" customFormat="1" ht="14.1" customHeight="1">
      <c r="E766" s="456"/>
      <c r="F766" s="456"/>
      <c r="G766" s="456"/>
      <c r="H766" s="456"/>
      <c r="I766" s="456"/>
      <c r="J766" s="456"/>
      <c r="K766" s="456"/>
      <c r="L766" s="456"/>
      <c r="M766" s="455" t="s">
        <v>863</v>
      </c>
      <c r="N766" s="455">
        <v>20</v>
      </c>
      <c r="O766" s="393"/>
    </row>
    <row r="767" spans="5:15" s="428" customFormat="1" ht="14.1" customHeight="1">
      <c r="E767" s="452" t="s">
        <v>447</v>
      </c>
      <c r="F767" s="452" t="s">
        <v>606</v>
      </c>
      <c r="G767" s="452" t="s">
        <v>760</v>
      </c>
      <c r="H767" s="452">
        <v>21050311</v>
      </c>
      <c r="I767" s="452" t="s">
        <v>122</v>
      </c>
      <c r="J767" s="453">
        <v>99000</v>
      </c>
      <c r="K767" s="453" t="s">
        <v>123</v>
      </c>
      <c r="L767" s="454" t="s">
        <v>1109</v>
      </c>
      <c r="M767" s="455">
        <v>4231.25</v>
      </c>
      <c r="N767" s="456"/>
      <c r="O767" s="392"/>
    </row>
    <row r="768" spans="5:15" s="428" customFormat="1" ht="14.1" customHeight="1">
      <c r="E768" s="456"/>
      <c r="F768" s="456"/>
      <c r="G768" s="456"/>
      <c r="H768" s="456"/>
      <c r="I768" s="456"/>
      <c r="J768" s="456"/>
      <c r="K768" s="456"/>
      <c r="L768" s="456"/>
      <c r="M768" s="455" t="s">
        <v>863</v>
      </c>
      <c r="N768" s="455">
        <v>4231.25</v>
      </c>
      <c r="O768" s="393"/>
    </row>
    <row r="769" spans="5:15" s="428" customFormat="1" ht="14.1" customHeight="1">
      <c r="E769" s="452" t="s">
        <v>447</v>
      </c>
      <c r="F769" s="452" t="s">
        <v>606</v>
      </c>
      <c r="G769" s="452" t="s">
        <v>634</v>
      </c>
      <c r="H769" s="452" t="s">
        <v>124</v>
      </c>
      <c r="I769" s="452" t="s">
        <v>634</v>
      </c>
      <c r="J769" s="453">
        <v>90000</v>
      </c>
      <c r="K769" s="453" t="s">
        <v>125</v>
      </c>
      <c r="L769" s="454" t="s">
        <v>1109</v>
      </c>
      <c r="M769" s="455">
        <v>-15000</v>
      </c>
      <c r="N769" s="456"/>
      <c r="O769" s="393"/>
    </row>
    <row r="770" spans="5:15" s="428" customFormat="1" ht="14.1" customHeight="1">
      <c r="E770" s="456"/>
      <c r="F770" s="456"/>
      <c r="G770" s="456"/>
      <c r="H770" s="456"/>
      <c r="I770" s="456"/>
      <c r="J770" s="456"/>
      <c r="K770" s="456"/>
      <c r="L770" s="456"/>
      <c r="M770" s="455" t="s">
        <v>863</v>
      </c>
      <c r="N770" s="455">
        <v>-15000</v>
      </c>
      <c r="O770" s="392"/>
    </row>
    <row r="771" spans="5:15" s="428" customFormat="1" ht="14.1" customHeight="1">
      <c r="E771" s="452" t="s">
        <v>447</v>
      </c>
      <c r="F771" s="452" t="s">
        <v>606</v>
      </c>
      <c r="G771" s="452" t="s">
        <v>188</v>
      </c>
      <c r="H771" s="452" t="s">
        <v>126</v>
      </c>
      <c r="I771" s="452" t="s">
        <v>1114</v>
      </c>
      <c r="J771" s="453">
        <v>90000</v>
      </c>
      <c r="K771" s="453" t="s">
        <v>633</v>
      </c>
      <c r="L771" s="454" t="s">
        <v>1109</v>
      </c>
      <c r="M771" s="455">
        <v>72000</v>
      </c>
      <c r="N771" s="456"/>
      <c r="O771" s="392"/>
    </row>
    <row r="772" spans="5:15" s="428" customFormat="1" ht="14.1" customHeight="1">
      <c r="E772" s="456"/>
      <c r="F772" s="456"/>
      <c r="G772" s="456"/>
      <c r="H772" s="456"/>
      <c r="I772" s="456"/>
      <c r="J772" s="456"/>
      <c r="K772" s="456"/>
      <c r="L772" s="456"/>
      <c r="M772" s="455" t="s">
        <v>863</v>
      </c>
      <c r="N772" s="455">
        <v>72000</v>
      </c>
      <c r="O772" s="393"/>
    </row>
    <row r="773" spans="5:15" s="428" customFormat="1" ht="14.1" customHeight="1">
      <c r="E773" s="456"/>
      <c r="F773" s="456"/>
      <c r="G773" s="456"/>
      <c r="H773" s="456"/>
      <c r="I773" s="456"/>
      <c r="J773" s="456"/>
      <c r="K773" s="456"/>
      <c r="L773" s="456"/>
      <c r="M773" s="456"/>
      <c r="N773" s="456"/>
      <c r="O773" s="392"/>
    </row>
    <row r="774" spans="5:15" s="428" customFormat="1" ht="14.1" customHeight="1">
      <c r="E774" s="452" t="s">
        <v>447</v>
      </c>
      <c r="F774" s="452" t="s">
        <v>606</v>
      </c>
      <c r="G774" s="452" t="s">
        <v>704</v>
      </c>
      <c r="H774" s="452" t="s">
        <v>127</v>
      </c>
      <c r="I774" s="452" t="s">
        <v>658</v>
      </c>
      <c r="J774" s="453">
        <v>99000</v>
      </c>
      <c r="K774" s="453" t="s">
        <v>621</v>
      </c>
      <c r="L774" s="454" t="s">
        <v>1109</v>
      </c>
      <c r="M774" s="455">
        <v>199.9</v>
      </c>
      <c r="N774" s="456"/>
      <c r="O774" s="392"/>
    </row>
    <row r="775" spans="5:15" s="428" customFormat="1" ht="14.1" customHeight="1">
      <c r="E775" s="452" t="s">
        <v>447</v>
      </c>
      <c r="F775" s="452" t="s">
        <v>606</v>
      </c>
      <c r="G775" s="452" t="s">
        <v>704</v>
      </c>
      <c r="H775" s="452" t="s">
        <v>127</v>
      </c>
      <c r="I775" s="452" t="s">
        <v>1115</v>
      </c>
      <c r="J775" s="453">
        <v>99000</v>
      </c>
      <c r="K775" s="453" t="s">
        <v>621</v>
      </c>
      <c r="L775" s="454" t="s">
        <v>1109</v>
      </c>
      <c r="M775" s="455">
        <v>1730.09</v>
      </c>
      <c r="N775" s="456"/>
      <c r="O775" s="393"/>
    </row>
    <row r="776" spans="5:15" s="428" customFormat="1" ht="14.1" customHeight="1">
      <c r="E776" s="456"/>
      <c r="F776" s="456"/>
      <c r="G776" s="456"/>
      <c r="H776" s="456"/>
      <c r="I776" s="456"/>
      <c r="J776" s="456"/>
      <c r="K776" s="456"/>
      <c r="L776" s="456"/>
      <c r="M776" s="455" t="s">
        <v>863</v>
      </c>
      <c r="N776" s="455">
        <v>1929.99</v>
      </c>
      <c r="O776" s="393"/>
    </row>
    <row r="777" spans="5:15" s="428" customFormat="1" ht="14.1" customHeight="1">
      <c r="E777" s="456"/>
      <c r="F777" s="456"/>
      <c r="G777" s="456"/>
      <c r="H777" s="456"/>
      <c r="I777" s="456"/>
      <c r="J777" s="456"/>
      <c r="K777" s="456"/>
      <c r="L777" s="456"/>
      <c r="M777" s="455" t="s">
        <v>1055</v>
      </c>
      <c r="N777" s="455">
        <v>159775.85</v>
      </c>
      <c r="O777" s="392"/>
    </row>
    <row r="778" spans="5:15" s="428" customFormat="1" ht="14.1" customHeight="1">
      <c r="E778" s="390"/>
      <c r="F778" s="390"/>
      <c r="G778" s="390"/>
      <c r="H778" s="390"/>
      <c r="I778" s="390"/>
      <c r="J778" s="390"/>
      <c r="K778" s="391"/>
      <c r="L778" s="391"/>
      <c r="M778" s="435"/>
      <c r="N778" s="392"/>
      <c r="O778" s="393"/>
    </row>
    <row r="779" spans="5:15" s="428" customFormat="1" ht="14.1" customHeight="1">
      <c r="E779" s="390"/>
      <c r="F779" s="390"/>
      <c r="G779" s="390"/>
      <c r="H779" s="390"/>
      <c r="I779" s="390"/>
      <c r="J779" s="390"/>
      <c r="K779" s="391"/>
      <c r="L779" s="391"/>
      <c r="M779" s="435"/>
      <c r="N779" s="392"/>
      <c r="O779" s="393"/>
    </row>
    <row r="780" spans="5:15" s="428" customFormat="1" ht="14.1" customHeight="1">
      <c r="E780" s="390"/>
      <c r="F780" s="390"/>
      <c r="G780" s="390"/>
      <c r="H780" s="390"/>
      <c r="I780" s="390"/>
      <c r="J780" s="390"/>
      <c r="K780" s="391"/>
      <c r="L780" s="391"/>
      <c r="M780" s="435"/>
      <c r="N780" s="392"/>
      <c r="O780" s="393"/>
    </row>
    <row r="781" spans="5:15" s="428" customFormat="1" ht="14.1" customHeight="1">
      <c r="E781" s="393"/>
      <c r="F781" s="393"/>
      <c r="G781" s="393"/>
      <c r="H781" s="393"/>
      <c r="I781" s="393"/>
      <c r="J781" s="393"/>
      <c r="K781" s="393"/>
      <c r="L781" s="393"/>
      <c r="M781" s="393"/>
      <c r="N781" s="392"/>
      <c r="O781" s="392"/>
    </row>
    <row r="782" spans="5:15" s="428" customFormat="1" ht="14.1" customHeight="1">
      <c r="E782" s="390"/>
      <c r="F782" s="390"/>
      <c r="G782" s="390"/>
      <c r="H782" s="390"/>
      <c r="I782" s="390"/>
      <c r="J782" s="390"/>
      <c r="K782" s="391"/>
      <c r="L782" s="391"/>
      <c r="M782" s="435"/>
      <c r="N782" s="392"/>
      <c r="O782" s="393"/>
    </row>
    <row r="783" spans="5:15" s="428" customFormat="1" ht="14.1" customHeight="1">
      <c r="E783" s="390"/>
      <c r="F783" s="390"/>
      <c r="G783" s="390"/>
      <c r="H783" s="390"/>
      <c r="I783" s="390"/>
      <c r="J783" s="390"/>
      <c r="K783" s="391"/>
      <c r="L783" s="391"/>
      <c r="M783" s="435"/>
      <c r="N783" s="392"/>
      <c r="O783" s="393"/>
    </row>
    <row r="784" spans="5:15" s="428" customFormat="1" ht="14.1" customHeight="1">
      <c r="E784" s="390"/>
      <c r="F784" s="390"/>
      <c r="G784" s="390"/>
      <c r="H784" s="390"/>
      <c r="I784" s="390"/>
      <c r="J784" s="390"/>
      <c r="K784" s="391"/>
      <c r="L784" s="391"/>
      <c r="M784" s="435"/>
      <c r="N784" s="392"/>
      <c r="O784" s="393"/>
    </row>
    <row r="785" spans="5:15" s="428" customFormat="1" ht="14.1" customHeight="1">
      <c r="E785" s="393"/>
      <c r="F785" s="393"/>
      <c r="G785" s="393"/>
      <c r="H785" s="393"/>
      <c r="I785" s="393"/>
      <c r="J785" s="393"/>
      <c r="K785" s="393"/>
      <c r="L785" s="393"/>
      <c r="M785" s="393"/>
      <c r="N785" s="392"/>
      <c r="O785" s="392"/>
    </row>
    <row r="786" spans="5:15" s="428" customFormat="1" ht="14.1" customHeight="1">
      <c r="E786" s="390"/>
      <c r="F786" s="390"/>
      <c r="G786" s="390"/>
      <c r="H786" s="390"/>
      <c r="I786" s="390"/>
      <c r="J786" s="390"/>
      <c r="K786" s="391"/>
      <c r="L786" s="391"/>
      <c r="M786" s="435"/>
      <c r="N786" s="392"/>
      <c r="O786" s="393"/>
    </row>
    <row r="787" spans="5:15" s="428" customFormat="1" ht="14.1" customHeight="1">
      <c r="E787" s="390"/>
      <c r="F787" s="390"/>
      <c r="G787" s="390"/>
      <c r="H787" s="390"/>
      <c r="I787" s="390"/>
      <c r="J787" s="390"/>
      <c r="K787" s="391"/>
      <c r="L787" s="391"/>
      <c r="M787" s="435"/>
      <c r="N787" s="392"/>
      <c r="O787" s="393"/>
    </row>
    <row r="788" spans="5:15" s="428" customFormat="1" ht="14.1" customHeight="1">
      <c r="E788" s="393"/>
      <c r="F788" s="393"/>
      <c r="G788" s="393"/>
      <c r="H788" s="393"/>
      <c r="I788" s="393"/>
      <c r="J788" s="393"/>
      <c r="K788" s="393"/>
      <c r="L788" s="393"/>
      <c r="M788" s="393"/>
      <c r="N788" s="393"/>
      <c r="O788" s="393"/>
    </row>
    <row r="789" spans="5:15" s="428" customFormat="1" ht="14.1" customHeight="1">
      <c r="E789" s="393"/>
      <c r="F789" s="393"/>
      <c r="G789" s="393"/>
      <c r="H789" s="393"/>
      <c r="I789" s="393"/>
      <c r="J789" s="393"/>
      <c r="K789" s="393"/>
      <c r="L789" s="393"/>
      <c r="M789" s="393"/>
      <c r="N789" s="392"/>
      <c r="O789" s="392"/>
    </row>
    <row r="790" spans="5:15" s="428" customFormat="1" ht="14.1" customHeight="1">
      <c r="E790" s="390"/>
      <c r="F790" s="390"/>
      <c r="G790" s="390"/>
      <c r="H790" s="390"/>
      <c r="I790" s="390"/>
      <c r="J790" s="390"/>
      <c r="K790" s="391"/>
      <c r="L790" s="391"/>
      <c r="M790" s="435"/>
      <c r="N790" s="392"/>
      <c r="O790" s="393"/>
    </row>
    <row r="791" spans="5:15" s="428" customFormat="1" ht="14.1" customHeight="1">
      <c r="E791" s="390"/>
      <c r="F791" s="390"/>
      <c r="G791" s="390"/>
      <c r="H791" s="390"/>
      <c r="I791" s="390"/>
      <c r="J791" s="390"/>
      <c r="K791" s="391"/>
      <c r="L791" s="391"/>
      <c r="M791" s="435"/>
      <c r="N791" s="392"/>
      <c r="O791" s="393"/>
    </row>
    <row r="792" spans="5:15" s="428" customFormat="1" ht="14.1" customHeight="1">
      <c r="E792" s="393"/>
      <c r="F792" s="393"/>
      <c r="G792" s="393"/>
      <c r="H792" s="393"/>
      <c r="I792" s="393"/>
      <c r="J792" s="393"/>
      <c r="K792" s="393"/>
      <c r="L792" s="393"/>
      <c r="M792" s="393"/>
      <c r="N792" s="392"/>
      <c r="O792" s="392"/>
    </row>
    <row r="793" spans="5:15" s="428" customFormat="1" ht="14.1" customHeight="1">
      <c r="E793" s="393"/>
      <c r="F793" s="393"/>
      <c r="G793" s="393"/>
      <c r="H793" s="393"/>
      <c r="I793" s="393"/>
      <c r="J793" s="393"/>
      <c r="K793" s="393"/>
      <c r="L793" s="393"/>
      <c r="M793" s="393"/>
      <c r="N793" s="392"/>
      <c r="O793" s="392"/>
    </row>
    <row r="794" spans="5:15" s="428" customFormat="1" ht="14.1" customHeight="1">
      <c r="E794" s="390"/>
      <c r="F794" s="390"/>
      <c r="G794" s="390"/>
      <c r="H794" s="390"/>
      <c r="I794" s="390"/>
      <c r="J794" s="390"/>
      <c r="K794" s="391"/>
      <c r="L794" s="391"/>
      <c r="M794" s="435"/>
      <c r="N794" s="392"/>
      <c r="O794" s="393"/>
    </row>
    <row r="795" spans="5:15" s="428" customFormat="1" ht="14.1" customHeight="1">
      <c r="E795" s="393"/>
      <c r="F795" s="393"/>
      <c r="G795" s="393"/>
      <c r="H795" s="393"/>
      <c r="I795" s="393"/>
      <c r="J795" s="393"/>
      <c r="K795" s="393"/>
      <c r="L795" s="393"/>
      <c r="M795" s="393"/>
      <c r="N795" s="392"/>
      <c r="O795" s="392"/>
    </row>
    <row r="796" spans="5:15" s="428" customFormat="1" ht="14.1" customHeight="1">
      <c r="E796" s="390"/>
      <c r="F796" s="390"/>
      <c r="G796" s="390"/>
      <c r="H796" s="390"/>
      <c r="I796" s="390"/>
      <c r="J796" s="390"/>
      <c r="K796" s="391"/>
      <c r="L796" s="391"/>
      <c r="M796" s="435"/>
      <c r="N796" s="392"/>
      <c r="O796" s="393"/>
    </row>
    <row r="797" spans="5:15" s="428" customFormat="1" ht="14.1" customHeight="1">
      <c r="E797" s="390"/>
      <c r="F797" s="390"/>
      <c r="G797" s="390"/>
      <c r="H797" s="390"/>
      <c r="I797" s="390"/>
      <c r="J797" s="390"/>
      <c r="K797" s="391"/>
      <c r="L797" s="391"/>
      <c r="M797" s="435"/>
      <c r="N797" s="392"/>
      <c r="O797" s="393"/>
    </row>
    <row r="798" spans="5:15" s="428" customFormat="1" ht="14.1" customHeight="1">
      <c r="E798" s="390"/>
      <c r="F798" s="390"/>
      <c r="G798" s="390"/>
      <c r="H798" s="390"/>
      <c r="I798" s="390"/>
      <c r="J798" s="390"/>
      <c r="K798" s="391"/>
      <c r="L798" s="391"/>
      <c r="M798" s="435"/>
      <c r="N798" s="392"/>
      <c r="O798" s="393"/>
    </row>
    <row r="799" spans="5:15" s="428" customFormat="1" ht="14.1" customHeight="1">
      <c r="E799" s="390"/>
      <c r="F799" s="390"/>
      <c r="G799" s="390"/>
      <c r="H799" s="390"/>
      <c r="I799" s="390"/>
      <c r="J799" s="390"/>
      <c r="K799" s="391"/>
      <c r="L799" s="391"/>
      <c r="M799" s="435"/>
      <c r="N799" s="392"/>
      <c r="O799" s="393"/>
    </row>
    <row r="800" spans="5:15" s="428" customFormat="1" ht="14.1" customHeight="1">
      <c r="E800" s="393"/>
      <c r="F800" s="393"/>
      <c r="G800" s="393"/>
      <c r="H800" s="393"/>
      <c r="I800" s="393"/>
      <c r="J800" s="393"/>
      <c r="K800" s="393"/>
      <c r="L800" s="393"/>
      <c r="M800" s="393"/>
      <c r="N800" s="392"/>
      <c r="O800" s="392"/>
    </row>
    <row r="801" spans="5:15" s="428" customFormat="1" ht="14.1" customHeight="1">
      <c r="E801" s="390"/>
      <c r="F801" s="390"/>
      <c r="G801" s="390"/>
      <c r="H801" s="390"/>
      <c r="I801" s="390"/>
      <c r="J801" s="390"/>
      <c r="K801" s="391"/>
      <c r="L801" s="391"/>
      <c r="M801" s="435"/>
      <c r="N801" s="392"/>
      <c r="O801" s="393"/>
    </row>
    <row r="802" spans="5:15" s="428" customFormat="1" ht="14.1" customHeight="1">
      <c r="E802" s="390"/>
      <c r="F802" s="390"/>
      <c r="G802" s="390"/>
      <c r="H802" s="390"/>
      <c r="I802" s="390"/>
      <c r="J802" s="390"/>
      <c r="K802" s="391"/>
      <c r="L802" s="391"/>
      <c r="M802" s="435"/>
      <c r="N802" s="392"/>
      <c r="O802" s="393"/>
    </row>
    <row r="803" spans="5:15" s="428" customFormat="1" ht="14.1" customHeight="1">
      <c r="E803" s="393"/>
      <c r="F803" s="393"/>
      <c r="G803" s="393"/>
      <c r="H803" s="393"/>
      <c r="I803" s="393"/>
      <c r="J803" s="393"/>
      <c r="K803" s="393"/>
      <c r="L803" s="393"/>
      <c r="M803" s="393"/>
      <c r="N803" s="392"/>
      <c r="O803" s="392"/>
    </row>
    <row r="804" spans="5:15" s="428" customFormat="1" ht="14.1" customHeight="1">
      <c r="E804" s="390"/>
      <c r="F804" s="390"/>
      <c r="G804" s="390"/>
      <c r="H804" s="390"/>
      <c r="I804" s="390"/>
      <c r="J804" s="390"/>
      <c r="K804" s="391"/>
      <c r="L804" s="391"/>
      <c r="M804" s="435"/>
      <c r="N804" s="392"/>
      <c r="O804" s="393"/>
    </row>
    <row r="805" spans="5:15" s="428" customFormat="1" ht="14.1" customHeight="1">
      <c r="E805" s="393"/>
      <c r="F805" s="393"/>
      <c r="G805" s="393"/>
      <c r="H805" s="393"/>
      <c r="I805" s="393"/>
      <c r="J805" s="393"/>
      <c r="K805" s="393"/>
      <c r="L805" s="393"/>
      <c r="M805" s="393"/>
      <c r="N805" s="392"/>
      <c r="O805" s="392"/>
    </row>
    <row r="806" spans="5:15" s="428" customFormat="1" ht="14.1" customHeight="1">
      <c r="E806" s="390"/>
      <c r="F806" s="390"/>
      <c r="G806" s="390"/>
      <c r="H806" s="390"/>
      <c r="I806" s="390"/>
      <c r="J806" s="390"/>
      <c r="K806" s="391"/>
      <c r="L806" s="391"/>
      <c r="M806" s="435"/>
      <c r="N806" s="392"/>
      <c r="O806" s="393"/>
    </row>
    <row r="807" spans="5:15" s="428" customFormat="1" ht="14.1" customHeight="1">
      <c r="E807" s="393"/>
      <c r="F807" s="393"/>
      <c r="G807" s="393"/>
      <c r="H807" s="393"/>
      <c r="I807" s="393"/>
      <c r="J807" s="393"/>
      <c r="K807" s="393"/>
      <c r="L807" s="393"/>
      <c r="M807" s="393"/>
      <c r="N807" s="392"/>
      <c r="O807" s="392"/>
    </row>
    <row r="808" spans="5:15" s="428" customFormat="1" ht="14.1" customHeight="1">
      <c r="E808" s="390"/>
      <c r="F808" s="390"/>
      <c r="G808" s="390"/>
      <c r="H808" s="390"/>
      <c r="I808" s="390"/>
      <c r="J808" s="390"/>
      <c r="K808" s="391"/>
      <c r="L808" s="391"/>
      <c r="M808" s="435"/>
      <c r="N808" s="392"/>
      <c r="O808" s="393"/>
    </row>
    <row r="809" spans="5:15" s="428" customFormat="1" ht="14.1" customHeight="1">
      <c r="E809" s="393"/>
      <c r="F809" s="393"/>
      <c r="G809" s="393"/>
      <c r="H809" s="393"/>
      <c r="I809" s="393"/>
      <c r="J809" s="393"/>
      <c r="K809" s="393"/>
      <c r="L809" s="393"/>
      <c r="M809" s="393"/>
      <c r="N809" s="392"/>
      <c r="O809" s="392"/>
    </row>
    <row r="810" spans="5:15" s="428" customFormat="1" ht="14.1" customHeight="1">
      <c r="E810" s="390"/>
      <c r="F810" s="390"/>
      <c r="G810" s="390"/>
      <c r="H810" s="390"/>
      <c r="I810" s="390"/>
      <c r="J810" s="390"/>
      <c r="K810" s="391"/>
      <c r="L810" s="391"/>
      <c r="M810" s="435"/>
      <c r="N810" s="392"/>
      <c r="O810" s="393"/>
    </row>
    <row r="811" spans="5:15" s="428" customFormat="1" ht="14.1" customHeight="1">
      <c r="E811" s="393"/>
      <c r="F811" s="393"/>
      <c r="G811" s="393"/>
      <c r="H811" s="393"/>
      <c r="I811" s="393"/>
      <c r="J811" s="393"/>
      <c r="K811" s="393"/>
      <c r="L811" s="393"/>
      <c r="M811" s="393"/>
      <c r="N811" s="392"/>
      <c r="O811" s="392"/>
    </row>
    <row r="812" spans="5:15" s="428" customFormat="1" ht="14.1" customHeight="1">
      <c r="E812" s="390"/>
      <c r="F812" s="390"/>
      <c r="G812" s="390"/>
      <c r="H812" s="390"/>
      <c r="I812" s="390"/>
      <c r="J812" s="390"/>
      <c r="K812" s="391"/>
      <c r="L812" s="391"/>
      <c r="M812" s="435"/>
      <c r="N812" s="392"/>
      <c r="O812" s="393"/>
    </row>
    <row r="813" spans="5:15" s="428" customFormat="1" ht="14.1" customHeight="1">
      <c r="E813" s="390"/>
      <c r="F813" s="390"/>
      <c r="G813" s="390"/>
      <c r="H813" s="390"/>
      <c r="I813" s="390"/>
      <c r="J813" s="390"/>
      <c r="K813" s="391"/>
      <c r="L813" s="391"/>
      <c r="M813" s="435"/>
      <c r="N813" s="392"/>
      <c r="O813" s="393"/>
    </row>
    <row r="814" spans="5:15" s="428" customFormat="1" ht="14.1" customHeight="1">
      <c r="E814" s="393"/>
      <c r="F814" s="393"/>
      <c r="G814" s="393"/>
      <c r="H814" s="393"/>
      <c r="I814" s="393"/>
      <c r="J814" s="393"/>
      <c r="K814" s="393"/>
      <c r="L814" s="393"/>
      <c r="M814" s="393"/>
      <c r="N814" s="392"/>
      <c r="O814" s="392"/>
    </row>
    <row r="815" spans="5:15" s="428" customFormat="1" ht="14.1" customHeight="1">
      <c r="E815" s="390"/>
      <c r="F815" s="390"/>
      <c r="G815" s="390"/>
      <c r="H815" s="390"/>
      <c r="I815" s="390"/>
      <c r="J815" s="390"/>
      <c r="K815" s="391"/>
      <c r="L815" s="391"/>
      <c r="M815" s="435"/>
      <c r="N815" s="392"/>
      <c r="O815" s="393"/>
    </row>
    <row r="816" spans="5:15" s="428" customFormat="1" ht="14.1" customHeight="1">
      <c r="E816" s="393"/>
      <c r="F816" s="393"/>
      <c r="G816" s="393"/>
      <c r="H816" s="393"/>
      <c r="I816" s="393"/>
      <c r="J816" s="393"/>
      <c r="K816" s="393"/>
      <c r="L816" s="393"/>
      <c r="M816" s="393"/>
      <c r="N816" s="392"/>
      <c r="O816" s="392"/>
    </row>
    <row r="817" spans="5:15" s="428" customFormat="1" ht="14.1" customHeight="1">
      <c r="E817" s="390"/>
      <c r="F817" s="390"/>
      <c r="G817" s="390"/>
      <c r="H817" s="390"/>
      <c r="I817" s="390"/>
      <c r="J817" s="390"/>
      <c r="K817" s="391"/>
      <c r="L817" s="391"/>
      <c r="M817" s="435"/>
      <c r="N817" s="392"/>
      <c r="O817" s="393"/>
    </row>
    <row r="818" spans="5:15" s="428" customFormat="1" ht="14.1" customHeight="1">
      <c r="E818" s="390"/>
      <c r="F818" s="390"/>
      <c r="G818" s="390"/>
      <c r="H818" s="390"/>
      <c r="I818" s="390"/>
      <c r="J818" s="390"/>
      <c r="K818" s="391"/>
      <c r="L818" s="391"/>
      <c r="M818" s="435"/>
      <c r="N818" s="392"/>
      <c r="O818" s="393"/>
    </row>
    <row r="819" spans="5:15" s="428" customFormat="1" ht="14.1" customHeight="1">
      <c r="E819" s="390"/>
      <c r="F819" s="390"/>
      <c r="G819" s="390"/>
      <c r="H819" s="390"/>
      <c r="I819" s="390"/>
      <c r="J819" s="390"/>
      <c r="K819" s="391"/>
      <c r="L819" s="391"/>
      <c r="M819" s="435"/>
      <c r="N819" s="392"/>
      <c r="O819" s="393"/>
    </row>
    <row r="820" spans="5:15" s="428" customFormat="1" ht="14.1" customHeight="1">
      <c r="E820" s="390"/>
      <c r="F820" s="390"/>
      <c r="G820" s="390"/>
      <c r="H820" s="390"/>
      <c r="I820" s="390"/>
      <c r="J820" s="390"/>
      <c r="K820" s="391"/>
      <c r="L820" s="391"/>
      <c r="M820" s="435"/>
      <c r="N820" s="392"/>
      <c r="O820" s="393"/>
    </row>
    <row r="821" spans="5:15" s="428" customFormat="1" ht="14.1" customHeight="1">
      <c r="E821" s="393"/>
      <c r="F821" s="393"/>
      <c r="G821" s="393"/>
      <c r="H821" s="393"/>
      <c r="I821" s="393"/>
      <c r="J821" s="393"/>
      <c r="K821" s="393"/>
      <c r="L821" s="393"/>
      <c r="M821" s="393"/>
      <c r="N821" s="392"/>
      <c r="O821" s="392"/>
    </row>
    <row r="822" spans="5:15" s="428" customFormat="1" ht="14.1" customHeight="1">
      <c r="E822" s="390"/>
      <c r="F822" s="390"/>
      <c r="G822" s="390"/>
      <c r="H822" s="390"/>
      <c r="I822" s="390"/>
      <c r="J822" s="390"/>
      <c r="K822" s="391"/>
      <c r="L822" s="391"/>
      <c r="M822" s="435"/>
      <c r="N822" s="392"/>
      <c r="O822" s="393"/>
    </row>
    <row r="823" spans="5:15" s="428" customFormat="1" ht="14.1" customHeight="1">
      <c r="E823" s="390"/>
      <c r="F823" s="390"/>
      <c r="G823" s="390"/>
      <c r="H823" s="390"/>
      <c r="I823" s="390"/>
      <c r="J823" s="390"/>
      <c r="K823" s="391"/>
      <c r="L823" s="391"/>
      <c r="M823" s="435"/>
      <c r="N823" s="392"/>
      <c r="O823" s="393"/>
    </row>
    <row r="824" spans="5:15" s="428" customFormat="1" ht="14.1" customHeight="1">
      <c r="E824" s="393"/>
      <c r="F824" s="393"/>
      <c r="G824" s="393"/>
      <c r="H824" s="393"/>
      <c r="I824" s="393"/>
      <c r="J824" s="393"/>
      <c r="K824" s="393"/>
      <c r="L824" s="393"/>
      <c r="M824" s="393"/>
      <c r="N824" s="392"/>
      <c r="O824" s="392"/>
    </row>
    <row r="825" spans="5:15" s="428" customFormat="1" ht="14.1" customHeight="1">
      <c r="E825" s="393"/>
      <c r="F825" s="393"/>
      <c r="G825" s="393"/>
      <c r="H825" s="393"/>
      <c r="I825" s="393"/>
      <c r="J825" s="393"/>
      <c r="K825" s="393"/>
      <c r="L825" s="393"/>
      <c r="M825" s="393"/>
      <c r="N825" s="392"/>
      <c r="O825" s="392"/>
    </row>
    <row r="826" spans="5:15" s="428" customFormat="1" ht="14.1" customHeight="1">
      <c r="E826" s="390"/>
      <c r="F826" s="390"/>
      <c r="G826" s="390"/>
      <c r="H826" s="390"/>
      <c r="I826" s="390"/>
      <c r="J826" s="390"/>
      <c r="K826" s="391"/>
      <c r="L826" s="391"/>
      <c r="M826" s="435"/>
      <c r="N826" s="392"/>
      <c r="O826" s="393"/>
    </row>
    <row r="827" spans="5:15" s="428" customFormat="1" ht="14.1" customHeight="1">
      <c r="E827" s="393"/>
      <c r="F827" s="393"/>
      <c r="G827" s="393"/>
      <c r="H827" s="393"/>
      <c r="I827" s="393"/>
      <c r="J827" s="393"/>
      <c r="K827" s="393"/>
      <c r="L827" s="393"/>
      <c r="M827" s="393"/>
      <c r="N827" s="392"/>
      <c r="O827" s="392"/>
    </row>
    <row r="828" spans="5:15" s="428" customFormat="1" ht="14.1" customHeight="1">
      <c r="E828" s="393"/>
      <c r="F828" s="393"/>
      <c r="G828" s="393"/>
      <c r="H828" s="393"/>
      <c r="I828" s="393"/>
      <c r="J828" s="393"/>
      <c r="K828" s="393"/>
      <c r="L828" s="393"/>
      <c r="M828" s="393"/>
      <c r="N828" s="392"/>
      <c r="O828" s="392"/>
    </row>
    <row r="829" spans="5:15" s="428" customFormat="1" ht="14.1" customHeight="1">
      <c r="E829" s="390"/>
      <c r="F829" s="390"/>
      <c r="G829" s="390"/>
      <c r="H829" s="390"/>
      <c r="I829" s="390"/>
      <c r="J829" s="390"/>
      <c r="K829" s="391"/>
      <c r="L829" s="391"/>
      <c r="M829" s="435"/>
      <c r="N829" s="392"/>
      <c r="O829" s="393"/>
    </row>
    <row r="830" spans="5:15" s="428" customFormat="1" ht="14.1" customHeight="1">
      <c r="E830" s="390"/>
      <c r="F830" s="390"/>
      <c r="G830" s="390"/>
      <c r="H830" s="390"/>
      <c r="I830" s="390"/>
      <c r="J830" s="390"/>
      <c r="K830" s="391"/>
      <c r="L830" s="391"/>
      <c r="M830" s="435"/>
      <c r="N830" s="392"/>
      <c r="O830" s="393"/>
    </row>
    <row r="831" spans="5:15" s="428" customFormat="1" ht="14.1" customHeight="1">
      <c r="E831" s="390"/>
      <c r="F831" s="390"/>
      <c r="G831" s="390"/>
      <c r="H831" s="390"/>
      <c r="I831" s="390"/>
      <c r="J831" s="390"/>
      <c r="K831" s="391"/>
      <c r="L831" s="391"/>
      <c r="M831" s="435"/>
      <c r="N831" s="392"/>
      <c r="O831" s="393"/>
    </row>
    <row r="832" spans="5:15" s="428" customFormat="1" ht="14.1" customHeight="1">
      <c r="E832" s="390"/>
      <c r="F832" s="390"/>
      <c r="G832" s="390"/>
      <c r="H832" s="390"/>
      <c r="I832" s="390"/>
      <c r="J832" s="390"/>
      <c r="K832" s="391"/>
      <c r="L832" s="391"/>
      <c r="M832" s="435"/>
      <c r="N832" s="392"/>
      <c r="O832" s="393"/>
    </row>
    <row r="833" spans="5:15" s="428" customFormat="1" ht="14.1" customHeight="1">
      <c r="E833" s="390"/>
      <c r="F833" s="390"/>
      <c r="G833" s="390"/>
      <c r="H833" s="390"/>
      <c r="I833" s="390"/>
      <c r="J833" s="390"/>
      <c r="K833" s="391"/>
      <c r="L833" s="391"/>
      <c r="M833" s="435"/>
      <c r="N833" s="392"/>
      <c r="O833" s="393"/>
    </row>
    <row r="834" spans="5:15" s="428" customFormat="1" ht="14.1" customHeight="1">
      <c r="E834" s="393"/>
      <c r="F834" s="393"/>
      <c r="G834" s="393"/>
      <c r="H834" s="393"/>
      <c r="I834" s="393"/>
      <c r="J834" s="393"/>
      <c r="K834" s="393"/>
      <c r="L834" s="393"/>
      <c r="M834" s="393"/>
      <c r="N834" s="393"/>
      <c r="O834" s="393"/>
    </row>
    <row r="835" spans="5:15" s="428" customFormat="1" ht="14.1" customHeight="1">
      <c r="E835" s="390"/>
      <c r="F835" s="390"/>
      <c r="G835" s="390"/>
      <c r="H835" s="390"/>
      <c r="I835" s="390"/>
      <c r="J835" s="390"/>
      <c r="K835" s="391"/>
      <c r="L835" s="391"/>
      <c r="M835" s="435"/>
      <c r="N835" s="392"/>
      <c r="O835" s="393"/>
    </row>
    <row r="836" spans="5:15" s="428" customFormat="1" ht="14.1" customHeight="1">
      <c r="E836" s="390"/>
      <c r="F836" s="390"/>
      <c r="G836" s="390"/>
      <c r="H836" s="390"/>
      <c r="I836" s="390"/>
      <c r="J836" s="390"/>
      <c r="K836" s="391"/>
      <c r="L836" s="391"/>
      <c r="M836" s="435"/>
      <c r="N836" s="392"/>
      <c r="O836" s="393"/>
    </row>
    <row r="837" spans="5:15" s="428" customFormat="1" ht="14.1" customHeight="1">
      <c r="E837" s="390"/>
      <c r="F837" s="390"/>
      <c r="G837" s="390"/>
      <c r="H837" s="390"/>
      <c r="I837" s="390"/>
      <c r="J837" s="390"/>
      <c r="K837" s="391"/>
      <c r="L837" s="391"/>
      <c r="M837" s="435"/>
      <c r="N837" s="392"/>
      <c r="O837" s="393"/>
    </row>
    <row r="838" spans="5:15" s="428" customFormat="1" ht="14.1" customHeight="1">
      <c r="E838" s="390"/>
      <c r="F838" s="390"/>
      <c r="G838" s="390"/>
      <c r="H838" s="390"/>
      <c r="I838" s="390"/>
      <c r="J838" s="390"/>
      <c r="K838" s="391"/>
      <c r="L838" s="391"/>
      <c r="M838" s="435"/>
      <c r="N838" s="392"/>
      <c r="O838" s="393"/>
    </row>
    <row r="839" spans="5:15" s="428" customFormat="1" ht="14.1" customHeight="1">
      <c r="E839" s="390"/>
      <c r="F839" s="390"/>
      <c r="G839" s="390"/>
      <c r="H839" s="390"/>
      <c r="I839" s="390"/>
      <c r="J839" s="390"/>
      <c r="K839" s="391"/>
      <c r="L839" s="391"/>
      <c r="M839" s="435"/>
      <c r="N839" s="392"/>
      <c r="O839" s="393"/>
    </row>
    <row r="840" spans="5:15" s="428" customFormat="1" ht="14.1" customHeight="1">
      <c r="E840" s="390"/>
      <c r="F840" s="390"/>
      <c r="G840" s="390"/>
      <c r="H840" s="390"/>
      <c r="I840" s="390"/>
      <c r="J840" s="390"/>
      <c r="K840" s="391"/>
      <c r="L840" s="391"/>
      <c r="M840" s="435"/>
      <c r="N840" s="392"/>
      <c r="O840" s="393"/>
    </row>
    <row r="841" spans="5:15" s="428" customFormat="1" ht="14.1" customHeight="1">
      <c r="E841" s="390"/>
      <c r="F841" s="390"/>
      <c r="G841" s="390"/>
      <c r="H841" s="390"/>
      <c r="I841" s="390"/>
      <c r="J841" s="390"/>
      <c r="K841" s="391"/>
      <c r="L841" s="391"/>
      <c r="M841" s="435"/>
      <c r="N841" s="392"/>
      <c r="O841" s="393"/>
    </row>
    <row r="842" spans="5:15" s="428" customFormat="1" ht="14.1" customHeight="1">
      <c r="E842" s="390"/>
      <c r="F842" s="390"/>
      <c r="G842" s="390"/>
      <c r="H842" s="390"/>
      <c r="I842" s="390"/>
      <c r="J842" s="390"/>
      <c r="K842" s="391"/>
      <c r="L842" s="391"/>
      <c r="M842" s="435"/>
      <c r="N842" s="392"/>
      <c r="O842" s="393"/>
    </row>
    <row r="843" spans="5:15" s="428" customFormat="1" ht="14.1" customHeight="1">
      <c r="E843" s="390"/>
      <c r="F843" s="390"/>
      <c r="G843" s="390"/>
      <c r="H843" s="390"/>
      <c r="I843" s="390"/>
      <c r="J843" s="390"/>
      <c r="K843" s="391"/>
      <c r="L843" s="391"/>
      <c r="M843" s="435"/>
      <c r="N843" s="392"/>
      <c r="O843" s="393"/>
    </row>
    <row r="844" spans="5:15" s="428" customFormat="1" ht="14.1" customHeight="1">
      <c r="E844" s="390"/>
      <c r="F844" s="390"/>
      <c r="G844" s="390"/>
      <c r="H844" s="390"/>
      <c r="I844" s="390"/>
      <c r="J844" s="390"/>
      <c r="K844" s="391"/>
      <c r="L844" s="391"/>
      <c r="M844" s="435"/>
      <c r="N844" s="392"/>
      <c r="O844" s="393"/>
    </row>
    <row r="845" spans="5:15" s="428" customFormat="1" ht="14.1" customHeight="1">
      <c r="E845" s="390"/>
      <c r="F845" s="390"/>
      <c r="G845" s="390"/>
      <c r="H845" s="390"/>
      <c r="I845" s="390"/>
      <c r="J845" s="390"/>
      <c r="K845" s="391"/>
      <c r="L845" s="391"/>
      <c r="M845" s="435"/>
      <c r="N845" s="392"/>
      <c r="O845" s="393"/>
    </row>
    <row r="846" spans="5:15" s="428" customFormat="1" ht="14.1" customHeight="1">
      <c r="E846" s="390"/>
      <c r="F846" s="390"/>
      <c r="G846" s="390"/>
      <c r="H846" s="390"/>
      <c r="I846" s="390"/>
      <c r="J846" s="390"/>
      <c r="K846" s="391"/>
      <c r="L846" s="391"/>
      <c r="M846" s="435"/>
      <c r="N846" s="392"/>
      <c r="O846" s="393"/>
    </row>
    <row r="847" spans="5:15" s="428" customFormat="1" ht="14.1" customHeight="1">
      <c r="E847" s="390"/>
      <c r="F847" s="390"/>
      <c r="G847" s="390"/>
      <c r="H847" s="390"/>
      <c r="I847" s="390"/>
      <c r="J847" s="390"/>
      <c r="K847" s="391"/>
      <c r="L847" s="391"/>
      <c r="M847" s="435"/>
      <c r="N847" s="392"/>
      <c r="O847" s="393"/>
    </row>
    <row r="848" spans="5:15" s="428" customFormat="1" ht="14.1" customHeight="1">
      <c r="E848" s="393"/>
      <c r="F848" s="393"/>
      <c r="G848" s="393"/>
      <c r="H848" s="393"/>
      <c r="I848" s="393"/>
      <c r="J848" s="393"/>
      <c r="K848" s="393"/>
      <c r="L848" s="393"/>
      <c r="M848" s="393"/>
      <c r="N848" s="392"/>
      <c r="O848" s="392"/>
    </row>
    <row r="849" spans="5:15" s="428" customFormat="1" ht="14.1" customHeight="1">
      <c r="E849" s="390"/>
      <c r="F849" s="390"/>
      <c r="G849" s="390"/>
      <c r="H849" s="390"/>
      <c r="I849" s="390"/>
      <c r="J849" s="390"/>
      <c r="K849" s="391"/>
      <c r="L849" s="391"/>
      <c r="M849" s="435"/>
      <c r="N849" s="392"/>
      <c r="O849" s="393"/>
    </row>
    <row r="850" spans="5:15" s="428" customFormat="1" ht="14.1" customHeight="1">
      <c r="E850" s="393"/>
      <c r="F850" s="393"/>
      <c r="G850" s="393"/>
      <c r="H850" s="393"/>
      <c r="I850" s="393"/>
      <c r="J850" s="393"/>
      <c r="K850" s="393"/>
      <c r="L850" s="393"/>
      <c r="M850" s="393"/>
      <c r="N850" s="392"/>
      <c r="O850" s="392"/>
    </row>
    <row r="851" spans="5:15" s="428" customFormat="1" ht="14.1" customHeight="1">
      <c r="E851" s="390"/>
      <c r="F851" s="390"/>
      <c r="G851" s="390"/>
      <c r="H851" s="390"/>
      <c r="I851" s="390"/>
      <c r="J851" s="390"/>
      <c r="K851" s="391"/>
      <c r="L851" s="391"/>
      <c r="M851" s="435"/>
      <c r="N851" s="392"/>
      <c r="O851" s="393"/>
    </row>
    <row r="852" spans="5:15" s="428" customFormat="1" ht="14.1" customHeight="1">
      <c r="E852" s="390"/>
      <c r="F852" s="390"/>
      <c r="G852" s="390"/>
      <c r="H852" s="390"/>
      <c r="I852" s="390"/>
      <c r="J852" s="390"/>
      <c r="K852" s="391"/>
      <c r="L852" s="391"/>
      <c r="M852" s="435"/>
      <c r="N852" s="392"/>
      <c r="O852" s="393"/>
    </row>
    <row r="853" spans="5:15" s="428" customFormat="1" ht="14.1" customHeight="1">
      <c r="E853" s="393"/>
      <c r="F853" s="393"/>
      <c r="G853" s="393"/>
      <c r="H853" s="393"/>
      <c r="I853" s="393"/>
      <c r="J853" s="393"/>
      <c r="K853" s="393"/>
      <c r="L853" s="393"/>
      <c r="M853" s="393"/>
      <c r="N853" s="392"/>
      <c r="O853" s="392"/>
    </row>
    <row r="854" spans="5:15" s="428" customFormat="1" ht="14.1" customHeight="1">
      <c r="E854" s="390"/>
      <c r="F854" s="390"/>
      <c r="G854" s="390"/>
      <c r="H854" s="390"/>
      <c r="I854" s="390"/>
      <c r="J854" s="390"/>
      <c r="K854" s="391"/>
      <c r="L854" s="391"/>
      <c r="M854" s="435"/>
      <c r="N854" s="392"/>
      <c r="O854" s="393"/>
    </row>
    <row r="855" spans="5:15" s="428" customFormat="1" ht="14.1" customHeight="1">
      <c r="E855" s="393"/>
      <c r="F855" s="393"/>
      <c r="G855" s="393"/>
      <c r="H855" s="393"/>
      <c r="I855" s="393"/>
      <c r="J855" s="393"/>
      <c r="K855" s="393"/>
      <c r="L855" s="393"/>
      <c r="M855" s="393"/>
      <c r="N855" s="392"/>
      <c r="O855" s="392"/>
    </row>
    <row r="856" spans="5:15" s="428" customFormat="1" ht="14.1" customHeight="1">
      <c r="E856" s="390"/>
      <c r="F856" s="390"/>
      <c r="G856" s="390"/>
      <c r="H856" s="390"/>
      <c r="I856" s="390"/>
      <c r="J856" s="390"/>
      <c r="K856" s="391"/>
      <c r="L856" s="391"/>
      <c r="M856" s="435"/>
      <c r="N856" s="392"/>
      <c r="O856" s="393"/>
    </row>
    <row r="857" spans="5:15" s="428" customFormat="1" ht="14.1" customHeight="1">
      <c r="E857" s="393"/>
      <c r="F857" s="393"/>
      <c r="G857" s="393"/>
      <c r="H857" s="393"/>
      <c r="I857" s="393"/>
      <c r="J857" s="393"/>
      <c r="K857" s="393"/>
      <c r="L857" s="393"/>
      <c r="M857" s="393"/>
      <c r="N857" s="392"/>
      <c r="O857" s="392"/>
    </row>
    <row r="858" spans="5:15" s="428" customFormat="1" ht="14.1" customHeight="1">
      <c r="E858" s="390"/>
      <c r="F858" s="390"/>
      <c r="G858" s="390"/>
      <c r="H858" s="390"/>
      <c r="I858" s="390"/>
      <c r="J858" s="390"/>
      <c r="K858" s="391"/>
      <c r="L858" s="391"/>
      <c r="M858" s="435"/>
      <c r="N858" s="392"/>
      <c r="O858" s="393"/>
    </row>
    <row r="859" spans="5:15" s="428" customFormat="1" ht="14.1" customHeight="1">
      <c r="E859" s="390"/>
      <c r="F859" s="390"/>
      <c r="G859" s="390"/>
      <c r="H859" s="390"/>
      <c r="I859" s="390"/>
      <c r="J859" s="390"/>
      <c r="K859" s="391"/>
      <c r="L859" s="391"/>
      <c r="M859" s="435"/>
      <c r="N859" s="392"/>
      <c r="O859" s="393"/>
    </row>
    <row r="860" spans="5:15" s="428" customFormat="1" ht="14.1" customHeight="1">
      <c r="E860" s="390"/>
      <c r="F860" s="390"/>
      <c r="G860" s="390"/>
      <c r="H860" s="390"/>
      <c r="I860" s="390"/>
      <c r="J860" s="390"/>
      <c r="K860" s="391"/>
      <c r="L860" s="391"/>
      <c r="M860" s="435"/>
      <c r="N860" s="392"/>
      <c r="O860" s="393"/>
    </row>
    <row r="861" spans="5:15" s="428" customFormat="1" ht="14.1" customHeight="1">
      <c r="E861" s="390"/>
      <c r="F861" s="390"/>
      <c r="G861" s="390"/>
      <c r="H861" s="390"/>
      <c r="I861" s="390"/>
      <c r="J861" s="390"/>
      <c r="K861" s="391"/>
      <c r="L861" s="391"/>
      <c r="M861" s="435"/>
      <c r="N861" s="392"/>
      <c r="O861" s="393"/>
    </row>
    <row r="862" spans="5:15" s="428" customFormat="1" ht="14.1" customHeight="1">
      <c r="E862" s="393"/>
      <c r="F862" s="393"/>
      <c r="G862" s="393"/>
      <c r="H862" s="393"/>
      <c r="I862" s="393"/>
      <c r="J862" s="393"/>
      <c r="K862" s="393"/>
      <c r="L862" s="393"/>
      <c r="M862" s="393"/>
      <c r="N862" s="392"/>
      <c r="O862" s="392"/>
    </row>
    <row r="863" spans="5:15" s="428" customFormat="1" ht="14.1" customHeight="1">
      <c r="E863" s="390"/>
      <c r="F863" s="390"/>
      <c r="G863" s="390"/>
      <c r="H863" s="390"/>
      <c r="I863" s="390"/>
      <c r="J863" s="390"/>
      <c r="K863" s="391"/>
      <c r="L863" s="391"/>
      <c r="M863" s="435"/>
      <c r="N863" s="392"/>
      <c r="O863" s="393"/>
    </row>
    <row r="864" spans="5:15" s="428" customFormat="1" ht="14.1" customHeight="1">
      <c r="E864" s="393"/>
      <c r="F864" s="393"/>
      <c r="G864" s="393"/>
      <c r="H864" s="393"/>
      <c r="I864" s="393"/>
      <c r="J864" s="393"/>
      <c r="K864" s="393"/>
      <c r="L864" s="393"/>
      <c r="M864" s="393"/>
      <c r="N864" s="392"/>
      <c r="O864" s="392"/>
    </row>
    <row r="865" spans="5:15" s="428" customFormat="1" ht="14.1" customHeight="1">
      <c r="E865" s="390"/>
      <c r="F865" s="390"/>
      <c r="G865" s="390"/>
      <c r="H865" s="390"/>
      <c r="I865" s="390"/>
      <c r="J865" s="390"/>
      <c r="K865" s="391"/>
      <c r="L865" s="391"/>
      <c r="M865" s="435"/>
      <c r="N865" s="392"/>
      <c r="O865" s="393"/>
    </row>
    <row r="866" spans="5:15" s="428" customFormat="1" ht="14.1" customHeight="1">
      <c r="E866" s="390"/>
      <c r="F866" s="390"/>
      <c r="G866" s="390"/>
      <c r="H866" s="390"/>
      <c r="I866" s="390"/>
      <c r="J866" s="390"/>
      <c r="K866" s="391"/>
      <c r="L866" s="391"/>
      <c r="M866" s="435"/>
      <c r="N866" s="392"/>
      <c r="O866" s="393"/>
    </row>
    <row r="867" spans="5:15" s="428" customFormat="1" ht="14.1" customHeight="1">
      <c r="E867" s="393"/>
      <c r="F867" s="393"/>
      <c r="G867" s="393"/>
      <c r="H867" s="393"/>
      <c r="I867" s="393"/>
      <c r="J867" s="393"/>
      <c r="K867" s="393"/>
      <c r="L867" s="393"/>
      <c r="M867" s="393"/>
      <c r="N867" s="392"/>
      <c r="O867" s="392"/>
    </row>
    <row r="868" spans="5:15" s="428" customFormat="1" ht="14.1" customHeight="1">
      <c r="E868" s="390"/>
      <c r="F868" s="390"/>
      <c r="G868" s="390"/>
      <c r="H868" s="390"/>
      <c r="I868" s="390"/>
      <c r="J868" s="390"/>
      <c r="K868" s="391"/>
      <c r="L868" s="391"/>
      <c r="M868" s="435"/>
      <c r="N868" s="392"/>
      <c r="O868" s="393"/>
    </row>
    <row r="869" spans="5:15" s="428" customFormat="1" ht="14.1" customHeight="1">
      <c r="E869" s="390"/>
      <c r="F869" s="390"/>
      <c r="G869" s="390"/>
      <c r="H869" s="390"/>
      <c r="I869" s="390"/>
      <c r="J869" s="390"/>
      <c r="K869" s="391"/>
      <c r="L869" s="391"/>
      <c r="M869" s="435"/>
      <c r="N869" s="392"/>
      <c r="O869" s="393"/>
    </row>
    <row r="870" spans="5:15" s="428" customFormat="1" ht="14.1" customHeight="1">
      <c r="E870" s="390"/>
      <c r="F870" s="390"/>
      <c r="G870" s="390"/>
      <c r="H870" s="390"/>
      <c r="I870" s="390"/>
      <c r="J870" s="390"/>
      <c r="K870" s="391"/>
      <c r="L870" s="391"/>
      <c r="M870" s="435"/>
      <c r="N870" s="392"/>
      <c r="O870" s="393"/>
    </row>
    <row r="871" spans="5:15" s="428" customFormat="1" ht="14.1" customHeight="1">
      <c r="E871" s="390"/>
      <c r="F871" s="390"/>
      <c r="G871" s="390"/>
      <c r="H871" s="390"/>
      <c r="I871" s="390"/>
      <c r="J871" s="390"/>
      <c r="K871" s="391"/>
      <c r="L871" s="391"/>
      <c r="M871" s="435"/>
      <c r="N871" s="392"/>
      <c r="O871" s="393"/>
    </row>
    <row r="872" spans="5:15" s="428" customFormat="1" ht="14.1" customHeight="1">
      <c r="E872" s="390"/>
      <c r="F872" s="390"/>
      <c r="G872" s="390"/>
      <c r="H872" s="390"/>
      <c r="I872" s="390"/>
      <c r="J872" s="390"/>
      <c r="K872" s="391"/>
      <c r="L872" s="391"/>
      <c r="M872" s="435"/>
      <c r="N872" s="392"/>
      <c r="O872" s="393"/>
    </row>
    <row r="873" spans="5:15" s="428" customFormat="1" ht="14.1" customHeight="1">
      <c r="E873" s="390"/>
      <c r="F873" s="390"/>
      <c r="G873" s="390"/>
      <c r="H873" s="390"/>
      <c r="I873" s="390"/>
      <c r="J873" s="390"/>
      <c r="K873" s="391"/>
      <c r="L873" s="391"/>
      <c r="M873" s="435"/>
      <c r="N873" s="392"/>
      <c r="O873" s="393"/>
    </row>
    <row r="874" spans="5:15" s="428" customFormat="1" ht="14.1" customHeight="1">
      <c r="E874" s="390"/>
      <c r="F874" s="390"/>
      <c r="G874" s="390"/>
      <c r="H874" s="390"/>
      <c r="I874" s="390"/>
      <c r="J874" s="390"/>
      <c r="K874" s="391"/>
      <c r="L874" s="391"/>
      <c r="M874" s="435"/>
      <c r="N874" s="392"/>
      <c r="O874" s="393"/>
    </row>
    <row r="875" spans="5:15" s="428" customFormat="1" ht="14.1" customHeight="1">
      <c r="E875" s="390"/>
      <c r="F875" s="390"/>
      <c r="G875" s="390"/>
      <c r="H875" s="390"/>
      <c r="I875" s="390"/>
      <c r="J875" s="390"/>
      <c r="K875" s="391"/>
      <c r="L875" s="391"/>
      <c r="M875" s="435"/>
      <c r="N875" s="392"/>
      <c r="O875" s="393"/>
    </row>
    <row r="876" spans="5:15" s="428" customFormat="1" ht="14.1" customHeight="1">
      <c r="E876" s="390"/>
      <c r="F876" s="390"/>
      <c r="G876" s="390"/>
      <c r="H876" s="390"/>
      <c r="I876" s="390"/>
      <c r="J876" s="390"/>
      <c r="K876" s="391"/>
      <c r="L876" s="391"/>
      <c r="M876" s="435"/>
      <c r="N876" s="392"/>
      <c r="O876" s="393"/>
    </row>
    <row r="877" spans="5:15" s="428" customFormat="1" ht="14.1" customHeight="1">
      <c r="E877" s="390"/>
      <c r="F877" s="390"/>
      <c r="G877" s="390"/>
      <c r="H877" s="390"/>
      <c r="I877" s="390"/>
      <c r="J877" s="390"/>
      <c r="K877" s="391"/>
      <c r="L877" s="391"/>
      <c r="M877" s="435"/>
      <c r="N877" s="392"/>
      <c r="O877" s="393"/>
    </row>
    <row r="878" spans="5:15" s="428" customFormat="1" ht="14.1" customHeight="1">
      <c r="E878" s="390"/>
      <c r="F878" s="390"/>
      <c r="G878" s="390"/>
      <c r="H878" s="390"/>
      <c r="I878" s="390"/>
      <c r="J878" s="390"/>
      <c r="K878" s="391"/>
      <c r="L878" s="391"/>
      <c r="M878" s="435"/>
      <c r="N878" s="392"/>
      <c r="O878" s="393"/>
    </row>
    <row r="879" spans="5:15" s="428" customFormat="1" ht="14.1" customHeight="1">
      <c r="E879" s="393"/>
      <c r="F879" s="393"/>
      <c r="G879" s="393"/>
      <c r="H879" s="393"/>
      <c r="I879" s="393"/>
      <c r="J879" s="393"/>
      <c r="K879" s="393"/>
      <c r="L879" s="393"/>
      <c r="M879" s="393"/>
      <c r="N879" s="392"/>
      <c r="O879" s="392"/>
    </row>
    <row r="880" spans="5:15" s="428" customFormat="1" ht="14.1" customHeight="1">
      <c r="E880" s="393"/>
      <c r="F880" s="393"/>
      <c r="G880" s="393"/>
      <c r="H880" s="393"/>
      <c r="I880" s="393"/>
      <c r="J880" s="393"/>
      <c r="K880" s="393"/>
      <c r="L880" s="393"/>
      <c r="M880" s="393"/>
      <c r="N880" s="392"/>
      <c r="O880" s="392"/>
    </row>
    <row r="881" spans="5:15" s="428" customFormat="1" ht="14.1" customHeight="1">
      <c r="E881" s="390"/>
      <c r="F881" s="390"/>
      <c r="G881" s="390"/>
      <c r="H881" s="390"/>
      <c r="I881" s="390"/>
      <c r="J881" s="390"/>
      <c r="K881" s="391"/>
      <c r="L881" s="391"/>
      <c r="M881" s="435"/>
      <c r="N881" s="392"/>
      <c r="O881" s="393"/>
    </row>
    <row r="882" spans="5:15" s="428" customFormat="1" ht="14.1" customHeight="1">
      <c r="E882" s="393"/>
      <c r="F882" s="393"/>
      <c r="G882" s="393"/>
      <c r="H882" s="393"/>
      <c r="I882" s="393"/>
      <c r="J882" s="393"/>
      <c r="K882" s="393"/>
      <c r="L882" s="393"/>
      <c r="M882" s="393"/>
      <c r="N882" s="393"/>
      <c r="O882" s="393"/>
    </row>
    <row r="883" spans="5:15" s="428" customFormat="1" ht="14.1" customHeight="1">
      <c r="E883" s="390"/>
      <c r="F883" s="390"/>
      <c r="G883" s="390"/>
      <c r="H883" s="390"/>
      <c r="I883" s="390"/>
      <c r="J883" s="390"/>
      <c r="K883" s="391"/>
      <c r="L883" s="391"/>
      <c r="M883" s="435"/>
      <c r="N883" s="392"/>
      <c r="O883" s="393"/>
    </row>
    <row r="884" spans="5:15" s="428" customFormat="1" ht="14.1" customHeight="1">
      <c r="E884" s="390"/>
      <c r="F884" s="390"/>
      <c r="G884" s="390"/>
      <c r="H884" s="390"/>
      <c r="I884" s="390"/>
      <c r="J884" s="390"/>
      <c r="K884" s="391"/>
      <c r="L884" s="391"/>
      <c r="M884" s="435"/>
      <c r="N884" s="392"/>
      <c r="O884" s="393"/>
    </row>
    <row r="885" spans="5:15" s="428" customFormat="1" ht="14.1" customHeight="1">
      <c r="E885" s="390"/>
      <c r="F885" s="390"/>
      <c r="G885" s="390"/>
      <c r="H885" s="390"/>
      <c r="I885" s="390"/>
      <c r="J885" s="390"/>
      <c r="K885" s="391"/>
      <c r="L885" s="391"/>
      <c r="M885" s="435"/>
      <c r="N885" s="392"/>
      <c r="O885" s="393"/>
    </row>
    <row r="886" spans="5:15" s="428" customFormat="1" ht="14.1" customHeight="1">
      <c r="E886" s="393"/>
      <c r="F886" s="393"/>
      <c r="G886" s="393"/>
      <c r="H886" s="393"/>
      <c r="I886" s="393"/>
      <c r="J886" s="393"/>
      <c r="K886" s="393"/>
      <c r="L886" s="393"/>
      <c r="M886" s="393"/>
      <c r="N886" s="392"/>
      <c r="O886" s="392"/>
    </row>
    <row r="887" spans="5:15" s="428" customFormat="1" ht="14.1" customHeight="1">
      <c r="E887" s="390"/>
      <c r="F887" s="390"/>
      <c r="G887" s="390"/>
      <c r="H887" s="390"/>
      <c r="I887" s="390"/>
      <c r="J887" s="390"/>
      <c r="K887" s="391"/>
      <c r="L887" s="391"/>
      <c r="M887" s="435"/>
      <c r="N887" s="392"/>
      <c r="O887" s="393"/>
    </row>
    <row r="888" spans="5:15" s="428" customFormat="1" ht="14.1" customHeight="1">
      <c r="E888" s="390"/>
      <c r="F888" s="390"/>
      <c r="G888" s="390"/>
      <c r="H888" s="390"/>
      <c r="I888" s="390"/>
      <c r="J888" s="390"/>
      <c r="K888" s="391"/>
      <c r="L888" s="391"/>
      <c r="M888" s="435"/>
      <c r="N888" s="392"/>
      <c r="O888" s="393"/>
    </row>
    <row r="889" spans="5:15" s="428" customFormat="1" ht="14.1" customHeight="1">
      <c r="E889" s="393"/>
      <c r="F889" s="393"/>
      <c r="G889" s="393"/>
      <c r="H889" s="393"/>
      <c r="I889" s="393"/>
      <c r="J889" s="393"/>
      <c r="K889" s="393"/>
      <c r="L889" s="393"/>
      <c r="M889" s="393"/>
      <c r="N889" s="392"/>
      <c r="O889" s="392"/>
    </row>
    <row r="890" spans="5:15" s="428" customFormat="1" ht="14.1" customHeight="1">
      <c r="E890" s="390"/>
      <c r="F890" s="390"/>
      <c r="G890" s="390"/>
      <c r="H890" s="390"/>
      <c r="I890" s="390"/>
      <c r="J890" s="390"/>
      <c r="K890" s="391"/>
      <c r="L890" s="391"/>
      <c r="M890" s="435"/>
      <c r="N890" s="392"/>
      <c r="O890" s="393"/>
    </row>
    <row r="891" spans="5:15" s="428" customFormat="1" ht="14.1" customHeight="1">
      <c r="E891" s="390"/>
      <c r="F891" s="390"/>
      <c r="G891" s="390"/>
      <c r="H891" s="390"/>
      <c r="I891" s="390"/>
      <c r="J891" s="390"/>
      <c r="K891" s="391"/>
      <c r="L891" s="391"/>
      <c r="M891" s="435"/>
      <c r="N891" s="392"/>
      <c r="O891" s="393"/>
    </row>
    <row r="892" spans="5:15" s="428" customFormat="1" ht="14.1" customHeight="1">
      <c r="E892" s="393"/>
      <c r="F892" s="393"/>
      <c r="G892" s="393"/>
      <c r="H892" s="393"/>
      <c r="I892" s="393"/>
      <c r="J892" s="393"/>
      <c r="K892" s="393"/>
      <c r="L892" s="393"/>
      <c r="M892" s="393"/>
      <c r="N892" s="392"/>
      <c r="O892" s="392"/>
    </row>
    <row r="893" spans="5:15" s="428" customFormat="1" ht="14.1" customHeight="1">
      <c r="E893" s="390"/>
      <c r="F893" s="390"/>
      <c r="G893" s="390"/>
      <c r="H893" s="390"/>
      <c r="I893" s="390"/>
      <c r="J893" s="390"/>
      <c r="K893" s="391"/>
      <c r="L893" s="391"/>
      <c r="M893" s="435"/>
      <c r="N893" s="392"/>
      <c r="O893" s="393"/>
    </row>
    <row r="894" spans="5:15" s="428" customFormat="1" ht="14.1" customHeight="1">
      <c r="E894" s="393"/>
      <c r="F894" s="393"/>
      <c r="G894" s="393"/>
      <c r="H894" s="393"/>
      <c r="I894" s="393"/>
      <c r="J894" s="393"/>
      <c r="K894" s="393"/>
      <c r="L894" s="393"/>
      <c r="M894" s="393"/>
      <c r="N894" s="392"/>
      <c r="O894" s="392"/>
    </row>
    <row r="895" spans="5:15" s="428" customFormat="1" ht="14.1" customHeight="1">
      <c r="E895" s="390"/>
      <c r="F895" s="390"/>
      <c r="G895" s="390"/>
      <c r="H895" s="390"/>
      <c r="I895" s="390"/>
      <c r="J895" s="390"/>
      <c r="K895" s="391"/>
      <c r="L895" s="391"/>
      <c r="M895" s="435"/>
      <c r="N895" s="392"/>
      <c r="O895" s="393"/>
    </row>
    <row r="896" spans="5:15" s="428" customFormat="1" ht="14.1" customHeight="1">
      <c r="E896" s="390"/>
      <c r="F896" s="390"/>
      <c r="G896" s="390"/>
      <c r="H896" s="390"/>
      <c r="I896" s="390"/>
      <c r="J896" s="390"/>
      <c r="K896" s="391"/>
      <c r="L896" s="391"/>
      <c r="M896" s="435"/>
      <c r="N896" s="392"/>
      <c r="O896" s="393"/>
    </row>
    <row r="897" spans="5:15" s="428" customFormat="1" ht="14.1" customHeight="1">
      <c r="E897" s="390"/>
      <c r="F897" s="390"/>
      <c r="G897" s="390"/>
      <c r="H897" s="390"/>
      <c r="I897" s="390"/>
      <c r="J897" s="390"/>
      <c r="K897" s="391"/>
      <c r="L897" s="391"/>
      <c r="M897" s="435"/>
      <c r="N897" s="392"/>
      <c r="O897" s="393"/>
    </row>
    <row r="898" spans="5:15" s="428" customFormat="1" ht="14.1" customHeight="1">
      <c r="E898" s="393"/>
      <c r="F898" s="393"/>
      <c r="G898" s="393"/>
      <c r="H898" s="393"/>
      <c r="I898" s="393"/>
      <c r="J898" s="393"/>
      <c r="K898" s="393"/>
      <c r="L898" s="393"/>
      <c r="M898" s="393"/>
      <c r="N898" s="392"/>
      <c r="O898" s="392"/>
    </row>
    <row r="899" spans="5:15" s="428" customFormat="1" ht="14.1" customHeight="1">
      <c r="E899" s="390"/>
      <c r="F899" s="390"/>
      <c r="G899" s="390"/>
      <c r="H899" s="390"/>
      <c r="I899" s="390"/>
      <c r="J899" s="390"/>
      <c r="K899" s="391"/>
      <c r="L899" s="391"/>
      <c r="M899" s="435"/>
      <c r="N899" s="392"/>
      <c r="O899" s="393"/>
    </row>
    <row r="900" spans="5:15" s="428" customFormat="1" ht="14.1" customHeight="1">
      <c r="E900" s="393"/>
      <c r="F900" s="393"/>
      <c r="G900" s="393"/>
      <c r="H900" s="393"/>
      <c r="I900" s="393"/>
      <c r="J900" s="393"/>
      <c r="K900" s="393"/>
      <c r="L900" s="393"/>
      <c r="M900" s="393"/>
      <c r="N900" s="392"/>
      <c r="O900" s="392"/>
    </row>
    <row r="901" spans="5:15" s="428" customFormat="1" ht="14.1" customHeight="1">
      <c r="E901" s="390"/>
      <c r="F901" s="390"/>
      <c r="G901" s="390"/>
      <c r="H901" s="390"/>
      <c r="I901" s="390"/>
      <c r="J901" s="390"/>
      <c r="K901" s="391"/>
      <c r="L901" s="391"/>
      <c r="M901" s="435"/>
      <c r="N901" s="392"/>
      <c r="O901" s="393"/>
    </row>
    <row r="902" spans="5:15" s="428" customFormat="1" ht="14.1" customHeight="1">
      <c r="E902" s="390"/>
      <c r="F902" s="390"/>
      <c r="G902" s="390"/>
      <c r="H902" s="390"/>
      <c r="I902" s="390"/>
      <c r="J902" s="390"/>
      <c r="K902" s="391"/>
      <c r="L902" s="391"/>
      <c r="M902" s="435"/>
      <c r="N902" s="392"/>
      <c r="O902" s="393"/>
    </row>
    <row r="903" spans="5:15" s="428" customFormat="1" ht="14.1" customHeight="1">
      <c r="E903" s="393"/>
      <c r="F903" s="393"/>
      <c r="G903" s="393"/>
      <c r="H903" s="393"/>
      <c r="I903" s="393"/>
      <c r="J903" s="393"/>
      <c r="K903" s="393"/>
      <c r="L903" s="393"/>
      <c r="M903" s="393"/>
      <c r="N903" s="392"/>
      <c r="O903" s="392"/>
    </row>
    <row r="904" spans="5:15" s="428" customFormat="1" ht="14.1" customHeight="1">
      <c r="E904" s="393"/>
      <c r="F904" s="393"/>
      <c r="G904" s="393"/>
      <c r="H904" s="393"/>
      <c r="I904" s="393"/>
      <c r="J904" s="393"/>
      <c r="K904" s="393"/>
      <c r="L904" s="393"/>
      <c r="M904" s="393"/>
      <c r="N904" s="392"/>
      <c r="O904" s="392"/>
    </row>
    <row r="905" spans="5:15" s="428" customFormat="1" ht="14.1" customHeight="1">
      <c r="E905" s="390"/>
      <c r="F905" s="390"/>
      <c r="G905" s="390"/>
      <c r="H905" s="390"/>
      <c r="I905" s="390"/>
      <c r="J905" s="390"/>
      <c r="K905" s="391"/>
      <c r="L905" s="391"/>
      <c r="M905" s="435"/>
      <c r="N905" s="392"/>
      <c r="O905" s="393"/>
    </row>
    <row r="906" spans="5:15" s="428" customFormat="1" ht="14.1" customHeight="1">
      <c r="E906" s="390"/>
      <c r="F906" s="390"/>
      <c r="G906" s="390"/>
      <c r="H906" s="390"/>
      <c r="I906" s="390"/>
      <c r="J906" s="390"/>
      <c r="K906" s="391"/>
      <c r="L906" s="391"/>
      <c r="M906" s="435"/>
      <c r="N906" s="392"/>
      <c r="O906" s="393"/>
    </row>
    <row r="907" spans="5:15" s="428" customFormat="1" ht="14.1" customHeight="1">
      <c r="E907" s="390"/>
      <c r="F907" s="390"/>
      <c r="G907" s="390"/>
      <c r="H907" s="390"/>
      <c r="I907" s="390"/>
      <c r="J907" s="390"/>
      <c r="K907" s="391"/>
      <c r="L907" s="391"/>
      <c r="M907" s="435"/>
      <c r="N907" s="392"/>
      <c r="O907" s="393"/>
    </row>
    <row r="908" spans="5:15" s="428" customFormat="1" ht="14.1" customHeight="1">
      <c r="E908" s="393"/>
      <c r="F908" s="393"/>
      <c r="G908" s="393"/>
      <c r="H908" s="393"/>
      <c r="I908" s="393"/>
      <c r="J908" s="393"/>
      <c r="K908" s="393"/>
      <c r="L908" s="393"/>
      <c r="M908" s="393"/>
      <c r="N908" s="392"/>
      <c r="O908" s="392"/>
    </row>
    <row r="909" spans="5:15" s="428" customFormat="1" ht="14.1" customHeight="1">
      <c r="E909" s="390"/>
      <c r="F909" s="390"/>
      <c r="G909" s="390"/>
      <c r="H909" s="390"/>
      <c r="I909" s="390"/>
      <c r="J909" s="390"/>
      <c r="K909" s="391"/>
      <c r="L909" s="391"/>
      <c r="M909" s="435"/>
      <c r="N909" s="392"/>
      <c r="O909" s="393"/>
    </row>
    <row r="910" spans="5:15" s="428" customFormat="1" ht="14.1" customHeight="1">
      <c r="E910" s="390"/>
      <c r="F910" s="390"/>
      <c r="G910" s="390"/>
      <c r="H910" s="390"/>
      <c r="I910" s="390"/>
      <c r="J910" s="390"/>
      <c r="K910" s="391"/>
      <c r="L910" s="391"/>
      <c r="M910" s="435"/>
      <c r="N910" s="392"/>
      <c r="O910" s="393"/>
    </row>
    <row r="911" spans="5:15" s="428" customFormat="1" ht="14.1" customHeight="1">
      <c r="E911" s="393"/>
      <c r="F911" s="393"/>
      <c r="G911" s="393"/>
      <c r="H911" s="393"/>
      <c r="I911" s="393"/>
      <c r="J911" s="393"/>
      <c r="K911" s="393"/>
      <c r="L911" s="393"/>
      <c r="M911" s="393"/>
      <c r="N911" s="392"/>
      <c r="O911" s="392"/>
    </row>
    <row r="912" spans="5:15" s="428" customFormat="1" ht="14.1" customHeight="1">
      <c r="E912" s="390"/>
      <c r="F912" s="390"/>
      <c r="G912" s="390"/>
      <c r="H912" s="390"/>
      <c r="I912" s="390"/>
      <c r="J912" s="390"/>
      <c r="K912" s="391"/>
      <c r="L912" s="391"/>
      <c r="M912" s="435"/>
      <c r="N912" s="392"/>
      <c r="O912" s="393"/>
    </row>
    <row r="913" spans="5:15" s="428" customFormat="1" ht="14.1" customHeight="1">
      <c r="E913" s="390"/>
      <c r="F913" s="390"/>
      <c r="G913" s="390"/>
      <c r="H913" s="390"/>
      <c r="I913" s="390"/>
      <c r="J913" s="390"/>
      <c r="K913" s="391"/>
      <c r="L913" s="391"/>
      <c r="M913" s="435"/>
      <c r="N913" s="392"/>
      <c r="O913" s="393"/>
    </row>
    <row r="914" spans="5:15" s="428" customFormat="1" ht="14.1" customHeight="1">
      <c r="E914" s="393"/>
      <c r="F914" s="393"/>
      <c r="G914" s="393"/>
      <c r="H914" s="393"/>
      <c r="I914" s="393"/>
      <c r="J914" s="393"/>
      <c r="K914" s="393"/>
      <c r="L914" s="393"/>
      <c r="M914" s="393"/>
      <c r="N914" s="392"/>
      <c r="O914" s="392"/>
    </row>
    <row r="915" spans="5:15" s="428" customFormat="1" ht="14.1" customHeight="1">
      <c r="E915" s="390"/>
      <c r="F915" s="390"/>
      <c r="G915" s="390"/>
      <c r="H915" s="390"/>
      <c r="I915" s="390"/>
      <c r="J915" s="390"/>
      <c r="K915" s="391"/>
      <c r="L915" s="391"/>
      <c r="M915" s="435"/>
      <c r="N915" s="392"/>
      <c r="O915" s="393"/>
    </row>
    <row r="916" spans="5:15" s="428" customFormat="1" ht="14.1" customHeight="1">
      <c r="E916" s="390"/>
      <c r="F916" s="390"/>
      <c r="G916" s="390"/>
      <c r="H916" s="390"/>
      <c r="I916" s="390"/>
      <c r="J916" s="390"/>
      <c r="K916" s="391"/>
      <c r="L916" s="391"/>
      <c r="M916" s="435"/>
      <c r="N916" s="392"/>
      <c r="O916" s="393"/>
    </row>
    <row r="917" spans="5:15" s="428" customFormat="1" ht="14.1" customHeight="1">
      <c r="E917" s="390"/>
      <c r="F917" s="390"/>
      <c r="G917" s="390"/>
      <c r="H917" s="390"/>
      <c r="I917" s="390"/>
      <c r="J917" s="390"/>
      <c r="K917" s="391"/>
      <c r="L917" s="391"/>
      <c r="M917" s="435"/>
      <c r="N917" s="392"/>
      <c r="O917" s="393"/>
    </row>
    <row r="918" spans="5:15" s="428" customFormat="1" ht="14.1" customHeight="1">
      <c r="E918" s="390"/>
      <c r="F918" s="390"/>
      <c r="G918" s="390"/>
      <c r="H918" s="390"/>
      <c r="I918" s="390"/>
      <c r="J918" s="390"/>
      <c r="K918" s="391"/>
      <c r="L918" s="391"/>
      <c r="M918" s="435"/>
      <c r="N918" s="392"/>
      <c r="O918" s="393"/>
    </row>
    <row r="919" spans="5:15" s="428" customFormat="1" ht="14.1" customHeight="1">
      <c r="E919" s="393"/>
      <c r="F919" s="393"/>
      <c r="G919" s="393"/>
      <c r="H919" s="393"/>
      <c r="I919" s="393"/>
      <c r="J919" s="393"/>
      <c r="K919" s="393"/>
      <c r="L919" s="393"/>
      <c r="M919" s="393"/>
      <c r="N919" s="392"/>
      <c r="O919" s="392"/>
    </row>
    <row r="920" spans="5:15" s="428" customFormat="1" ht="14.1" customHeight="1">
      <c r="E920" s="390"/>
      <c r="F920" s="390"/>
      <c r="G920" s="390"/>
      <c r="H920" s="390"/>
      <c r="I920" s="390"/>
      <c r="J920" s="390"/>
      <c r="K920" s="391"/>
      <c r="L920" s="391"/>
      <c r="M920" s="435"/>
      <c r="N920" s="392"/>
      <c r="O920" s="393"/>
    </row>
    <row r="921" spans="5:15" s="428" customFormat="1" ht="14.1" customHeight="1">
      <c r="E921" s="393"/>
      <c r="F921" s="393"/>
      <c r="G921" s="393"/>
      <c r="H921" s="393"/>
      <c r="I921" s="393"/>
      <c r="J921" s="393"/>
      <c r="K921" s="393"/>
      <c r="L921" s="393"/>
      <c r="M921" s="393"/>
      <c r="N921" s="392"/>
      <c r="O921" s="392"/>
    </row>
    <row r="922" spans="5:15" s="428" customFormat="1" ht="14.1" customHeight="1">
      <c r="E922" s="390"/>
      <c r="F922" s="390"/>
      <c r="G922" s="390"/>
      <c r="H922" s="390"/>
      <c r="I922" s="390"/>
      <c r="J922" s="390"/>
      <c r="K922" s="391"/>
      <c r="L922" s="391"/>
      <c r="M922" s="435"/>
      <c r="N922" s="392"/>
      <c r="O922" s="393"/>
    </row>
    <row r="923" spans="5:15" s="428" customFormat="1" ht="14.1" customHeight="1">
      <c r="E923" s="390"/>
      <c r="F923" s="390"/>
      <c r="G923" s="390"/>
      <c r="H923" s="390"/>
      <c r="I923" s="390"/>
      <c r="J923" s="390"/>
      <c r="K923" s="391"/>
      <c r="L923" s="391"/>
      <c r="M923" s="435"/>
      <c r="N923" s="392"/>
      <c r="O923" s="393"/>
    </row>
    <row r="924" spans="5:15" s="428" customFormat="1" ht="14.1" customHeight="1">
      <c r="E924" s="390"/>
      <c r="F924" s="390"/>
      <c r="G924" s="390"/>
      <c r="H924" s="390"/>
      <c r="I924" s="390"/>
      <c r="J924" s="390"/>
      <c r="K924" s="391"/>
      <c r="L924" s="391"/>
      <c r="M924" s="435"/>
      <c r="N924" s="392"/>
      <c r="O924" s="393"/>
    </row>
    <row r="925" spans="5:15" s="428" customFormat="1" ht="14.1" customHeight="1">
      <c r="E925" s="393"/>
      <c r="F925" s="393"/>
      <c r="G925" s="393"/>
      <c r="H925" s="393"/>
      <c r="I925" s="393"/>
      <c r="J925" s="393"/>
      <c r="K925" s="393"/>
      <c r="L925" s="393"/>
      <c r="M925" s="393"/>
      <c r="N925" s="392"/>
      <c r="O925" s="392"/>
    </row>
    <row r="926" spans="5:15" s="428" customFormat="1" ht="14.1" customHeight="1">
      <c r="E926" s="390"/>
      <c r="F926" s="390"/>
      <c r="G926" s="390"/>
      <c r="H926" s="390"/>
      <c r="I926" s="390"/>
      <c r="J926" s="390"/>
      <c r="K926" s="391"/>
      <c r="L926" s="391"/>
      <c r="M926" s="435"/>
      <c r="N926" s="392"/>
      <c r="O926" s="393"/>
    </row>
    <row r="927" spans="5:15" s="428" customFormat="1" ht="14.1" customHeight="1">
      <c r="E927" s="390"/>
      <c r="F927" s="390"/>
      <c r="G927" s="390"/>
      <c r="H927" s="390"/>
      <c r="I927" s="390"/>
      <c r="J927" s="390"/>
      <c r="K927" s="391"/>
      <c r="L927" s="391"/>
      <c r="M927" s="435"/>
      <c r="N927" s="392"/>
      <c r="O927" s="393"/>
    </row>
    <row r="928" spans="5:15" s="428" customFormat="1" ht="14.1" customHeight="1">
      <c r="E928" s="393"/>
      <c r="F928" s="393"/>
      <c r="G928" s="393"/>
      <c r="H928" s="393"/>
      <c r="I928" s="393"/>
      <c r="J928" s="393"/>
      <c r="K928" s="393"/>
      <c r="L928" s="393"/>
      <c r="M928" s="393"/>
      <c r="N928" s="392"/>
      <c r="O928" s="392"/>
    </row>
    <row r="929" spans="5:15" s="428" customFormat="1" ht="14.1" customHeight="1">
      <c r="E929" s="393"/>
      <c r="F929" s="393"/>
      <c r="G929" s="393"/>
      <c r="H929" s="393"/>
      <c r="I929" s="393"/>
      <c r="J929" s="393"/>
      <c r="K929" s="393"/>
      <c r="L929" s="393"/>
      <c r="M929" s="393"/>
      <c r="N929" s="393"/>
      <c r="O929" s="393"/>
    </row>
    <row r="930" spans="5:15" s="428" customFormat="1" ht="14.1" customHeight="1">
      <c r="E930" s="390"/>
      <c r="F930" s="390"/>
      <c r="G930" s="390"/>
      <c r="H930" s="390"/>
      <c r="I930" s="390"/>
      <c r="J930" s="390"/>
      <c r="K930" s="391"/>
      <c r="L930" s="391"/>
      <c r="M930" s="435"/>
      <c r="N930" s="392"/>
      <c r="O930" s="393"/>
    </row>
    <row r="931" spans="5:15" s="428" customFormat="1" ht="14.1" customHeight="1">
      <c r="E931" s="390"/>
      <c r="F931" s="390"/>
      <c r="G931" s="390"/>
      <c r="H931" s="390"/>
      <c r="I931" s="390"/>
      <c r="J931" s="390"/>
      <c r="K931" s="391"/>
      <c r="L931" s="391"/>
      <c r="M931" s="435"/>
      <c r="N931" s="392"/>
      <c r="O931" s="393"/>
    </row>
    <row r="932" spans="5:15" s="428" customFormat="1" ht="14.1" customHeight="1">
      <c r="E932" s="390"/>
      <c r="F932" s="390"/>
      <c r="G932" s="390"/>
      <c r="H932" s="390"/>
      <c r="I932" s="390"/>
      <c r="J932" s="390"/>
      <c r="K932" s="391"/>
      <c r="L932" s="391"/>
      <c r="M932" s="435"/>
      <c r="N932" s="392"/>
      <c r="O932" s="393"/>
    </row>
    <row r="933" spans="5:15" s="428" customFormat="1" ht="14.1" customHeight="1">
      <c r="E933" s="390"/>
      <c r="F933" s="390"/>
      <c r="G933" s="390"/>
      <c r="H933" s="390"/>
      <c r="I933" s="390"/>
      <c r="J933" s="390"/>
      <c r="K933" s="391"/>
      <c r="L933" s="391"/>
      <c r="M933" s="435"/>
      <c r="N933" s="392"/>
      <c r="O933" s="393"/>
    </row>
    <row r="934" spans="5:15" s="428" customFormat="1" ht="14.1" customHeight="1">
      <c r="E934" s="390"/>
      <c r="F934" s="390"/>
      <c r="G934" s="390"/>
      <c r="H934" s="390"/>
      <c r="I934" s="390"/>
      <c r="J934" s="390"/>
      <c r="K934" s="391"/>
      <c r="L934" s="391"/>
      <c r="M934" s="435"/>
      <c r="N934" s="392"/>
      <c r="O934" s="393"/>
    </row>
    <row r="935" spans="5:15" s="428" customFormat="1" ht="14.1" customHeight="1">
      <c r="E935" s="390"/>
      <c r="F935" s="390"/>
      <c r="G935" s="390"/>
      <c r="H935" s="390"/>
      <c r="I935" s="390"/>
      <c r="J935" s="390"/>
      <c r="K935" s="391"/>
      <c r="L935" s="391"/>
      <c r="M935" s="435"/>
      <c r="N935" s="392"/>
      <c r="O935" s="393"/>
    </row>
    <row r="936" spans="5:15" s="428" customFormat="1" ht="14.1" customHeight="1">
      <c r="E936" s="390"/>
      <c r="F936" s="390"/>
      <c r="G936" s="390"/>
      <c r="H936" s="390"/>
      <c r="I936" s="390"/>
      <c r="J936" s="390"/>
      <c r="K936" s="391"/>
      <c r="L936" s="391"/>
      <c r="M936" s="435"/>
      <c r="N936" s="392"/>
      <c r="O936" s="393"/>
    </row>
    <row r="937" spans="5:15" s="428" customFormat="1" ht="14.1" customHeight="1">
      <c r="E937" s="390"/>
      <c r="F937" s="390"/>
      <c r="G937" s="390"/>
      <c r="H937" s="390"/>
      <c r="I937" s="390"/>
      <c r="J937" s="390"/>
      <c r="K937" s="391"/>
      <c r="L937" s="391"/>
      <c r="M937" s="435"/>
      <c r="N937" s="392"/>
      <c r="O937" s="393"/>
    </row>
    <row r="938" spans="5:15" s="428" customFormat="1" ht="14.1" customHeight="1">
      <c r="E938" s="393"/>
      <c r="F938" s="393"/>
      <c r="G938" s="393"/>
      <c r="H938" s="393"/>
      <c r="I938" s="393"/>
      <c r="J938" s="393"/>
      <c r="K938" s="393"/>
      <c r="L938" s="393"/>
      <c r="M938" s="393"/>
      <c r="N938" s="392"/>
      <c r="O938" s="392"/>
    </row>
    <row r="939" spans="5:15" s="428" customFormat="1" ht="14.1" customHeight="1">
      <c r="E939" s="390"/>
      <c r="F939" s="390"/>
      <c r="G939" s="390"/>
      <c r="H939" s="390"/>
      <c r="I939" s="390"/>
      <c r="J939" s="390"/>
      <c r="K939" s="391"/>
      <c r="L939" s="391"/>
      <c r="M939" s="435"/>
      <c r="N939" s="392"/>
      <c r="O939" s="393"/>
    </row>
    <row r="940" spans="5:15" s="428" customFormat="1" ht="14.1" customHeight="1">
      <c r="E940" s="390"/>
      <c r="F940" s="390"/>
      <c r="G940" s="390"/>
      <c r="H940" s="390"/>
      <c r="I940" s="390"/>
      <c r="J940" s="390"/>
      <c r="K940" s="391"/>
      <c r="L940" s="391"/>
      <c r="M940" s="435"/>
      <c r="N940" s="392"/>
      <c r="O940" s="393"/>
    </row>
    <row r="941" spans="5:15" s="428" customFormat="1" ht="14.1" customHeight="1">
      <c r="E941" s="390"/>
      <c r="F941" s="390"/>
      <c r="G941" s="390"/>
      <c r="H941" s="390"/>
      <c r="I941" s="390"/>
      <c r="J941" s="390"/>
      <c r="K941" s="391"/>
      <c r="L941" s="391"/>
      <c r="M941" s="435"/>
      <c r="N941" s="392"/>
      <c r="O941" s="393"/>
    </row>
    <row r="942" spans="5:15" s="428" customFormat="1" ht="14.1" customHeight="1">
      <c r="E942" s="393"/>
      <c r="F942" s="393"/>
      <c r="G942" s="393"/>
      <c r="H942" s="393"/>
      <c r="I942" s="393"/>
      <c r="J942" s="393"/>
      <c r="K942" s="393"/>
      <c r="L942" s="393"/>
      <c r="M942" s="393"/>
      <c r="N942" s="392"/>
      <c r="O942" s="392"/>
    </row>
    <row r="943" spans="5:15" s="428" customFormat="1" ht="14.1" customHeight="1">
      <c r="E943" s="393"/>
      <c r="F943" s="393"/>
      <c r="G943" s="393"/>
      <c r="H943" s="393"/>
      <c r="I943" s="393"/>
      <c r="J943" s="393"/>
      <c r="K943" s="393"/>
      <c r="L943" s="393"/>
      <c r="M943" s="393"/>
      <c r="N943" s="392"/>
      <c r="O943" s="392"/>
    </row>
    <row r="944" spans="5:15" s="428" customFormat="1" ht="14.1" customHeight="1">
      <c r="E944" s="390"/>
      <c r="F944" s="390"/>
      <c r="G944" s="390"/>
      <c r="H944" s="390"/>
      <c r="I944" s="390"/>
      <c r="J944" s="390"/>
      <c r="K944" s="391"/>
      <c r="L944" s="391"/>
      <c r="M944" s="435"/>
      <c r="N944" s="392"/>
      <c r="O944" s="393"/>
    </row>
    <row r="945" spans="5:15" s="428" customFormat="1" ht="14.1" customHeight="1">
      <c r="E945" s="390"/>
      <c r="F945" s="390"/>
      <c r="G945" s="390"/>
      <c r="H945" s="390"/>
      <c r="I945" s="390"/>
      <c r="J945" s="390"/>
      <c r="K945" s="391"/>
      <c r="L945" s="391"/>
      <c r="M945" s="435"/>
      <c r="N945" s="392"/>
      <c r="O945" s="393"/>
    </row>
    <row r="946" spans="5:15" s="428" customFormat="1" ht="14.1" customHeight="1">
      <c r="E946" s="390"/>
      <c r="F946" s="390"/>
      <c r="G946" s="390"/>
      <c r="H946" s="390"/>
      <c r="I946" s="390"/>
      <c r="J946" s="390"/>
      <c r="K946" s="391"/>
      <c r="L946" s="391"/>
      <c r="M946" s="435"/>
      <c r="N946" s="392"/>
      <c r="O946" s="393"/>
    </row>
    <row r="947" spans="5:15" s="428" customFormat="1" ht="14.1" customHeight="1">
      <c r="E947" s="390"/>
      <c r="F947" s="390"/>
      <c r="G947" s="390"/>
      <c r="H947" s="390"/>
      <c r="I947" s="390"/>
      <c r="J947" s="390"/>
      <c r="K947" s="391"/>
      <c r="L947" s="391"/>
      <c r="M947" s="435"/>
      <c r="N947" s="392"/>
      <c r="O947" s="393"/>
    </row>
    <row r="948" spans="5:15" s="428" customFormat="1" ht="14.1" customHeight="1">
      <c r="E948" s="390"/>
      <c r="F948" s="390"/>
      <c r="G948" s="390"/>
      <c r="H948" s="390"/>
      <c r="I948" s="390"/>
      <c r="J948" s="390"/>
      <c r="K948" s="391"/>
      <c r="L948" s="391"/>
      <c r="M948" s="435"/>
      <c r="N948" s="392"/>
      <c r="O948" s="393"/>
    </row>
    <row r="949" spans="5:15" s="428" customFormat="1" ht="14.1" customHeight="1">
      <c r="E949" s="393"/>
      <c r="F949" s="393"/>
      <c r="G949" s="393"/>
      <c r="H949" s="393"/>
      <c r="I949" s="393"/>
      <c r="J949" s="393"/>
      <c r="K949" s="393"/>
      <c r="L949" s="393"/>
      <c r="M949" s="393"/>
      <c r="N949" s="392"/>
      <c r="O949" s="392"/>
    </row>
    <row r="950" spans="5:15" s="428" customFormat="1" ht="14.1" customHeight="1">
      <c r="E950" s="390"/>
      <c r="F950" s="390"/>
      <c r="G950" s="390"/>
      <c r="H950" s="390"/>
      <c r="I950" s="390"/>
      <c r="J950" s="390"/>
      <c r="K950" s="391"/>
      <c r="L950" s="391"/>
      <c r="M950" s="435"/>
      <c r="N950" s="392"/>
      <c r="O950" s="393"/>
    </row>
    <row r="951" spans="5:15" s="428" customFormat="1" ht="14.1" customHeight="1">
      <c r="E951" s="393"/>
      <c r="F951" s="393"/>
      <c r="G951" s="393"/>
      <c r="H951" s="393"/>
      <c r="I951" s="393"/>
      <c r="J951" s="393"/>
      <c r="K951" s="393"/>
      <c r="L951" s="393"/>
      <c r="M951" s="393"/>
      <c r="N951" s="392"/>
      <c r="O951" s="392"/>
    </row>
    <row r="952" spans="5:15" s="428" customFormat="1" ht="14.1" customHeight="1">
      <c r="E952" s="390"/>
      <c r="F952" s="390"/>
      <c r="G952" s="390"/>
      <c r="H952" s="390"/>
      <c r="I952" s="390"/>
      <c r="J952" s="390"/>
      <c r="K952" s="391"/>
      <c r="L952" s="391"/>
      <c r="M952" s="435"/>
      <c r="N952" s="392"/>
      <c r="O952" s="393"/>
    </row>
    <row r="953" spans="5:15" s="428" customFormat="1" ht="14.1" customHeight="1">
      <c r="E953" s="393"/>
      <c r="F953" s="393"/>
      <c r="G953" s="393"/>
      <c r="H953" s="393"/>
      <c r="I953" s="393"/>
      <c r="J953" s="393"/>
      <c r="K953" s="393"/>
      <c r="L953" s="393"/>
      <c r="M953" s="393"/>
      <c r="N953" s="392"/>
      <c r="O953" s="392"/>
    </row>
    <row r="954" spans="5:15" s="428" customFormat="1" ht="14.1" customHeight="1">
      <c r="E954" s="390"/>
      <c r="F954" s="390"/>
      <c r="G954" s="390"/>
      <c r="H954" s="390"/>
      <c r="I954" s="390"/>
      <c r="J954" s="390"/>
      <c r="K954" s="391"/>
      <c r="L954" s="391"/>
      <c r="M954" s="435"/>
      <c r="N954" s="392"/>
      <c r="O954" s="393"/>
    </row>
    <row r="955" spans="5:15" s="428" customFormat="1" ht="14.1" customHeight="1">
      <c r="E955" s="393"/>
      <c r="F955" s="393"/>
      <c r="G955" s="393"/>
      <c r="H955" s="393"/>
      <c r="I955" s="393"/>
      <c r="J955" s="393"/>
      <c r="K955" s="393"/>
      <c r="L955" s="393"/>
      <c r="M955" s="393"/>
      <c r="N955" s="392"/>
      <c r="O955" s="392"/>
    </row>
    <row r="956" spans="5:15" s="428" customFormat="1" ht="14.1" customHeight="1">
      <c r="E956" s="390"/>
      <c r="F956" s="390"/>
      <c r="G956" s="390"/>
      <c r="H956" s="390"/>
      <c r="I956" s="390"/>
      <c r="J956" s="390"/>
      <c r="K956" s="391"/>
      <c r="L956" s="391"/>
      <c r="M956" s="435"/>
      <c r="N956" s="392"/>
      <c r="O956" s="393"/>
    </row>
    <row r="957" spans="5:15" s="428" customFormat="1" ht="14.1" customHeight="1">
      <c r="E957" s="393"/>
      <c r="F957" s="393"/>
      <c r="G957" s="393"/>
      <c r="H957" s="393"/>
      <c r="I957" s="393"/>
      <c r="J957" s="393"/>
      <c r="K957" s="393"/>
      <c r="L957" s="393"/>
      <c r="M957" s="393"/>
      <c r="N957" s="392"/>
      <c r="O957" s="392"/>
    </row>
    <row r="958" spans="5:15" s="428" customFormat="1" ht="14.1" customHeight="1">
      <c r="E958" s="390"/>
      <c r="F958" s="390"/>
      <c r="G958" s="390"/>
      <c r="H958" s="390"/>
      <c r="I958" s="390"/>
      <c r="J958" s="390"/>
      <c r="K958" s="391"/>
      <c r="L958" s="391"/>
      <c r="M958" s="435"/>
      <c r="N958" s="392"/>
      <c r="O958" s="393"/>
    </row>
    <row r="959" spans="5:15" s="428" customFormat="1" ht="14.1" customHeight="1">
      <c r="E959" s="390"/>
      <c r="F959" s="390"/>
      <c r="G959" s="390"/>
      <c r="H959" s="390"/>
      <c r="I959" s="390"/>
      <c r="J959" s="390"/>
      <c r="K959" s="391"/>
      <c r="L959" s="391"/>
      <c r="M959" s="435"/>
      <c r="N959" s="392"/>
      <c r="O959" s="393"/>
    </row>
    <row r="960" spans="5:15" s="428" customFormat="1" ht="14.1" customHeight="1">
      <c r="E960" s="390"/>
      <c r="F960" s="390"/>
      <c r="G960" s="390"/>
      <c r="H960" s="390"/>
      <c r="I960" s="390"/>
      <c r="J960" s="390"/>
      <c r="K960" s="391"/>
      <c r="L960" s="391"/>
      <c r="M960" s="435"/>
      <c r="N960" s="392"/>
      <c r="O960" s="393"/>
    </row>
    <row r="961" spans="5:15" s="428" customFormat="1" ht="14.1" customHeight="1">
      <c r="E961" s="390"/>
      <c r="F961" s="390"/>
      <c r="G961" s="390"/>
      <c r="H961" s="390"/>
      <c r="I961" s="390"/>
      <c r="J961" s="390"/>
      <c r="K961" s="391"/>
      <c r="L961" s="391"/>
      <c r="M961" s="435"/>
      <c r="N961" s="392"/>
      <c r="O961" s="393"/>
    </row>
    <row r="962" spans="5:15" s="428" customFormat="1" ht="14.1" customHeight="1">
      <c r="E962" s="393"/>
      <c r="F962" s="393"/>
      <c r="G962" s="393"/>
      <c r="H962" s="393"/>
      <c r="I962" s="393"/>
      <c r="J962" s="393"/>
      <c r="K962" s="393"/>
      <c r="L962" s="393"/>
      <c r="M962" s="393"/>
      <c r="N962" s="392"/>
      <c r="O962" s="392"/>
    </row>
    <row r="963" spans="5:15" s="428" customFormat="1" ht="14.1" customHeight="1">
      <c r="E963" s="390"/>
      <c r="F963" s="390"/>
      <c r="G963" s="390"/>
      <c r="H963" s="390"/>
      <c r="I963" s="390"/>
      <c r="J963" s="390"/>
      <c r="K963" s="391"/>
      <c r="L963" s="391"/>
      <c r="M963" s="435"/>
      <c r="N963" s="392"/>
      <c r="O963" s="393"/>
    </row>
    <row r="964" spans="5:15" s="428" customFormat="1" ht="14.1" customHeight="1">
      <c r="E964" s="393"/>
      <c r="F964" s="393"/>
      <c r="G964" s="393"/>
      <c r="H964" s="393"/>
      <c r="I964" s="393"/>
      <c r="J964" s="393"/>
      <c r="K964" s="393"/>
      <c r="L964" s="393"/>
      <c r="M964" s="393"/>
      <c r="N964" s="392"/>
      <c r="O964" s="392"/>
    </row>
    <row r="965" spans="5:15" s="428" customFormat="1" ht="14.1" customHeight="1">
      <c r="E965" s="390"/>
      <c r="F965" s="390"/>
      <c r="G965" s="390"/>
      <c r="H965" s="390"/>
      <c r="I965" s="390"/>
      <c r="J965" s="390"/>
      <c r="K965" s="391"/>
      <c r="L965" s="391"/>
      <c r="M965" s="435"/>
      <c r="N965" s="392"/>
      <c r="O965" s="393"/>
    </row>
    <row r="966" spans="5:15" s="428" customFormat="1" ht="14.1" customHeight="1">
      <c r="E966" s="390"/>
      <c r="F966" s="390"/>
      <c r="G966" s="390"/>
      <c r="H966" s="390"/>
      <c r="I966" s="390"/>
      <c r="J966" s="390"/>
      <c r="K966" s="391"/>
      <c r="L966" s="391"/>
      <c r="M966" s="435"/>
      <c r="N966" s="392"/>
      <c r="O966" s="393"/>
    </row>
    <row r="967" spans="5:15" s="428" customFormat="1" ht="14.1" customHeight="1">
      <c r="E967" s="390"/>
      <c r="F967" s="390"/>
      <c r="G967" s="390"/>
      <c r="H967" s="390"/>
      <c r="I967" s="390"/>
      <c r="J967" s="390"/>
      <c r="K967" s="391"/>
      <c r="L967" s="391"/>
      <c r="M967" s="435"/>
      <c r="N967" s="392"/>
      <c r="O967" s="393"/>
    </row>
    <row r="968" spans="5:15" s="428" customFormat="1" ht="14.1" customHeight="1">
      <c r="E968" s="390"/>
      <c r="F968" s="390"/>
      <c r="G968" s="390"/>
      <c r="H968" s="390"/>
      <c r="I968" s="390"/>
      <c r="J968" s="390"/>
      <c r="K968" s="391"/>
      <c r="L968" s="391"/>
      <c r="M968" s="435"/>
      <c r="N968" s="392"/>
      <c r="O968" s="393"/>
    </row>
    <row r="969" spans="5:15" s="428" customFormat="1" ht="14.1" customHeight="1">
      <c r="E969" s="390"/>
      <c r="F969" s="390"/>
      <c r="G969" s="390"/>
      <c r="H969" s="390"/>
      <c r="I969" s="390"/>
      <c r="J969" s="390"/>
      <c r="K969" s="391"/>
      <c r="L969" s="391"/>
      <c r="M969" s="435"/>
      <c r="N969" s="392"/>
      <c r="O969" s="393"/>
    </row>
    <row r="970" spans="5:15" s="428" customFormat="1" ht="14.1" customHeight="1">
      <c r="E970" s="390"/>
      <c r="F970" s="390"/>
      <c r="G970" s="390"/>
      <c r="H970" s="390"/>
      <c r="I970" s="390"/>
      <c r="J970" s="390"/>
      <c r="K970" s="391"/>
      <c r="L970" s="391"/>
      <c r="M970" s="435"/>
      <c r="N970" s="392"/>
      <c r="O970" s="393"/>
    </row>
    <row r="971" spans="5:15" s="428" customFormat="1" ht="14.1" customHeight="1">
      <c r="E971" s="390"/>
      <c r="F971" s="390"/>
      <c r="G971" s="390"/>
      <c r="H971" s="390"/>
      <c r="I971" s="390"/>
      <c r="J971" s="390"/>
      <c r="K971" s="391"/>
      <c r="L971" s="391"/>
      <c r="M971" s="435"/>
      <c r="N971" s="392"/>
      <c r="O971" s="393"/>
    </row>
    <row r="972" spans="5:15" s="428" customFormat="1" ht="14.1" customHeight="1">
      <c r="E972" s="390"/>
      <c r="F972" s="390"/>
      <c r="G972" s="390"/>
      <c r="H972" s="390"/>
      <c r="I972" s="390"/>
      <c r="J972" s="390"/>
      <c r="K972" s="391"/>
      <c r="L972" s="391"/>
      <c r="M972" s="435"/>
      <c r="N972" s="392"/>
      <c r="O972" s="393"/>
    </row>
    <row r="973" spans="5:15" s="428" customFormat="1" ht="14.1" customHeight="1">
      <c r="E973" s="390"/>
      <c r="F973" s="390"/>
      <c r="G973" s="390"/>
      <c r="H973" s="390"/>
      <c r="I973" s="390"/>
      <c r="J973" s="390"/>
      <c r="K973" s="391"/>
      <c r="L973" s="391"/>
      <c r="M973" s="435"/>
      <c r="N973" s="392"/>
      <c r="O973" s="393"/>
    </row>
    <row r="974" spans="5:15" s="428" customFormat="1" ht="14.1" customHeight="1">
      <c r="E974" s="390"/>
      <c r="F974" s="390"/>
      <c r="G974" s="390"/>
      <c r="H974" s="390"/>
      <c r="I974" s="390"/>
      <c r="J974" s="390"/>
      <c r="K974" s="391"/>
      <c r="L974" s="391"/>
      <c r="M974" s="435"/>
      <c r="N974" s="392"/>
      <c r="O974" s="393"/>
    </row>
    <row r="975" spans="5:15" s="428" customFormat="1" ht="14.1" customHeight="1">
      <c r="E975" s="390"/>
      <c r="F975" s="390"/>
      <c r="G975" s="390"/>
      <c r="H975" s="390"/>
      <c r="I975" s="390"/>
      <c r="J975" s="390"/>
      <c r="K975" s="391"/>
      <c r="L975" s="391"/>
      <c r="M975" s="435"/>
      <c r="N975" s="392"/>
      <c r="O975" s="393"/>
    </row>
    <row r="976" spans="5:15" s="428" customFormat="1" ht="14.1" customHeight="1">
      <c r="E976" s="390"/>
      <c r="F976" s="390"/>
      <c r="G976" s="390"/>
      <c r="H976" s="390"/>
      <c r="I976" s="390"/>
      <c r="J976" s="390"/>
      <c r="K976" s="391"/>
      <c r="L976" s="391"/>
      <c r="M976" s="435"/>
      <c r="N976" s="392"/>
      <c r="O976" s="393"/>
    </row>
    <row r="977" spans="5:15" s="428" customFormat="1" ht="14.1" customHeight="1">
      <c r="E977" s="393"/>
      <c r="F977" s="393"/>
      <c r="G977" s="393"/>
      <c r="H977" s="393"/>
      <c r="I977" s="393"/>
      <c r="J977" s="393"/>
      <c r="K977" s="393"/>
      <c r="L977" s="393"/>
      <c r="M977" s="393"/>
      <c r="N977" s="393"/>
      <c r="O977" s="393"/>
    </row>
    <row r="978" spans="5:15" s="428" customFormat="1" ht="14.1" customHeight="1">
      <c r="E978" s="390"/>
      <c r="F978" s="390"/>
      <c r="G978" s="390"/>
      <c r="H978" s="390"/>
      <c r="I978" s="390"/>
      <c r="J978" s="390"/>
      <c r="K978" s="391"/>
      <c r="L978" s="391"/>
      <c r="M978" s="435"/>
      <c r="N978" s="392"/>
      <c r="O978" s="393"/>
    </row>
    <row r="979" spans="5:15" s="428" customFormat="1" ht="14.1" customHeight="1">
      <c r="E979" s="390"/>
      <c r="F979" s="390"/>
      <c r="G979" s="390"/>
      <c r="H979" s="390"/>
      <c r="I979" s="390"/>
      <c r="J979" s="390"/>
      <c r="K979" s="391"/>
      <c r="L979" s="391"/>
      <c r="M979" s="435"/>
      <c r="N979" s="392"/>
      <c r="O979" s="393"/>
    </row>
    <row r="980" spans="5:15" s="428" customFormat="1" ht="14.1" customHeight="1">
      <c r="E980" s="390"/>
      <c r="F980" s="390"/>
      <c r="G980" s="390"/>
      <c r="H980" s="390"/>
      <c r="I980" s="390"/>
      <c r="J980" s="390"/>
      <c r="K980" s="391"/>
      <c r="L980" s="391"/>
      <c r="M980" s="435"/>
      <c r="N980" s="392"/>
      <c r="O980" s="393"/>
    </row>
    <row r="981" spans="5:15" s="428" customFormat="1" ht="14.1" customHeight="1">
      <c r="E981" s="390"/>
      <c r="F981" s="390"/>
      <c r="G981" s="390"/>
      <c r="H981" s="390"/>
      <c r="I981" s="390"/>
      <c r="J981" s="390"/>
      <c r="K981" s="391"/>
      <c r="L981" s="391"/>
      <c r="M981" s="435"/>
      <c r="N981" s="392"/>
      <c r="O981" s="393"/>
    </row>
    <row r="982" spans="5:15" s="428" customFormat="1" ht="14.1" customHeight="1">
      <c r="E982" s="390"/>
      <c r="F982" s="390"/>
      <c r="G982" s="390"/>
      <c r="H982" s="390"/>
      <c r="I982" s="390"/>
      <c r="J982" s="390"/>
      <c r="K982" s="391"/>
      <c r="L982" s="391"/>
      <c r="M982" s="435"/>
      <c r="N982" s="392"/>
      <c r="O982" s="393"/>
    </row>
    <row r="983" spans="5:15" s="428" customFormat="1" ht="14.1" customHeight="1">
      <c r="E983" s="390"/>
      <c r="F983" s="390"/>
      <c r="G983" s="390"/>
      <c r="H983" s="390"/>
      <c r="I983" s="390"/>
      <c r="J983" s="390"/>
      <c r="K983" s="391"/>
      <c r="L983" s="391"/>
      <c r="M983" s="435"/>
      <c r="N983" s="392"/>
      <c r="O983" s="393"/>
    </row>
    <row r="984" spans="5:15" s="428" customFormat="1" ht="14.1" customHeight="1">
      <c r="E984" s="390"/>
      <c r="F984" s="390"/>
      <c r="G984" s="390"/>
      <c r="H984" s="390"/>
      <c r="I984" s="390"/>
      <c r="J984" s="390"/>
      <c r="K984" s="391"/>
      <c r="L984" s="391"/>
      <c r="M984" s="435"/>
      <c r="N984" s="392"/>
      <c r="O984" s="393"/>
    </row>
    <row r="985" spans="5:15" s="428" customFormat="1" ht="14.1" customHeight="1">
      <c r="E985" s="390"/>
      <c r="F985" s="390"/>
      <c r="G985" s="390"/>
      <c r="H985" s="390"/>
      <c r="I985" s="390"/>
      <c r="J985" s="390"/>
      <c r="K985" s="391"/>
      <c r="L985" s="391"/>
      <c r="M985" s="435"/>
      <c r="N985" s="392"/>
      <c r="O985" s="393"/>
    </row>
    <row r="986" spans="5:15" s="428" customFormat="1" ht="14.1" customHeight="1">
      <c r="E986" s="390"/>
      <c r="F986" s="390"/>
      <c r="G986" s="390"/>
      <c r="H986" s="390"/>
      <c r="I986" s="390"/>
      <c r="J986" s="390"/>
      <c r="K986" s="391"/>
      <c r="L986" s="391"/>
      <c r="M986" s="435"/>
      <c r="N986" s="392"/>
      <c r="O986" s="393"/>
    </row>
    <row r="987" spans="5:15" s="428" customFormat="1" ht="14.1" customHeight="1">
      <c r="E987" s="390"/>
      <c r="F987" s="390"/>
      <c r="G987" s="390"/>
      <c r="H987" s="390"/>
      <c r="I987" s="390"/>
      <c r="J987" s="390"/>
      <c r="K987" s="391"/>
      <c r="L987" s="391"/>
      <c r="M987" s="435"/>
      <c r="N987" s="392"/>
      <c r="O987" s="393"/>
    </row>
    <row r="988" spans="5:15" s="428" customFormat="1" ht="14.1" customHeight="1">
      <c r="E988" s="390"/>
      <c r="F988" s="390"/>
      <c r="G988" s="390"/>
      <c r="H988" s="390"/>
      <c r="I988" s="390"/>
      <c r="J988" s="390"/>
      <c r="K988" s="391"/>
      <c r="L988" s="391"/>
      <c r="M988" s="435"/>
      <c r="N988" s="392"/>
      <c r="O988" s="393"/>
    </row>
    <row r="989" spans="5:15" s="428" customFormat="1" ht="14.1" customHeight="1">
      <c r="E989" s="390"/>
      <c r="F989" s="390"/>
      <c r="G989" s="390"/>
      <c r="H989" s="390"/>
      <c r="I989" s="390"/>
      <c r="J989" s="390"/>
      <c r="K989" s="391"/>
      <c r="L989" s="391"/>
      <c r="M989" s="435"/>
      <c r="N989" s="392"/>
      <c r="O989" s="393"/>
    </row>
    <row r="990" spans="5:15" s="428" customFormat="1" ht="14.1" customHeight="1">
      <c r="E990" s="390"/>
      <c r="F990" s="390"/>
      <c r="G990" s="390"/>
      <c r="H990" s="390"/>
      <c r="I990" s="390"/>
      <c r="J990" s="390"/>
      <c r="K990" s="391"/>
      <c r="L990" s="391"/>
      <c r="M990" s="435"/>
      <c r="N990" s="392"/>
      <c r="O990" s="393"/>
    </row>
    <row r="991" spans="5:15" s="428" customFormat="1" ht="14.1" customHeight="1">
      <c r="E991" s="390"/>
      <c r="F991" s="390"/>
      <c r="G991" s="390"/>
      <c r="H991" s="390"/>
      <c r="I991" s="390"/>
      <c r="J991" s="390"/>
      <c r="K991" s="391"/>
      <c r="L991" s="391"/>
      <c r="M991" s="435"/>
      <c r="N991" s="392"/>
      <c r="O991" s="393"/>
    </row>
    <row r="992" spans="5:15" s="428" customFormat="1" ht="14.1" customHeight="1">
      <c r="E992" s="390"/>
      <c r="F992" s="390"/>
      <c r="G992" s="390"/>
      <c r="H992" s="390"/>
      <c r="I992" s="390"/>
      <c r="J992" s="390"/>
      <c r="K992" s="391"/>
      <c r="L992" s="391"/>
      <c r="M992" s="435"/>
      <c r="N992" s="392"/>
      <c r="O992" s="393"/>
    </row>
    <row r="993" spans="5:15" s="428" customFormat="1" ht="14.1" customHeight="1">
      <c r="E993" s="390"/>
      <c r="F993" s="390"/>
      <c r="G993" s="390"/>
      <c r="H993" s="390"/>
      <c r="I993" s="390"/>
      <c r="J993" s="390"/>
      <c r="K993" s="391"/>
      <c r="L993" s="391"/>
      <c r="M993" s="435"/>
      <c r="N993" s="392"/>
      <c r="O993" s="393"/>
    </row>
    <row r="994" spans="5:15" s="428" customFormat="1" ht="14.1" customHeight="1">
      <c r="E994" s="393"/>
      <c r="F994" s="393"/>
      <c r="G994" s="393"/>
      <c r="H994" s="393"/>
      <c r="I994" s="393"/>
      <c r="J994" s="393"/>
      <c r="K994" s="393"/>
      <c r="L994" s="393"/>
      <c r="M994" s="393"/>
      <c r="N994" s="392"/>
      <c r="O994" s="392"/>
    </row>
    <row r="995" spans="5:15" s="428" customFormat="1" ht="14.1" customHeight="1">
      <c r="E995" s="390"/>
      <c r="F995" s="390"/>
      <c r="G995" s="390"/>
      <c r="H995" s="390"/>
      <c r="I995" s="390"/>
      <c r="J995" s="390"/>
      <c r="K995" s="391"/>
      <c r="L995" s="391"/>
      <c r="M995" s="435"/>
      <c r="N995" s="392"/>
      <c r="O995" s="393"/>
    </row>
    <row r="996" spans="5:15" s="428" customFormat="1" ht="14.1" customHeight="1">
      <c r="E996" s="390"/>
      <c r="F996" s="390"/>
      <c r="G996" s="390"/>
      <c r="H996" s="390"/>
      <c r="I996" s="390"/>
      <c r="J996" s="390"/>
      <c r="K996" s="391"/>
      <c r="L996" s="391"/>
      <c r="M996" s="435"/>
      <c r="N996" s="392"/>
      <c r="O996" s="393"/>
    </row>
    <row r="997" spans="5:15" s="428" customFormat="1" ht="14.1" customHeight="1">
      <c r="E997" s="390"/>
      <c r="F997" s="390"/>
      <c r="G997" s="390"/>
      <c r="H997" s="390"/>
      <c r="I997" s="390"/>
      <c r="J997" s="390"/>
      <c r="K997" s="391"/>
      <c r="L997" s="391"/>
      <c r="M997" s="435"/>
      <c r="N997" s="392"/>
      <c r="O997" s="393"/>
    </row>
    <row r="998" spans="5:15" s="428" customFormat="1" ht="14.1" customHeight="1">
      <c r="E998" s="393"/>
      <c r="F998" s="393"/>
      <c r="G998" s="393"/>
      <c r="H998" s="393"/>
      <c r="I998" s="393"/>
      <c r="J998" s="393"/>
      <c r="K998" s="393"/>
      <c r="L998" s="393"/>
      <c r="M998" s="393"/>
      <c r="N998" s="392"/>
      <c r="O998" s="392"/>
    </row>
    <row r="999" spans="5:15" s="428" customFormat="1" ht="14.1" customHeight="1">
      <c r="E999" s="393"/>
      <c r="F999" s="393"/>
      <c r="G999" s="393"/>
      <c r="H999" s="393"/>
      <c r="I999" s="393"/>
      <c r="J999" s="393"/>
      <c r="K999" s="393"/>
      <c r="L999" s="393"/>
      <c r="M999" s="393"/>
      <c r="N999" s="392"/>
      <c r="O999" s="392"/>
    </row>
    <row r="1000" spans="5:15" s="428" customFormat="1" ht="14.1" customHeight="1">
      <c r="E1000" s="390"/>
      <c r="F1000" s="390"/>
      <c r="G1000" s="390"/>
      <c r="H1000" s="390"/>
      <c r="I1000" s="390"/>
      <c r="J1000" s="390"/>
      <c r="K1000" s="391"/>
      <c r="L1000" s="391"/>
      <c r="M1000" s="435"/>
      <c r="N1000" s="392"/>
      <c r="O1000" s="393"/>
    </row>
    <row r="1001" spans="5:15" s="428" customFormat="1" ht="14.1" customHeight="1">
      <c r="E1001" s="393"/>
      <c r="F1001" s="393"/>
      <c r="G1001" s="393"/>
      <c r="H1001" s="393"/>
      <c r="I1001" s="393"/>
      <c r="J1001" s="393"/>
      <c r="K1001" s="393"/>
      <c r="L1001" s="393"/>
      <c r="M1001" s="393"/>
      <c r="N1001" s="392"/>
      <c r="O1001" s="392"/>
    </row>
    <row r="1002" spans="5:15" s="428" customFormat="1" ht="14.1" customHeight="1">
      <c r="E1002" s="390"/>
      <c r="F1002" s="390"/>
      <c r="G1002" s="390"/>
      <c r="H1002" s="390"/>
      <c r="I1002" s="390"/>
      <c r="J1002" s="390"/>
      <c r="K1002" s="391"/>
      <c r="L1002" s="391"/>
      <c r="M1002" s="435"/>
      <c r="N1002" s="392"/>
      <c r="O1002" s="393"/>
    </row>
    <row r="1003" spans="5:15" s="428" customFormat="1" ht="14.1" customHeight="1">
      <c r="E1003" s="393"/>
      <c r="F1003" s="393"/>
      <c r="G1003" s="393"/>
      <c r="H1003" s="393"/>
      <c r="I1003" s="393"/>
      <c r="J1003" s="393"/>
      <c r="K1003" s="393"/>
      <c r="L1003" s="393"/>
      <c r="M1003" s="393"/>
      <c r="N1003" s="392"/>
      <c r="O1003" s="392"/>
    </row>
    <row r="1004" spans="5:15" s="428" customFormat="1" ht="14.1" customHeight="1">
      <c r="E1004" s="390"/>
      <c r="F1004" s="390"/>
      <c r="G1004" s="390"/>
      <c r="H1004" s="390"/>
      <c r="I1004" s="390"/>
      <c r="J1004" s="390"/>
      <c r="K1004" s="391"/>
      <c r="L1004" s="391"/>
      <c r="M1004" s="435"/>
      <c r="N1004" s="392"/>
      <c r="O1004" s="393"/>
    </row>
    <row r="1005" spans="5:15" s="428" customFormat="1" ht="14.1" customHeight="1">
      <c r="E1005" s="390"/>
      <c r="F1005" s="390"/>
      <c r="G1005" s="390"/>
      <c r="H1005" s="390"/>
      <c r="I1005" s="390"/>
      <c r="J1005" s="390"/>
      <c r="K1005" s="391"/>
      <c r="L1005" s="391"/>
      <c r="M1005" s="435"/>
      <c r="N1005" s="392"/>
      <c r="O1005" s="393"/>
    </row>
    <row r="1006" spans="5:15" s="428" customFormat="1" ht="14.1" customHeight="1">
      <c r="E1006" s="390"/>
      <c r="F1006" s="390"/>
      <c r="G1006" s="390"/>
      <c r="H1006" s="390"/>
      <c r="I1006" s="390"/>
      <c r="J1006" s="390"/>
      <c r="K1006" s="391"/>
      <c r="L1006" s="391"/>
      <c r="M1006" s="435"/>
      <c r="N1006" s="392"/>
      <c r="O1006" s="393"/>
    </row>
    <row r="1007" spans="5:15" s="428" customFormat="1" ht="14.1" customHeight="1">
      <c r="E1007" s="393"/>
      <c r="F1007" s="393"/>
      <c r="G1007" s="393"/>
      <c r="H1007" s="393"/>
      <c r="I1007" s="393"/>
      <c r="J1007" s="393"/>
      <c r="K1007" s="393"/>
      <c r="L1007" s="393"/>
      <c r="M1007" s="393"/>
      <c r="N1007" s="392"/>
      <c r="O1007" s="392"/>
    </row>
    <row r="1008" spans="5:15" s="428" customFormat="1" ht="14.1" customHeight="1">
      <c r="E1008" s="390"/>
      <c r="F1008" s="390"/>
      <c r="G1008" s="390"/>
      <c r="H1008" s="390"/>
      <c r="I1008" s="390"/>
      <c r="J1008" s="390"/>
      <c r="K1008" s="391"/>
      <c r="L1008" s="391"/>
      <c r="M1008" s="435"/>
      <c r="N1008" s="392"/>
      <c r="O1008" s="393"/>
    </row>
    <row r="1009" spans="5:15" s="428" customFormat="1" ht="14.1" customHeight="1">
      <c r="E1009" s="393"/>
      <c r="F1009" s="393"/>
      <c r="G1009" s="393"/>
      <c r="H1009" s="393"/>
      <c r="I1009" s="393"/>
      <c r="J1009" s="393"/>
      <c r="K1009" s="393"/>
      <c r="L1009" s="393"/>
      <c r="M1009" s="393"/>
      <c r="N1009" s="392"/>
      <c r="O1009" s="392"/>
    </row>
    <row r="1010" spans="5:15" s="428" customFormat="1" ht="14.1" customHeight="1">
      <c r="E1010" s="390"/>
      <c r="F1010" s="390"/>
      <c r="G1010" s="390"/>
      <c r="H1010" s="390"/>
      <c r="I1010" s="390"/>
      <c r="J1010" s="390"/>
      <c r="K1010" s="391"/>
      <c r="L1010" s="391"/>
      <c r="M1010" s="435"/>
      <c r="N1010" s="392"/>
      <c r="O1010" s="393"/>
    </row>
    <row r="1011" spans="5:15" s="428" customFormat="1" ht="14.1" customHeight="1">
      <c r="E1011" s="390"/>
      <c r="F1011" s="390"/>
      <c r="G1011" s="390"/>
      <c r="H1011" s="390"/>
      <c r="I1011" s="390"/>
      <c r="J1011" s="390"/>
      <c r="K1011" s="391"/>
      <c r="L1011" s="391"/>
      <c r="M1011" s="435"/>
      <c r="N1011" s="392"/>
      <c r="O1011" s="393"/>
    </row>
    <row r="1012" spans="5:15" s="428" customFormat="1" ht="14.1" customHeight="1">
      <c r="E1012" s="393"/>
      <c r="F1012" s="393"/>
      <c r="G1012" s="393"/>
      <c r="H1012" s="393"/>
      <c r="I1012" s="393"/>
      <c r="J1012" s="393"/>
      <c r="K1012" s="393"/>
      <c r="L1012" s="393"/>
      <c r="M1012" s="393"/>
      <c r="N1012" s="392"/>
      <c r="O1012" s="392"/>
    </row>
    <row r="1013" spans="5:15" s="428" customFormat="1" ht="14.1" customHeight="1">
      <c r="E1013" s="390"/>
      <c r="F1013" s="390"/>
      <c r="G1013" s="390"/>
      <c r="H1013" s="390"/>
      <c r="I1013" s="390"/>
      <c r="J1013" s="390"/>
      <c r="K1013" s="391"/>
      <c r="L1013" s="391"/>
      <c r="M1013" s="435"/>
      <c r="N1013" s="392"/>
      <c r="O1013" s="393"/>
    </row>
    <row r="1014" spans="5:15" s="428" customFormat="1" ht="14.1" customHeight="1">
      <c r="E1014" s="390"/>
      <c r="F1014" s="390"/>
      <c r="G1014" s="390"/>
      <c r="H1014" s="390"/>
      <c r="I1014" s="390"/>
      <c r="J1014" s="390"/>
      <c r="K1014" s="391"/>
      <c r="L1014" s="391"/>
      <c r="M1014" s="435"/>
      <c r="N1014" s="392"/>
      <c r="O1014" s="393"/>
    </row>
    <row r="1015" spans="5:15" s="428" customFormat="1" ht="14.1" customHeight="1">
      <c r="E1015" s="393"/>
      <c r="F1015" s="393"/>
      <c r="G1015" s="393"/>
      <c r="H1015" s="393"/>
      <c r="I1015" s="393"/>
      <c r="J1015" s="393"/>
      <c r="K1015" s="393"/>
      <c r="L1015" s="393"/>
      <c r="M1015" s="393"/>
      <c r="N1015" s="392"/>
      <c r="O1015" s="392"/>
    </row>
    <row r="1016" spans="5:15" s="428" customFormat="1" ht="14.1" customHeight="1">
      <c r="E1016" s="390"/>
      <c r="F1016" s="390"/>
      <c r="G1016" s="390"/>
      <c r="H1016" s="390"/>
      <c r="I1016" s="390"/>
      <c r="J1016" s="390"/>
      <c r="K1016" s="391"/>
      <c r="L1016" s="391"/>
      <c r="M1016" s="435"/>
      <c r="N1016" s="392"/>
      <c r="O1016" s="393"/>
    </row>
    <row r="1017" spans="5:15" s="428" customFormat="1" ht="14.1" customHeight="1">
      <c r="E1017" s="393"/>
      <c r="F1017" s="393"/>
      <c r="G1017" s="393"/>
      <c r="H1017" s="393"/>
      <c r="I1017" s="393"/>
      <c r="J1017" s="393"/>
      <c r="K1017" s="393"/>
      <c r="L1017" s="393"/>
      <c r="M1017" s="393"/>
      <c r="N1017" s="392"/>
      <c r="O1017" s="392"/>
    </row>
    <row r="1018" spans="5:15" s="428" customFormat="1" ht="14.1" customHeight="1">
      <c r="E1018" s="390"/>
      <c r="F1018" s="390"/>
      <c r="G1018" s="390"/>
      <c r="H1018" s="390"/>
      <c r="I1018" s="390"/>
      <c r="J1018" s="390"/>
      <c r="K1018" s="391"/>
      <c r="L1018" s="391"/>
      <c r="M1018" s="435"/>
      <c r="N1018" s="392"/>
      <c r="O1018" s="393"/>
    </row>
    <row r="1019" spans="5:15" s="428" customFormat="1" ht="14.1" customHeight="1">
      <c r="E1019" s="393"/>
      <c r="F1019" s="393"/>
      <c r="G1019" s="393"/>
      <c r="H1019" s="393"/>
      <c r="I1019" s="393"/>
      <c r="J1019" s="393"/>
      <c r="K1019" s="393"/>
      <c r="L1019" s="393"/>
      <c r="M1019" s="393"/>
      <c r="N1019" s="392"/>
      <c r="O1019" s="392"/>
    </row>
    <row r="1020" spans="5:15" s="428" customFormat="1" ht="14.1" customHeight="1">
      <c r="E1020" s="393"/>
      <c r="F1020" s="393"/>
      <c r="G1020" s="393"/>
      <c r="H1020" s="393"/>
      <c r="I1020" s="393"/>
      <c r="J1020" s="393"/>
      <c r="K1020" s="393"/>
      <c r="L1020" s="393"/>
      <c r="M1020" s="393"/>
      <c r="N1020" s="392"/>
      <c r="O1020" s="392"/>
    </row>
    <row r="1021" spans="5:15" s="428" customFormat="1" ht="14.1" customHeight="1">
      <c r="E1021" s="390"/>
      <c r="F1021" s="390"/>
      <c r="G1021" s="390"/>
      <c r="H1021" s="390"/>
      <c r="I1021" s="390"/>
      <c r="J1021" s="390"/>
      <c r="K1021" s="391"/>
      <c r="L1021" s="391"/>
      <c r="M1021" s="435"/>
      <c r="N1021" s="392"/>
      <c r="O1021" s="393"/>
    </row>
    <row r="1022" spans="5:15" s="428" customFormat="1" ht="14.1" customHeight="1">
      <c r="E1022" s="390"/>
      <c r="F1022" s="390"/>
      <c r="G1022" s="390"/>
      <c r="H1022" s="390"/>
      <c r="I1022" s="390"/>
      <c r="J1022" s="390"/>
      <c r="K1022" s="391"/>
      <c r="L1022" s="391"/>
      <c r="M1022" s="435"/>
      <c r="N1022" s="392"/>
      <c r="O1022" s="393"/>
    </row>
    <row r="1023" spans="5:15" s="428" customFormat="1" ht="14.1" customHeight="1">
      <c r="E1023" s="390"/>
      <c r="F1023" s="390"/>
      <c r="G1023" s="390"/>
      <c r="H1023" s="390"/>
      <c r="I1023" s="390"/>
      <c r="J1023" s="390"/>
      <c r="K1023" s="391"/>
      <c r="L1023" s="391"/>
      <c r="M1023" s="435"/>
      <c r="N1023" s="392"/>
      <c r="O1023" s="393"/>
    </row>
    <row r="1024" spans="5:15" s="428" customFormat="1" ht="14.1" customHeight="1">
      <c r="E1024" s="390"/>
      <c r="F1024" s="390"/>
      <c r="G1024" s="390"/>
      <c r="H1024" s="390"/>
      <c r="I1024" s="390"/>
      <c r="J1024" s="390"/>
      <c r="K1024" s="391"/>
      <c r="L1024" s="391"/>
      <c r="M1024" s="435"/>
      <c r="N1024" s="392"/>
      <c r="O1024" s="393"/>
    </row>
    <row r="1025" spans="5:15" s="428" customFormat="1" ht="14.1" customHeight="1">
      <c r="E1025" s="393"/>
      <c r="F1025" s="393"/>
      <c r="G1025" s="393"/>
      <c r="H1025" s="393"/>
      <c r="I1025" s="393"/>
      <c r="J1025" s="393"/>
      <c r="K1025" s="393"/>
      <c r="L1025" s="393"/>
      <c r="M1025" s="393"/>
      <c r="N1025" s="393"/>
      <c r="O1025" s="393"/>
    </row>
    <row r="1026" spans="5:15" s="428" customFormat="1" ht="14.1" customHeight="1">
      <c r="E1026" s="390"/>
      <c r="F1026" s="390"/>
      <c r="G1026" s="390"/>
      <c r="H1026" s="390"/>
      <c r="I1026" s="390"/>
      <c r="J1026" s="390"/>
      <c r="K1026" s="391"/>
      <c r="L1026" s="391"/>
      <c r="M1026" s="435"/>
      <c r="N1026" s="392"/>
      <c r="O1026" s="393"/>
    </row>
    <row r="1027" spans="5:15" s="428" customFormat="1" ht="14.1" customHeight="1">
      <c r="E1027" s="390"/>
      <c r="F1027" s="390"/>
      <c r="G1027" s="390"/>
      <c r="H1027" s="390"/>
      <c r="I1027" s="390"/>
      <c r="J1027" s="390"/>
      <c r="K1027" s="391"/>
      <c r="L1027" s="391"/>
      <c r="M1027" s="435"/>
      <c r="N1027" s="392"/>
      <c r="O1027" s="393"/>
    </row>
    <row r="1028" spans="5:15" s="428" customFormat="1" ht="14.1" customHeight="1">
      <c r="E1028" s="393"/>
      <c r="F1028" s="393"/>
      <c r="G1028" s="393"/>
      <c r="H1028" s="393"/>
      <c r="I1028" s="393"/>
      <c r="J1028" s="393"/>
      <c r="K1028" s="393"/>
      <c r="L1028" s="393"/>
      <c r="M1028" s="393"/>
      <c r="N1028" s="392"/>
      <c r="O1028" s="392"/>
    </row>
    <row r="1029" spans="5:15" s="428" customFormat="1" ht="14.1" customHeight="1">
      <c r="E1029" s="390"/>
      <c r="F1029" s="390"/>
      <c r="G1029" s="390"/>
      <c r="H1029" s="390"/>
      <c r="I1029" s="390"/>
      <c r="J1029" s="390"/>
      <c r="K1029" s="391"/>
      <c r="L1029" s="391"/>
      <c r="M1029" s="435"/>
      <c r="N1029" s="392"/>
      <c r="O1029" s="393"/>
    </row>
    <row r="1030" spans="5:15" s="428" customFormat="1" ht="14.1" customHeight="1">
      <c r="E1030" s="390"/>
      <c r="F1030" s="390"/>
      <c r="G1030" s="390"/>
      <c r="H1030" s="390"/>
      <c r="I1030" s="390"/>
      <c r="J1030" s="390"/>
      <c r="K1030" s="391"/>
      <c r="L1030" s="391"/>
      <c r="M1030" s="435"/>
      <c r="N1030" s="392"/>
      <c r="O1030" s="393"/>
    </row>
    <row r="1031" spans="5:15" s="428" customFormat="1" ht="14.1" customHeight="1">
      <c r="E1031" s="390"/>
      <c r="F1031" s="390"/>
      <c r="G1031" s="390"/>
      <c r="H1031" s="390"/>
      <c r="I1031" s="390"/>
      <c r="J1031" s="390"/>
      <c r="K1031" s="391"/>
      <c r="L1031" s="391"/>
      <c r="M1031" s="435"/>
      <c r="N1031" s="392"/>
      <c r="O1031" s="393"/>
    </row>
    <row r="1032" spans="5:15" s="428" customFormat="1" ht="14.1" customHeight="1">
      <c r="E1032" s="393"/>
      <c r="F1032" s="393"/>
      <c r="G1032" s="393"/>
      <c r="H1032" s="393"/>
      <c r="I1032" s="393"/>
      <c r="J1032" s="393"/>
      <c r="K1032" s="393"/>
      <c r="L1032" s="393"/>
      <c r="M1032" s="393"/>
      <c r="N1032" s="392"/>
      <c r="O1032" s="392"/>
    </row>
    <row r="1033" spans="5:15" s="428" customFormat="1" ht="14.1" customHeight="1">
      <c r="E1033" s="390"/>
      <c r="F1033" s="390"/>
      <c r="G1033" s="390"/>
      <c r="H1033" s="390"/>
      <c r="I1033" s="390"/>
      <c r="J1033" s="390"/>
      <c r="K1033" s="391"/>
      <c r="L1033" s="391"/>
      <c r="M1033" s="435"/>
      <c r="N1033" s="392"/>
      <c r="O1033" s="393"/>
    </row>
    <row r="1034" spans="5:15" s="428" customFormat="1" ht="14.1" customHeight="1">
      <c r="E1034" s="393"/>
      <c r="F1034" s="393"/>
      <c r="G1034" s="393"/>
      <c r="H1034" s="393"/>
      <c r="I1034" s="393"/>
      <c r="J1034" s="393"/>
      <c r="K1034" s="393"/>
      <c r="L1034" s="393"/>
      <c r="M1034" s="393"/>
      <c r="N1034" s="392"/>
      <c r="O1034" s="392"/>
    </row>
    <row r="1035" spans="5:15" s="428" customFormat="1" ht="14.1" customHeight="1">
      <c r="E1035" s="390"/>
      <c r="F1035" s="390"/>
      <c r="G1035" s="390"/>
      <c r="H1035" s="390"/>
      <c r="I1035" s="390"/>
      <c r="J1035" s="390"/>
      <c r="K1035" s="391"/>
      <c r="L1035" s="391"/>
      <c r="M1035" s="435"/>
      <c r="N1035" s="392"/>
      <c r="O1035" s="393"/>
    </row>
    <row r="1036" spans="5:15" s="428" customFormat="1" ht="14.1" customHeight="1">
      <c r="E1036" s="390"/>
      <c r="F1036" s="390"/>
      <c r="G1036" s="390"/>
      <c r="H1036" s="390"/>
      <c r="I1036" s="390"/>
      <c r="J1036" s="390"/>
      <c r="K1036" s="391"/>
      <c r="L1036" s="391"/>
      <c r="M1036" s="435"/>
      <c r="N1036" s="392"/>
      <c r="O1036" s="393"/>
    </row>
    <row r="1037" spans="5:15" s="428" customFormat="1" ht="14.1" customHeight="1">
      <c r="E1037" s="390"/>
      <c r="F1037" s="390"/>
      <c r="G1037" s="390"/>
      <c r="H1037" s="390"/>
      <c r="I1037" s="390"/>
      <c r="J1037" s="390"/>
      <c r="K1037" s="391"/>
      <c r="L1037" s="391"/>
      <c r="M1037" s="435"/>
      <c r="N1037" s="392"/>
      <c r="O1037" s="393"/>
    </row>
    <row r="1038" spans="5:15" s="428" customFormat="1" ht="14.1" customHeight="1">
      <c r="E1038" s="393"/>
      <c r="F1038" s="393"/>
      <c r="G1038" s="393"/>
      <c r="H1038" s="393"/>
      <c r="I1038" s="393"/>
      <c r="J1038" s="393"/>
      <c r="K1038" s="393"/>
      <c r="L1038" s="393"/>
      <c r="M1038" s="393"/>
      <c r="N1038" s="392"/>
      <c r="O1038" s="392"/>
    </row>
    <row r="1039" spans="5:15" s="428" customFormat="1" ht="14.1" customHeight="1">
      <c r="E1039" s="390"/>
      <c r="F1039" s="390"/>
      <c r="G1039" s="390"/>
      <c r="H1039" s="390"/>
      <c r="I1039" s="390"/>
      <c r="J1039" s="390"/>
      <c r="K1039" s="391"/>
      <c r="L1039" s="391"/>
      <c r="M1039" s="435"/>
      <c r="N1039" s="392"/>
      <c r="O1039" s="393"/>
    </row>
    <row r="1040" spans="5:15" s="428" customFormat="1" ht="14.1" customHeight="1">
      <c r="E1040" s="390"/>
      <c r="F1040" s="390"/>
      <c r="G1040" s="390"/>
      <c r="H1040" s="390"/>
      <c r="I1040" s="390"/>
      <c r="J1040" s="390"/>
      <c r="K1040" s="391"/>
      <c r="L1040" s="391"/>
      <c r="M1040" s="435"/>
      <c r="N1040" s="392"/>
      <c r="O1040" s="393"/>
    </row>
    <row r="1041" spans="5:15" s="428" customFormat="1" ht="14.1" customHeight="1">
      <c r="E1041" s="393"/>
      <c r="F1041" s="393"/>
      <c r="G1041" s="393"/>
      <c r="H1041" s="393"/>
      <c r="I1041" s="393"/>
      <c r="J1041" s="393"/>
      <c r="K1041" s="393"/>
      <c r="L1041" s="393"/>
      <c r="M1041" s="393"/>
      <c r="N1041" s="392"/>
      <c r="O1041" s="392"/>
    </row>
    <row r="1042" spans="5:15" s="428" customFormat="1" ht="14.1" customHeight="1">
      <c r="E1042" s="390"/>
      <c r="F1042" s="390"/>
      <c r="G1042" s="390"/>
      <c r="H1042" s="390"/>
      <c r="I1042" s="390"/>
      <c r="J1042" s="390"/>
      <c r="K1042" s="391"/>
      <c r="L1042" s="391"/>
      <c r="M1042" s="435"/>
      <c r="N1042" s="392"/>
      <c r="O1042" s="393"/>
    </row>
    <row r="1043" spans="5:15" s="428" customFormat="1" ht="14.1" customHeight="1">
      <c r="E1043" s="390"/>
      <c r="F1043" s="390"/>
      <c r="G1043" s="390"/>
      <c r="H1043" s="390"/>
      <c r="I1043" s="390"/>
      <c r="J1043" s="390"/>
      <c r="K1043" s="391"/>
      <c r="L1043" s="391"/>
      <c r="M1043" s="435"/>
      <c r="N1043" s="392"/>
      <c r="O1043" s="393"/>
    </row>
    <row r="1044" spans="5:15" s="428" customFormat="1" ht="14.1" customHeight="1">
      <c r="E1044" s="393"/>
      <c r="F1044" s="393"/>
      <c r="G1044" s="393"/>
      <c r="H1044" s="393"/>
      <c r="I1044" s="393"/>
      <c r="J1044" s="393"/>
      <c r="K1044" s="393"/>
      <c r="L1044" s="393"/>
      <c r="M1044" s="393"/>
      <c r="N1044" s="392"/>
      <c r="O1044" s="392"/>
    </row>
    <row r="1045" spans="5:15" s="428" customFormat="1" ht="14.1" customHeight="1">
      <c r="E1045" s="390"/>
      <c r="F1045" s="390"/>
      <c r="G1045" s="390"/>
      <c r="H1045" s="390"/>
      <c r="I1045" s="390"/>
      <c r="J1045" s="390"/>
      <c r="K1045" s="391"/>
      <c r="L1045" s="391"/>
      <c r="M1045" s="435"/>
      <c r="N1045" s="392"/>
      <c r="O1045" s="393"/>
    </row>
    <row r="1046" spans="5:15" s="428" customFormat="1" ht="14.1" customHeight="1">
      <c r="E1046" s="393"/>
      <c r="F1046" s="393"/>
      <c r="G1046" s="393"/>
      <c r="H1046" s="393"/>
      <c r="I1046" s="393"/>
      <c r="J1046" s="393"/>
      <c r="K1046" s="393"/>
      <c r="L1046" s="393"/>
      <c r="M1046" s="393"/>
      <c r="N1046" s="392"/>
      <c r="O1046" s="392"/>
    </row>
    <row r="1047" spans="5:15" s="428" customFormat="1" ht="14.1" customHeight="1">
      <c r="E1047" s="390"/>
      <c r="F1047" s="390"/>
      <c r="G1047" s="390"/>
      <c r="H1047" s="390"/>
      <c r="I1047" s="390"/>
      <c r="J1047" s="390"/>
      <c r="K1047" s="391"/>
      <c r="L1047" s="391"/>
      <c r="M1047" s="435"/>
      <c r="N1047" s="392"/>
      <c r="O1047" s="393"/>
    </row>
    <row r="1048" spans="5:15" s="428" customFormat="1" ht="14.1" customHeight="1">
      <c r="E1048" s="390"/>
      <c r="F1048" s="390"/>
      <c r="G1048" s="390"/>
      <c r="H1048" s="390"/>
      <c r="I1048" s="390"/>
      <c r="J1048" s="390"/>
      <c r="K1048" s="391"/>
      <c r="L1048" s="391"/>
      <c r="M1048" s="435"/>
      <c r="N1048" s="392"/>
      <c r="O1048" s="393"/>
    </row>
    <row r="1049" spans="5:15" s="428" customFormat="1" ht="14.1" customHeight="1">
      <c r="E1049" s="390"/>
      <c r="F1049" s="390"/>
      <c r="G1049" s="390"/>
      <c r="H1049" s="390"/>
      <c r="I1049" s="390"/>
      <c r="J1049" s="390"/>
      <c r="K1049" s="391"/>
      <c r="L1049" s="391"/>
      <c r="M1049" s="435"/>
      <c r="N1049" s="392"/>
      <c r="O1049" s="393"/>
    </row>
    <row r="1050" spans="5:15" s="428" customFormat="1" ht="14.1" customHeight="1">
      <c r="E1050" s="390"/>
      <c r="F1050" s="390"/>
      <c r="G1050" s="390"/>
      <c r="H1050" s="390"/>
      <c r="I1050" s="390"/>
      <c r="J1050" s="390"/>
      <c r="K1050" s="391"/>
      <c r="L1050" s="391"/>
      <c r="M1050" s="435"/>
      <c r="N1050" s="392"/>
      <c r="O1050" s="393"/>
    </row>
    <row r="1051" spans="5:15" s="428" customFormat="1" ht="14.1" customHeight="1">
      <c r="E1051" s="390"/>
      <c r="F1051" s="390"/>
      <c r="G1051" s="390"/>
      <c r="H1051" s="390"/>
      <c r="I1051" s="390"/>
      <c r="J1051" s="390"/>
      <c r="K1051" s="391"/>
      <c r="L1051" s="391"/>
      <c r="M1051" s="435"/>
      <c r="N1051" s="392"/>
      <c r="O1051" s="393"/>
    </row>
    <row r="1052" spans="5:15" s="428" customFormat="1" ht="14.1" customHeight="1">
      <c r="E1052" s="393"/>
      <c r="F1052" s="393"/>
      <c r="G1052" s="393"/>
      <c r="H1052" s="393"/>
      <c r="I1052" s="393"/>
      <c r="J1052" s="393"/>
      <c r="K1052" s="393"/>
      <c r="L1052" s="393"/>
      <c r="M1052" s="393"/>
      <c r="N1052" s="392"/>
      <c r="O1052" s="392"/>
    </row>
    <row r="1053" spans="5:15" s="428" customFormat="1" ht="14.1" customHeight="1">
      <c r="E1053" s="390"/>
      <c r="F1053" s="390"/>
      <c r="G1053" s="390"/>
      <c r="H1053" s="390"/>
      <c r="I1053" s="390"/>
      <c r="J1053" s="390"/>
      <c r="K1053" s="391"/>
      <c r="L1053" s="391"/>
      <c r="M1053" s="435"/>
      <c r="N1053" s="392"/>
      <c r="O1053" s="393"/>
    </row>
    <row r="1054" spans="5:15" s="428" customFormat="1" ht="14.1" customHeight="1">
      <c r="E1054" s="390"/>
      <c r="F1054" s="390"/>
      <c r="G1054" s="390"/>
      <c r="H1054" s="390"/>
      <c r="I1054" s="390"/>
      <c r="J1054" s="390"/>
      <c r="K1054" s="391"/>
      <c r="L1054" s="391"/>
      <c r="M1054" s="435"/>
      <c r="N1054" s="392"/>
      <c r="O1054" s="393"/>
    </row>
    <row r="1055" spans="5:15" s="428" customFormat="1" ht="14.1" customHeight="1">
      <c r="E1055" s="390"/>
      <c r="F1055" s="390"/>
      <c r="G1055" s="390"/>
      <c r="H1055" s="390"/>
      <c r="I1055" s="390"/>
      <c r="J1055" s="390"/>
      <c r="K1055" s="391"/>
      <c r="L1055" s="391"/>
      <c r="M1055" s="435"/>
      <c r="N1055" s="392"/>
      <c r="O1055" s="393"/>
    </row>
    <row r="1056" spans="5:15" s="428" customFormat="1" ht="14.1" customHeight="1">
      <c r="E1056" s="390"/>
      <c r="F1056" s="390"/>
      <c r="G1056" s="390"/>
      <c r="H1056" s="390"/>
      <c r="I1056" s="390"/>
      <c r="J1056" s="390"/>
      <c r="K1056" s="391"/>
      <c r="L1056" s="391"/>
      <c r="M1056" s="435"/>
      <c r="N1056" s="392"/>
      <c r="O1056" s="393"/>
    </row>
    <row r="1057" spans="5:15" s="428" customFormat="1" ht="14.1" customHeight="1">
      <c r="E1057" s="390"/>
      <c r="F1057" s="390"/>
      <c r="G1057" s="390"/>
      <c r="H1057" s="390"/>
      <c r="I1057" s="390"/>
      <c r="J1057" s="390"/>
      <c r="K1057" s="391"/>
      <c r="L1057" s="391"/>
      <c r="M1057" s="435"/>
      <c r="N1057" s="392"/>
      <c r="O1057" s="393"/>
    </row>
    <row r="1058" spans="5:15" s="428" customFormat="1" ht="14.1" customHeight="1">
      <c r="E1058" s="393"/>
      <c r="F1058" s="393"/>
      <c r="G1058" s="393"/>
      <c r="H1058" s="393"/>
      <c r="I1058" s="393"/>
      <c r="J1058" s="393"/>
      <c r="K1058" s="393"/>
      <c r="L1058" s="393"/>
      <c r="M1058" s="393"/>
      <c r="N1058" s="392"/>
      <c r="O1058" s="392"/>
    </row>
    <row r="1059" spans="5:15" s="428" customFormat="1" ht="14.1" customHeight="1">
      <c r="E1059" s="393"/>
      <c r="F1059" s="393"/>
      <c r="G1059" s="393"/>
      <c r="H1059" s="393"/>
      <c r="I1059" s="393"/>
      <c r="J1059" s="393"/>
      <c r="K1059" s="393"/>
      <c r="L1059" s="393"/>
      <c r="M1059" s="393"/>
      <c r="N1059" s="392"/>
      <c r="O1059" s="392"/>
    </row>
    <row r="1060" spans="5:15" s="428" customFormat="1" ht="14.1" customHeight="1">
      <c r="E1060" s="390"/>
      <c r="F1060" s="390"/>
      <c r="G1060" s="390"/>
      <c r="H1060" s="390"/>
      <c r="I1060" s="390"/>
      <c r="J1060" s="390"/>
      <c r="K1060" s="391"/>
      <c r="L1060" s="391"/>
      <c r="M1060" s="435"/>
      <c r="N1060" s="392"/>
      <c r="O1060" s="393"/>
    </row>
    <row r="1061" spans="5:15" s="428" customFormat="1" ht="14.1" customHeight="1">
      <c r="E1061" s="390"/>
      <c r="F1061" s="390"/>
      <c r="G1061" s="390"/>
      <c r="H1061" s="390"/>
      <c r="I1061" s="390"/>
      <c r="J1061" s="390"/>
      <c r="K1061" s="391"/>
      <c r="L1061" s="391"/>
      <c r="M1061" s="435"/>
      <c r="N1061" s="392"/>
      <c r="O1061" s="393"/>
    </row>
    <row r="1062" spans="5:15" s="428" customFormat="1" ht="14.1" customHeight="1">
      <c r="E1062" s="390"/>
      <c r="F1062" s="390"/>
      <c r="G1062" s="390"/>
      <c r="H1062" s="390"/>
      <c r="I1062" s="390"/>
      <c r="J1062" s="390"/>
      <c r="K1062" s="391"/>
      <c r="L1062" s="391"/>
      <c r="M1062" s="435"/>
      <c r="N1062" s="392"/>
      <c r="O1062" s="393"/>
    </row>
    <row r="1063" spans="5:15" s="428" customFormat="1" ht="14.1" customHeight="1">
      <c r="E1063" s="390"/>
      <c r="F1063" s="390"/>
      <c r="G1063" s="390"/>
      <c r="H1063" s="390"/>
      <c r="I1063" s="390"/>
      <c r="J1063" s="390"/>
      <c r="K1063" s="391"/>
      <c r="L1063" s="391"/>
      <c r="M1063" s="435"/>
      <c r="N1063" s="392"/>
      <c r="O1063" s="393"/>
    </row>
    <row r="1064" spans="5:15" s="428" customFormat="1" ht="14.1" customHeight="1">
      <c r="E1064" s="390"/>
      <c r="F1064" s="390"/>
      <c r="G1064" s="390"/>
      <c r="H1064" s="390"/>
      <c r="I1064" s="390"/>
      <c r="J1064" s="390"/>
      <c r="K1064" s="391"/>
      <c r="L1064" s="391"/>
      <c r="M1064" s="435"/>
      <c r="N1064" s="392"/>
      <c r="O1064" s="393"/>
    </row>
    <row r="1065" spans="5:15" s="428" customFormat="1" ht="14.1" customHeight="1">
      <c r="E1065" s="390"/>
      <c r="F1065" s="390"/>
      <c r="G1065" s="390"/>
      <c r="H1065" s="390"/>
      <c r="I1065" s="390"/>
      <c r="J1065" s="390"/>
      <c r="K1065" s="391"/>
      <c r="L1065" s="391"/>
      <c r="M1065" s="435"/>
      <c r="N1065" s="392"/>
      <c r="O1065" s="393"/>
    </row>
    <row r="1066" spans="5:15" s="428" customFormat="1" ht="14.1" customHeight="1">
      <c r="E1066" s="390"/>
      <c r="F1066" s="390"/>
      <c r="G1066" s="390"/>
      <c r="H1066" s="390"/>
      <c r="I1066" s="390"/>
      <c r="J1066" s="390"/>
      <c r="K1066" s="391"/>
      <c r="L1066" s="391"/>
      <c r="M1066" s="435"/>
      <c r="N1066" s="392"/>
      <c r="O1066" s="393"/>
    </row>
    <row r="1067" spans="5:15" s="428" customFormat="1" ht="14.1" customHeight="1">
      <c r="E1067" s="390"/>
      <c r="F1067" s="390"/>
      <c r="G1067" s="390"/>
      <c r="H1067" s="390"/>
      <c r="I1067" s="390"/>
      <c r="J1067" s="390"/>
      <c r="K1067" s="391"/>
      <c r="L1067" s="391"/>
      <c r="M1067" s="435"/>
      <c r="N1067" s="392"/>
      <c r="O1067" s="393"/>
    </row>
    <row r="1068" spans="5:15" s="428" customFormat="1" ht="14.1" customHeight="1">
      <c r="E1068" s="393"/>
      <c r="F1068" s="393"/>
      <c r="G1068" s="393"/>
      <c r="H1068" s="393"/>
      <c r="I1068" s="393"/>
      <c r="J1068" s="393"/>
      <c r="K1068" s="393"/>
      <c r="L1068" s="393"/>
      <c r="M1068" s="393"/>
      <c r="N1068" s="392"/>
      <c r="O1068" s="392"/>
    </row>
    <row r="1069" spans="5:15" s="428" customFormat="1" ht="14.1" customHeight="1">
      <c r="E1069" s="390"/>
      <c r="F1069" s="390"/>
      <c r="G1069" s="390"/>
      <c r="H1069" s="390"/>
      <c r="I1069" s="390"/>
      <c r="J1069" s="390"/>
      <c r="K1069" s="391"/>
      <c r="L1069" s="391"/>
      <c r="M1069" s="435"/>
      <c r="N1069" s="392"/>
      <c r="O1069" s="393"/>
    </row>
    <row r="1070" spans="5:15" s="428" customFormat="1" ht="14.1" customHeight="1">
      <c r="E1070" s="390"/>
      <c r="F1070" s="390"/>
      <c r="G1070" s="390"/>
      <c r="H1070" s="390"/>
      <c r="I1070" s="390"/>
      <c r="J1070" s="390"/>
      <c r="K1070" s="391"/>
      <c r="L1070" s="391"/>
      <c r="M1070" s="435"/>
      <c r="N1070" s="392"/>
      <c r="O1070" s="393"/>
    </row>
    <row r="1071" spans="5:15" s="428" customFormat="1" ht="14.1" customHeight="1">
      <c r="E1071" s="390"/>
      <c r="F1071" s="390"/>
      <c r="G1071" s="390"/>
      <c r="H1071" s="390"/>
      <c r="I1071" s="390"/>
      <c r="J1071" s="390"/>
      <c r="K1071" s="391"/>
      <c r="L1071" s="391"/>
      <c r="M1071" s="435"/>
      <c r="N1071" s="392"/>
      <c r="O1071" s="393"/>
    </row>
    <row r="1072" spans="5:15" s="428" customFormat="1" ht="14.1" customHeight="1">
      <c r="E1072" s="393"/>
      <c r="F1072" s="393"/>
      <c r="G1072" s="393"/>
      <c r="H1072" s="393"/>
      <c r="I1072" s="393"/>
      <c r="J1072" s="393"/>
      <c r="K1072" s="393"/>
      <c r="L1072" s="393"/>
      <c r="M1072" s="393"/>
      <c r="N1072" s="392"/>
      <c r="O1072" s="392"/>
    </row>
    <row r="1073" spans="5:15" s="428" customFormat="1" ht="14.1" customHeight="1">
      <c r="E1073" s="393"/>
      <c r="F1073" s="393"/>
      <c r="G1073" s="393"/>
      <c r="H1073" s="393"/>
      <c r="I1073" s="393"/>
      <c r="J1073" s="393"/>
      <c r="K1073" s="393"/>
      <c r="L1073" s="393"/>
      <c r="M1073" s="393"/>
      <c r="N1073" s="393"/>
      <c r="O1073" s="393"/>
    </row>
    <row r="1074" spans="5:15" s="428" customFormat="1" ht="14.1" customHeight="1">
      <c r="E1074" s="390"/>
      <c r="F1074" s="390"/>
      <c r="G1074" s="390"/>
      <c r="H1074" s="390"/>
      <c r="I1074" s="390"/>
      <c r="J1074" s="390"/>
      <c r="K1074" s="391"/>
      <c r="L1074" s="391"/>
      <c r="M1074" s="435"/>
      <c r="N1074" s="392"/>
      <c r="O1074" s="393"/>
    </row>
    <row r="1075" spans="5:15" s="428" customFormat="1" ht="14.1" customHeight="1">
      <c r="E1075" s="390"/>
      <c r="F1075" s="390"/>
      <c r="G1075" s="390"/>
      <c r="H1075" s="390"/>
      <c r="I1075" s="390"/>
      <c r="J1075" s="390"/>
      <c r="K1075" s="391"/>
      <c r="L1075" s="391"/>
      <c r="M1075" s="435"/>
      <c r="N1075" s="392"/>
      <c r="O1075" s="393"/>
    </row>
    <row r="1076" spans="5:15" s="428" customFormat="1" ht="14.1" customHeight="1">
      <c r="E1076" s="390"/>
      <c r="F1076" s="390"/>
      <c r="G1076" s="390"/>
      <c r="H1076" s="390"/>
      <c r="I1076" s="390"/>
      <c r="J1076" s="390"/>
      <c r="K1076" s="391"/>
      <c r="L1076" s="391"/>
      <c r="M1076" s="435"/>
      <c r="N1076" s="392"/>
      <c r="O1076" s="393"/>
    </row>
    <row r="1077" spans="5:15" s="428" customFormat="1" ht="14.1" customHeight="1">
      <c r="E1077" s="390"/>
      <c r="F1077" s="390"/>
      <c r="G1077" s="390"/>
      <c r="H1077" s="390"/>
      <c r="I1077" s="390"/>
      <c r="J1077" s="390"/>
      <c r="K1077" s="391"/>
      <c r="L1077" s="391"/>
      <c r="M1077" s="435"/>
      <c r="N1077" s="392"/>
      <c r="O1077" s="393"/>
    </row>
    <row r="1078" spans="5:15" s="428" customFormat="1" ht="14.1" customHeight="1">
      <c r="E1078" s="390"/>
      <c r="F1078" s="390"/>
      <c r="G1078" s="390"/>
      <c r="H1078" s="390"/>
      <c r="I1078" s="390"/>
      <c r="J1078" s="390"/>
      <c r="K1078" s="391"/>
      <c r="L1078" s="391"/>
      <c r="M1078" s="435"/>
      <c r="N1078" s="392"/>
      <c r="O1078" s="393"/>
    </row>
    <row r="1079" spans="5:15" s="428" customFormat="1" ht="14.1" customHeight="1">
      <c r="E1079" s="393"/>
      <c r="F1079" s="393"/>
      <c r="G1079" s="393"/>
      <c r="H1079" s="393"/>
      <c r="I1079" s="393"/>
      <c r="J1079" s="393"/>
      <c r="K1079" s="393"/>
      <c r="L1079" s="393"/>
      <c r="M1079" s="393"/>
      <c r="N1079" s="392"/>
      <c r="O1079" s="392"/>
    </row>
    <row r="1080" spans="5:15" s="428" customFormat="1" ht="14.1" customHeight="1">
      <c r="E1080" s="390"/>
      <c r="F1080" s="390"/>
      <c r="G1080" s="390"/>
      <c r="H1080" s="390"/>
      <c r="I1080" s="390"/>
      <c r="J1080" s="390"/>
      <c r="K1080" s="391"/>
      <c r="L1080" s="391"/>
      <c r="M1080" s="435"/>
      <c r="N1080" s="392"/>
      <c r="O1080" s="393"/>
    </row>
    <row r="1081" spans="5:15" s="428" customFormat="1" ht="14.1" customHeight="1">
      <c r="E1081" s="390"/>
      <c r="F1081" s="390"/>
      <c r="G1081" s="390"/>
      <c r="H1081" s="390"/>
      <c r="I1081" s="390"/>
      <c r="J1081" s="390"/>
      <c r="K1081" s="391"/>
      <c r="L1081" s="391"/>
      <c r="M1081" s="435"/>
      <c r="N1081" s="392"/>
      <c r="O1081" s="393"/>
    </row>
    <row r="1082" spans="5:15" s="428" customFormat="1" ht="14.1" customHeight="1">
      <c r="E1082" s="393"/>
      <c r="F1082" s="393"/>
      <c r="G1082" s="393"/>
      <c r="H1082" s="393"/>
      <c r="I1082" s="393"/>
      <c r="J1082" s="393"/>
      <c r="K1082" s="393"/>
      <c r="L1082" s="393"/>
      <c r="M1082" s="393"/>
      <c r="N1082" s="392"/>
      <c r="O1082" s="392"/>
    </row>
    <row r="1083" spans="5:15" s="428" customFormat="1" ht="14.1" customHeight="1">
      <c r="E1083" s="390"/>
      <c r="F1083" s="390"/>
      <c r="G1083" s="390"/>
      <c r="H1083" s="390"/>
      <c r="I1083" s="390"/>
      <c r="J1083" s="390"/>
      <c r="K1083" s="391"/>
      <c r="L1083" s="391"/>
      <c r="M1083" s="435"/>
      <c r="N1083" s="392"/>
      <c r="O1083" s="393"/>
    </row>
    <row r="1084" spans="5:15" s="428" customFormat="1" ht="14.1" customHeight="1">
      <c r="E1084" s="393"/>
      <c r="F1084" s="393"/>
      <c r="G1084" s="393"/>
      <c r="H1084" s="393"/>
      <c r="I1084" s="393"/>
      <c r="J1084" s="393"/>
      <c r="K1084" s="393"/>
      <c r="L1084" s="393"/>
      <c r="M1084" s="393"/>
      <c r="N1084" s="392"/>
      <c r="O1084" s="392"/>
    </row>
    <row r="1085" spans="5:15" s="428" customFormat="1" ht="14.1" customHeight="1">
      <c r="E1085" s="390"/>
      <c r="F1085" s="390"/>
      <c r="G1085" s="390"/>
      <c r="H1085" s="390"/>
      <c r="I1085" s="390"/>
      <c r="J1085" s="390"/>
      <c r="K1085" s="391"/>
      <c r="L1085" s="391"/>
      <c r="M1085" s="435"/>
      <c r="N1085" s="392"/>
      <c r="O1085" s="393"/>
    </row>
    <row r="1086" spans="5:15" s="428" customFormat="1" ht="14.1" customHeight="1">
      <c r="E1086" s="390"/>
      <c r="F1086" s="390"/>
      <c r="G1086" s="390"/>
      <c r="H1086" s="390"/>
      <c r="I1086" s="390"/>
      <c r="J1086" s="390"/>
      <c r="K1086" s="391"/>
      <c r="L1086" s="391"/>
      <c r="M1086" s="435"/>
      <c r="N1086" s="392"/>
      <c r="O1086" s="393"/>
    </row>
    <row r="1087" spans="5:15" s="428" customFormat="1" ht="14.1" customHeight="1">
      <c r="E1087" s="390"/>
      <c r="F1087" s="390"/>
      <c r="G1087" s="390"/>
      <c r="H1087" s="390"/>
      <c r="I1087" s="390"/>
      <c r="J1087" s="390"/>
      <c r="K1087" s="391"/>
      <c r="L1087" s="391"/>
      <c r="M1087" s="435"/>
      <c r="N1087" s="392"/>
      <c r="O1087" s="393"/>
    </row>
    <row r="1088" spans="5:15" s="428" customFormat="1" ht="14.1" customHeight="1">
      <c r="E1088" s="393"/>
      <c r="F1088" s="393"/>
      <c r="G1088" s="393"/>
      <c r="H1088" s="393"/>
      <c r="I1088" s="393"/>
      <c r="J1088" s="393"/>
      <c r="K1088" s="393"/>
      <c r="L1088" s="393"/>
      <c r="M1088" s="393"/>
      <c r="N1088" s="392"/>
      <c r="O1088" s="392"/>
    </row>
    <row r="1089" spans="5:15" s="428" customFormat="1" ht="14.1" customHeight="1">
      <c r="E1089" s="390"/>
      <c r="F1089" s="390"/>
      <c r="G1089" s="390"/>
      <c r="H1089" s="390"/>
      <c r="I1089" s="390"/>
      <c r="J1089" s="390"/>
      <c r="K1089" s="391"/>
      <c r="L1089" s="391"/>
      <c r="M1089" s="435"/>
      <c r="N1089" s="392"/>
      <c r="O1089" s="393"/>
    </row>
    <row r="1090" spans="5:15" s="428" customFormat="1" ht="14.1" customHeight="1">
      <c r="E1090" s="390"/>
      <c r="F1090" s="390"/>
      <c r="G1090" s="390"/>
      <c r="H1090" s="390"/>
      <c r="I1090" s="390"/>
      <c r="J1090" s="390"/>
      <c r="K1090" s="391"/>
      <c r="L1090" s="391"/>
      <c r="M1090" s="435"/>
      <c r="N1090" s="392"/>
      <c r="O1090" s="393"/>
    </row>
    <row r="1091" spans="5:15" s="428" customFormat="1" ht="14.1" customHeight="1">
      <c r="E1091" s="393"/>
      <c r="F1091" s="393"/>
      <c r="G1091" s="393"/>
      <c r="H1091" s="393"/>
      <c r="I1091" s="393"/>
      <c r="J1091" s="393"/>
      <c r="K1091" s="393"/>
      <c r="L1091" s="393"/>
      <c r="M1091" s="393"/>
      <c r="N1091" s="392"/>
      <c r="O1091" s="392"/>
    </row>
    <row r="1092" spans="5:15" s="428" customFormat="1" ht="14.1" customHeight="1">
      <c r="E1092" s="390"/>
      <c r="F1092" s="390"/>
      <c r="G1092" s="390"/>
      <c r="H1092" s="390"/>
      <c r="I1092" s="390"/>
      <c r="J1092" s="390"/>
      <c r="K1092" s="391"/>
      <c r="L1092" s="391"/>
      <c r="M1092" s="435"/>
      <c r="N1092" s="392"/>
      <c r="O1092" s="393"/>
    </row>
    <row r="1093" spans="5:15" s="428" customFormat="1" ht="14.1" customHeight="1">
      <c r="E1093" s="393"/>
      <c r="F1093" s="393"/>
      <c r="G1093" s="393"/>
      <c r="H1093" s="393"/>
      <c r="I1093" s="393"/>
      <c r="J1093" s="393"/>
      <c r="K1093" s="393"/>
      <c r="L1093" s="393"/>
      <c r="M1093" s="393"/>
      <c r="N1093" s="392"/>
      <c r="O1093" s="392"/>
    </row>
    <row r="1094" spans="5:15" s="428" customFormat="1" ht="14.1" customHeight="1">
      <c r="E1094" s="390"/>
      <c r="F1094" s="390"/>
      <c r="G1094" s="390"/>
      <c r="H1094" s="390"/>
      <c r="I1094" s="390"/>
      <c r="J1094" s="390"/>
      <c r="K1094" s="391"/>
      <c r="L1094" s="391"/>
      <c r="M1094" s="435"/>
      <c r="N1094" s="392"/>
      <c r="O1094" s="393"/>
    </row>
    <row r="1095" spans="5:15" s="428" customFormat="1" ht="14.1" customHeight="1">
      <c r="E1095" s="393"/>
      <c r="F1095" s="393"/>
      <c r="G1095" s="393"/>
      <c r="H1095" s="393"/>
      <c r="I1095" s="393"/>
      <c r="J1095" s="393"/>
      <c r="K1095" s="393"/>
      <c r="L1095" s="393"/>
      <c r="M1095" s="393"/>
      <c r="N1095" s="392"/>
      <c r="O1095" s="392"/>
    </row>
    <row r="1096" spans="5:15" s="428" customFormat="1" ht="14.1" customHeight="1">
      <c r="E1096" s="393"/>
      <c r="F1096" s="393"/>
      <c r="G1096" s="393"/>
      <c r="H1096" s="393"/>
      <c r="I1096" s="393"/>
      <c r="J1096" s="393"/>
      <c r="K1096" s="393"/>
      <c r="L1096" s="393"/>
      <c r="M1096" s="393"/>
      <c r="N1096" s="392"/>
      <c r="O1096" s="392"/>
    </row>
    <row r="1097" spans="5:15" s="428" customFormat="1" ht="14.1" customHeight="1">
      <c r="E1097" s="390"/>
      <c r="F1097" s="390"/>
      <c r="G1097" s="390"/>
      <c r="H1097" s="390"/>
      <c r="I1097" s="390"/>
      <c r="J1097" s="390"/>
      <c r="K1097" s="391"/>
      <c r="L1097" s="391"/>
      <c r="M1097" s="435"/>
      <c r="N1097" s="392"/>
      <c r="O1097" s="393"/>
    </row>
    <row r="1098" spans="5:15" s="428" customFormat="1" ht="14.1" customHeight="1">
      <c r="E1098" s="393"/>
      <c r="F1098" s="393"/>
      <c r="G1098" s="393"/>
      <c r="H1098" s="393"/>
      <c r="I1098" s="393"/>
      <c r="J1098" s="393"/>
      <c r="K1098" s="393"/>
      <c r="L1098" s="393"/>
      <c r="M1098" s="393"/>
      <c r="N1098" s="392"/>
      <c r="O1098" s="392"/>
    </row>
    <row r="1099" spans="5:15" s="428" customFormat="1" ht="14.1" customHeight="1">
      <c r="E1099" s="390"/>
      <c r="F1099" s="390"/>
      <c r="G1099" s="390"/>
      <c r="H1099" s="390"/>
      <c r="I1099" s="390"/>
      <c r="J1099" s="390"/>
      <c r="K1099" s="391"/>
      <c r="L1099" s="391"/>
      <c r="M1099" s="435"/>
      <c r="N1099" s="392"/>
      <c r="O1099" s="393"/>
    </row>
    <row r="1100" spans="5:15" s="428" customFormat="1" ht="14.1" customHeight="1">
      <c r="E1100" s="390"/>
      <c r="F1100" s="390"/>
      <c r="G1100" s="390"/>
      <c r="H1100" s="390"/>
      <c r="I1100" s="390"/>
      <c r="J1100" s="390"/>
      <c r="K1100" s="391"/>
      <c r="L1100" s="391"/>
      <c r="M1100" s="435"/>
      <c r="N1100" s="392"/>
      <c r="O1100" s="393"/>
    </row>
    <row r="1101" spans="5:15" s="428" customFormat="1" ht="14.1" customHeight="1">
      <c r="E1101" s="393"/>
      <c r="F1101" s="393"/>
      <c r="G1101" s="393"/>
      <c r="H1101" s="393"/>
      <c r="I1101" s="393"/>
      <c r="J1101" s="393"/>
      <c r="K1101" s="393"/>
      <c r="L1101" s="393"/>
      <c r="M1101" s="393"/>
      <c r="N1101" s="392"/>
      <c r="O1101" s="392"/>
    </row>
    <row r="1102" spans="5:15" s="428" customFormat="1" ht="14.1" customHeight="1">
      <c r="E1102" s="393"/>
      <c r="F1102" s="393"/>
      <c r="G1102" s="393"/>
      <c r="H1102" s="393"/>
      <c r="I1102" s="393"/>
      <c r="J1102" s="393"/>
      <c r="K1102" s="393"/>
      <c r="L1102" s="393"/>
      <c r="M1102" s="393"/>
      <c r="N1102" s="392"/>
      <c r="O1102" s="392"/>
    </row>
    <row r="1103" spans="5:15" s="428" customFormat="1" ht="14.1" customHeight="1">
      <c r="E1103" s="390"/>
      <c r="F1103" s="390"/>
      <c r="G1103" s="390"/>
      <c r="H1103" s="390"/>
      <c r="I1103" s="390"/>
      <c r="J1103" s="390"/>
      <c r="K1103" s="391"/>
      <c r="L1103" s="391"/>
      <c r="M1103" s="435"/>
      <c r="N1103" s="392"/>
      <c r="O1103" s="393"/>
    </row>
    <row r="1104" spans="5:15" s="428" customFormat="1" ht="14.1" customHeight="1">
      <c r="E1104" s="390"/>
      <c r="F1104" s="390"/>
      <c r="G1104" s="390"/>
      <c r="H1104" s="390"/>
      <c r="I1104" s="390"/>
      <c r="J1104" s="390"/>
      <c r="K1104" s="391"/>
      <c r="L1104" s="391"/>
      <c r="M1104" s="435"/>
      <c r="N1104" s="392"/>
      <c r="O1104" s="393"/>
    </row>
    <row r="1105" spans="5:15" s="428" customFormat="1" ht="14.1" customHeight="1">
      <c r="E1105" s="390"/>
      <c r="F1105" s="390"/>
      <c r="G1105" s="390"/>
      <c r="H1105" s="390"/>
      <c r="I1105" s="390"/>
      <c r="J1105" s="390"/>
      <c r="K1105" s="391"/>
      <c r="L1105" s="391"/>
      <c r="M1105" s="435"/>
      <c r="N1105" s="392"/>
      <c r="O1105" s="393"/>
    </row>
    <row r="1106" spans="5:15" s="428" customFormat="1" ht="14.1" customHeight="1">
      <c r="E1106" s="393"/>
      <c r="F1106" s="393"/>
      <c r="G1106" s="393"/>
      <c r="H1106" s="393"/>
      <c r="I1106" s="393"/>
      <c r="J1106" s="393"/>
      <c r="K1106" s="393"/>
      <c r="L1106" s="393"/>
      <c r="M1106" s="393"/>
      <c r="N1106" s="392"/>
      <c r="O1106" s="392"/>
    </row>
    <row r="1107" spans="5:15" s="428" customFormat="1" ht="14.1" customHeight="1">
      <c r="E1107" s="390"/>
      <c r="F1107" s="390"/>
      <c r="G1107" s="390"/>
      <c r="H1107" s="390"/>
      <c r="I1107" s="390"/>
      <c r="J1107" s="390"/>
      <c r="K1107" s="391"/>
      <c r="L1107" s="391"/>
      <c r="M1107" s="435"/>
      <c r="N1107" s="392"/>
      <c r="O1107" s="393"/>
    </row>
    <row r="1108" spans="5:15" s="428" customFormat="1" ht="14.1" customHeight="1">
      <c r="E1108" s="390"/>
      <c r="F1108" s="390"/>
      <c r="G1108" s="390"/>
      <c r="H1108" s="390"/>
      <c r="I1108" s="390"/>
      <c r="J1108" s="390"/>
      <c r="K1108" s="391"/>
      <c r="L1108" s="391"/>
      <c r="M1108" s="435"/>
      <c r="N1108" s="392"/>
      <c r="O1108" s="393"/>
    </row>
    <row r="1109" spans="5:15" s="428" customFormat="1" ht="14.1" customHeight="1">
      <c r="E1109" s="390"/>
      <c r="F1109" s="390"/>
      <c r="G1109" s="390"/>
      <c r="H1109" s="390"/>
      <c r="I1109" s="390"/>
      <c r="J1109" s="390"/>
      <c r="K1109" s="391"/>
      <c r="L1109" s="391"/>
      <c r="M1109" s="435"/>
      <c r="N1109" s="392"/>
      <c r="O1109" s="393"/>
    </row>
    <row r="1110" spans="5:15" s="428" customFormat="1" ht="14.1" customHeight="1">
      <c r="E1110" s="390"/>
      <c r="F1110" s="390"/>
      <c r="G1110" s="390"/>
      <c r="H1110" s="390"/>
      <c r="I1110" s="390"/>
      <c r="J1110" s="390"/>
      <c r="K1110" s="391"/>
      <c r="L1110" s="391"/>
      <c r="M1110" s="435"/>
      <c r="N1110" s="392"/>
      <c r="O1110" s="393"/>
    </row>
    <row r="1111" spans="5:15" s="428" customFormat="1" ht="14.1" customHeight="1">
      <c r="E1111" s="390"/>
      <c r="F1111" s="390"/>
      <c r="G1111" s="390"/>
      <c r="H1111" s="390"/>
      <c r="I1111" s="390"/>
      <c r="J1111" s="390"/>
      <c r="K1111" s="391"/>
      <c r="L1111" s="391"/>
      <c r="M1111" s="435"/>
      <c r="N1111" s="392"/>
      <c r="O1111" s="393"/>
    </row>
    <row r="1112" spans="5:15" s="428" customFormat="1" ht="14.1" customHeight="1">
      <c r="E1112" s="390"/>
      <c r="F1112" s="390"/>
      <c r="G1112" s="390"/>
      <c r="H1112" s="390"/>
      <c r="I1112" s="390"/>
      <c r="J1112" s="390"/>
      <c r="K1112" s="391"/>
      <c r="L1112" s="391"/>
      <c r="M1112" s="435"/>
      <c r="N1112" s="392"/>
      <c r="O1112" s="393"/>
    </row>
    <row r="1113" spans="5:15" s="428" customFormat="1" ht="14.1" customHeight="1">
      <c r="E1113" s="390"/>
      <c r="F1113" s="390"/>
      <c r="G1113" s="390"/>
      <c r="H1113" s="390"/>
      <c r="I1113" s="390"/>
      <c r="J1113" s="390"/>
      <c r="K1113" s="391"/>
      <c r="L1113" s="391"/>
      <c r="M1113" s="435"/>
      <c r="N1113" s="392"/>
      <c r="O1113" s="393"/>
    </row>
    <row r="1114" spans="5:15" s="428" customFormat="1" ht="14.1" customHeight="1">
      <c r="E1114" s="390"/>
      <c r="F1114" s="390"/>
      <c r="G1114" s="390"/>
      <c r="H1114" s="390"/>
      <c r="I1114" s="390"/>
      <c r="J1114" s="390"/>
      <c r="K1114" s="391"/>
      <c r="L1114" s="391"/>
      <c r="M1114" s="435"/>
      <c r="N1114" s="392"/>
      <c r="O1114" s="393"/>
    </row>
    <row r="1115" spans="5:15" s="428" customFormat="1" ht="14.1" customHeight="1">
      <c r="E1115" s="390"/>
      <c r="F1115" s="390"/>
      <c r="G1115" s="390"/>
      <c r="H1115" s="390"/>
      <c r="I1115" s="390"/>
      <c r="J1115" s="390"/>
      <c r="K1115" s="391"/>
      <c r="L1115" s="391"/>
      <c r="M1115" s="435"/>
      <c r="N1115" s="392"/>
      <c r="O1115" s="393"/>
    </row>
    <row r="1116" spans="5:15" s="428" customFormat="1" ht="14.1" customHeight="1">
      <c r="E1116" s="390"/>
      <c r="F1116" s="390"/>
      <c r="G1116" s="390"/>
      <c r="H1116" s="390"/>
      <c r="I1116" s="390"/>
      <c r="J1116" s="390"/>
      <c r="K1116" s="391"/>
      <c r="L1116" s="391"/>
      <c r="M1116" s="435"/>
      <c r="N1116" s="392"/>
      <c r="O1116" s="393"/>
    </row>
    <row r="1117" spans="5:15" s="428" customFormat="1" ht="14.1" customHeight="1">
      <c r="E1117" s="390"/>
      <c r="F1117" s="390"/>
      <c r="G1117" s="390"/>
      <c r="H1117" s="390"/>
      <c r="I1117" s="390"/>
      <c r="J1117" s="390"/>
      <c r="K1117" s="391"/>
      <c r="L1117" s="391"/>
      <c r="M1117" s="435"/>
      <c r="N1117" s="392"/>
      <c r="O1117" s="393"/>
    </row>
    <row r="1118" spans="5:15" s="428" customFormat="1" ht="14.1" customHeight="1">
      <c r="E1118" s="390"/>
      <c r="F1118" s="390"/>
      <c r="G1118" s="390"/>
      <c r="H1118" s="390"/>
      <c r="I1118" s="390"/>
      <c r="J1118" s="390"/>
      <c r="K1118" s="391"/>
      <c r="L1118" s="391"/>
      <c r="M1118" s="435"/>
      <c r="N1118" s="392"/>
      <c r="O1118" s="393"/>
    </row>
    <row r="1119" spans="5:15" s="428" customFormat="1" ht="14.1" customHeight="1">
      <c r="E1119" s="390"/>
      <c r="F1119" s="390"/>
      <c r="G1119" s="390"/>
      <c r="H1119" s="390"/>
      <c r="I1119" s="390"/>
      <c r="J1119" s="390"/>
      <c r="K1119" s="391"/>
      <c r="L1119" s="391"/>
      <c r="M1119" s="435"/>
      <c r="N1119" s="392"/>
      <c r="O1119" s="393"/>
    </row>
    <row r="1120" spans="5:15" s="428" customFormat="1" ht="14.1" customHeight="1">
      <c r="E1120" s="393"/>
      <c r="F1120" s="393"/>
      <c r="G1120" s="393"/>
      <c r="H1120" s="393"/>
      <c r="I1120" s="393"/>
      <c r="J1120" s="393"/>
      <c r="K1120" s="393"/>
      <c r="L1120" s="393"/>
      <c r="M1120" s="393"/>
      <c r="N1120" s="392"/>
      <c r="O1120" s="392"/>
    </row>
    <row r="1121" spans="5:15" s="428" customFormat="1" ht="14.1" customHeight="1">
      <c r="E1121" s="393"/>
      <c r="F1121" s="393"/>
      <c r="G1121" s="393"/>
      <c r="H1121" s="393"/>
      <c r="I1121" s="393"/>
      <c r="J1121" s="393"/>
      <c r="K1121" s="393"/>
      <c r="L1121" s="393"/>
      <c r="M1121" s="393"/>
      <c r="N1121" s="393"/>
      <c r="O1121" s="393"/>
    </row>
    <row r="1122" spans="5:15" s="428" customFormat="1" ht="14.1" customHeight="1">
      <c r="E1122" s="390"/>
      <c r="F1122" s="390"/>
      <c r="G1122" s="390"/>
      <c r="H1122" s="390"/>
      <c r="I1122" s="390"/>
      <c r="J1122" s="390"/>
      <c r="K1122" s="391"/>
      <c r="L1122" s="391"/>
      <c r="M1122" s="435"/>
      <c r="N1122" s="392"/>
      <c r="O1122" s="393"/>
    </row>
    <row r="1123" spans="5:15" s="428" customFormat="1" ht="14.1" customHeight="1">
      <c r="E1123" s="393"/>
      <c r="F1123" s="393"/>
      <c r="G1123" s="393"/>
      <c r="H1123" s="393"/>
      <c r="I1123" s="393"/>
      <c r="J1123" s="393"/>
      <c r="K1123" s="393"/>
      <c r="L1123" s="393"/>
      <c r="M1123" s="393"/>
      <c r="N1123" s="392"/>
      <c r="O1123" s="392"/>
    </row>
    <row r="1124" spans="5:15" s="428" customFormat="1" ht="14.1" customHeight="1">
      <c r="E1124" s="390"/>
      <c r="F1124" s="390"/>
      <c r="G1124" s="390"/>
      <c r="H1124" s="390"/>
      <c r="I1124" s="390"/>
      <c r="J1124" s="390"/>
      <c r="K1124" s="391"/>
      <c r="L1124" s="391"/>
      <c r="M1124" s="435"/>
      <c r="N1124" s="392"/>
      <c r="O1124" s="393"/>
    </row>
    <row r="1125" spans="5:15" s="428" customFormat="1" ht="14.1" customHeight="1">
      <c r="E1125" s="390"/>
      <c r="F1125" s="390"/>
      <c r="G1125" s="390"/>
      <c r="H1125" s="390"/>
      <c r="I1125" s="390"/>
      <c r="J1125" s="390"/>
      <c r="K1125" s="391"/>
      <c r="L1125" s="391"/>
      <c r="M1125" s="435"/>
      <c r="N1125" s="392"/>
      <c r="O1125" s="393"/>
    </row>
    <row r="1126" spans="5:15" s="428" customFormat="1" ht="14.1" customHeight="1">
      <c r="E1126" s="390"/>
      <c r="F1126" s="390"/>
      <c r="G1126" s="390"/>
      <c r="H1126" s="390"/>
      <c r="I1126" s="390"/>
      <c r="J1126" s="390"/>
      <c r="K1126" s="391"/>
      <c r="L1126" s="391"/>
      <c r="M1126" s="435"/>
      <c r="N1126" s="392"/>
      <c r="O1126" s="393"/>
    </row>
    <row r="1127" spans="5:15" s="428" customFormat="1" ht="14.1" customHeight="1">
      <c r="E1127" s="390"/>
      <c r="F1127" s="390"/>
      <c r="G1127" s="390"/>
      <c r="H1127" s="390"/>
      <c r="I1127" s="390"/>
      <c r="J1127" s="390"/>
      <c r="K1127" s="391"/>
      <c r="L1127" s="391"/>
      <c r="M1127" s="435"/>
      <c r="N1127" s="392"/>
      <c r="O1127" s="393"/>
    </row>
    <row r="1128" spans="5:15" s="428" customFormat="1" ht="14.1" customHeight="1">
      <c r="E1128" s="390"/>
      <c r="F1128" s="390"/>
      <c r="G1128" s="390"/>
      <c r="H1128" s="390"/>
      <c r="I1128" s="390"/>
      <c r="J1128" s="390"/>
      <c r="K1128" s="391"/>
      <c r="L1128" s="391"/>
      <c r="M1128" s="435"/>
      <c r="N1128" s="392"/>
      <c r="O1128" s="393"/>
    </row>
    <row r="1129" spans="5:15" s="428" customFormat="1" ht="14.1" customHeight="1">
      <c r="E1129" s="390"/>
      <c r="F1129" s="390"/>
      <c r="G1129" s="390"/>
      <c r="H1129" s="390"/>
      <c r="I1129" s="390"/>
      <c r="J1129" s="390"/>
      <c r="K1129" s="391"/>
      <c r="L1129" s="391"/>
      <c r="M1129" s="435"/>
      <c r="N1129" s="392"/>
      <c r="O1129" s="393"/>
    </row>
    <row r="1130" spans="5:15" s="428" customFormat="1" ht="14.1" customHeight="1">
      <c r="E1130" s="390"/>
      <c r="F1130" s="390"/>
      <c r="G1130" s="390"/>
      <c r="H1130" s="390"/>
      <c r="I1130" s="390"/>
      <c r="J1130" s="390"/>
      <c r="K1130" s="391"/>
      <c r="L1130" s="391"/>
      <c r="M1130" s="435"/>
      <c r="N1130" s="392"/>
      <c r="O1130" s="393"/>
    </row>
    <row r="1131" spans="5:15" s="428" customFormat="1" ht="14.1" customHeight="1">
      <c r="E1131" s="390"/>
      <c r="F1131" s="390"/>
      <c r="G1131" s="390"/>
      <c r="H1131" s="390"/>
      <c r="I1131" s="390"/>
      <c r="J1131" s="390"/>
      <c r="K1131" s="391"/>
      <c r="L1131" s="391"/>
      <c r="M1131" s="435"/>
      <c r="N1131" s="392"/>
      <c r="O1131" s="393"/>
    </row>
    <row r="1132" spans="5:15" s="428" customFormat="1" ht="14.1" customHeight="1">
      <c r="E1132" s="393"/>
      <c r="F1132" s="393"/>
      <c r="G1132" s="393"/>
      <c r="H1132" s="393"/>
      <c r="I1132" s="393"/>
      <c r="J1132" s="393"/>
      <c r="K1132" s="393"/>
      <c r="L1132" s="393"/>
      <c r="M1132" s="393"/>
      <c r="N1132" s="392"/>
      <c r="O1132" s="392"/>
    </row>
    <row r="1133" spans="5:15" s="428" customFormat="1" ht="14.1" customHeight="1">
      <c r="E1133" s="390"/>
      <c r="F1133" s="390"/>
      <c r="G1133" s="390"/>
      <c r="H1133" s="390"/>
      <c r="I1133" s="390"/>
      <c r="J1133" s="390"/>
      <c r="K1133" s="391"/>
      <c r="L1133" s="391"/>
      <c r="M1133" s="435"/>
      <c r="N1133" s="392"/>
      <c r="O1133" s="393"/>
    </row>
    <row r="1134" spans="5:15" s="428" customFormat="1" ht="14.1" customHeight="1">
      <c r="E1134" s="393"/>
      <c r="F1134" s="393"/>
      <c r="G1134" s="393"/>
      <c r="H1134" s="393"/>
      <c r="I1134" s="393"/>
      <c r="J1134" s="393"/>
      <c r="K1134" s="393"/>
      <c r="L1134" s="393"/>
      <c r="M1134" s="393"/>
      <c r="N1134" s="392"/>
      <c r="O1134" s="392"/>
    </row>
    <row r="1135" spans="5:15" s="428" customFormat="1" ht="14.1" customHeight="1">
      <c r="E1135" s="390"/>
      <c r="F1135" s="390"/>
      <c r="G1135" s="390"/>
      <c r="H1135" s="390"/>
      <c r="I1135" s="390"/>
      <c r="J1135" s="390"/>
      <c r="K1135" s="391"/>
      <c r="L1135" s="391"/>
      <c r="M1135" s="435"/>
      <c r="N1135" s="392"/>
      <c r="O1135" s="393"/>
    </row>
    <row r="1136" spans="5:15" s="428" customFormat="1" ht="14.1" customHeight="1">
      <c r="E1136" s="393"/>
      <c r="F1136" s="393"/>
      <c r="G1136" s="393"/>
      <c r="H1136" s="393"/>
      <c r="I1136" s="393"/>
      <c r="J1136" s="393"/>
      <c r="K1136" s="393"/>
      <c r="L1136" s="393"/>
      <c r="M1136" s="393"/>
      <c r="N1136" s="392"/>
      <c r="O1136" s="392"/>
    </row>
    <row r="1137" spans="5:15" s="428" customFormat="1" ht="14.1" customHeight="1">
      <c r="E1137" s="390"/>
      <c r="F1137" s="390"/>
      <c r="G1137" s="390"/>
      <c r="H1137" s="390"/>
      <c r="I1137" s="390"/>
      <c r="J1137" s="390"/>
      <c r="K1137" s="391"/>
      <c r="L1137" s="391"/>
      <c r="M1137" s="435"/>
      <c r="N1137" s="392"/>
      <c r="O1137" s="393"/>
    </row>
    <row r="1138" spans="5:15" s="428" customFormat="1" ht="14.1" customHeight="1">
      <c r="E1138" s="393"/>
      <c r="F1138" s="393"/>
      <c r="G1138" s="393"/>
      <c r="H1138" s="393"/>
      <c r="I1138" s="393"/>
      <c r="J1138" s="393"/>
      <c r="K1138" s="393"/>
      <c r="L1138" s="393"/>
      <c r="M1138" s="393"/>
      <c r="N1138" s="392"/>
      <c r="O1138" s="392"/>
    </row>
    <row r="1139" spans="5:15" s="428" customFormat="1" ht="14.1" customHeight="1">
      <c r="E1139" s="390"/>
      <c r="F1139" s="390"/>
      <c r="G1139" s="390"/>
      <c r="H1139" s="390"/>
      <c r="I1139" s="390"/>
      <c r="J1139" s="390"/>
      <c r="K1139" s="391"/>
      <c r="L1139" s="391"/>
      <c r="M1139" s="435"/>
      <c r="N1139" s="392"/>
      <c r="O1139" s="393"/>
    </row>
    <row r="1140" spans="5:15" s="428" customFormat="1" ht="14.1" customHeight="1">
      <c r="E1140" s="393"/>
      <c r="F1140" s="393"/>
      <c r="G1140" s="393"/>
      <c r="H1140" s="393"/>
      <c r="I1140" s="393"/>
      <c r="J1140" s="393"/>
      <c r="K1140" s="393"/>
      <c r="L1140" s="393"/>
      <c r="M1140" s="393"/>
      <c r="N1140" s="392"/>
      <c r="O1140" s="392"/>
    </row>
    <row r="1141" spans="5:15" s="428" customFormat="1" ht="14.1" customHeight="1">
      <c r="E1141" s="390"/>
      <c r="F1141" s="390"/>
      <c r="G1141" s="390"/>
      <c r="H1141" s="390"/>
      <c r="I1141" s="390"/>
      <c r="J1141" s="390"/>
      <c r="K1141" s="391"/>
      <c r="L1141" s="391"/>
      <c r="M1141" s="435"/>
      <c r="N1141" s="392"/>
      <c r="O1141" s="393"/>
    </row>
    <row r="1142" spans="5:15" s="428" customFormat="1" ht="14.1" customHeight="1">
      <c r="E1142" s="393"/>
      <c r="F1142" s="393"/>
      <c r="G1142" s="393"/>
      <c r="H1142" s="393"/>
      <c r="I1142" s="393"/>
      <c r="J1142" s="393"/>
      <c r="K1142" s="393"/>
      <c r="L1142" s="393"/>
      <c r="M1142" s="393"/>
      <c r="N1142" s="392"/>
      <c r="O1142" s="392"/>
    </row>
    <row r="1143" spans="5:15" s="428" customFormat="1" ht="14.1" customHeight="1">
      <c r="E1143" s="390"/>
      <c r="F1143" s="390"/>
      <c r="G1143" s="390"/>
      <c r="H1143" s="390"/>
      <c r="I1143" s="390"/>
      <c r="J1143" s="390"/>
      <c r="K1143" s="391"/>
      <c r="L1143" s="391"/>
      <c r="M1143" s="435"/>
      <c r="N1143" s="392"/>
      <c r="O1143" s="393"/>
    </row>
    <row r="1144" spans="5:15" s="428" customFormat="1" ht="14.1" customHeight="1">
      <c r="E1144" s="390"/>
      <c r="F1144" s="390"/>
      <c r="G1144" s="390"/>
      <c r="H1144" s="390"/>
      <c r="I1144" s="390"/>
      <c r="J1144" s="390"/>
      <c r="K1144" s="391"/>
      <c r="L1144" s="391"/>
      <c r="M1144" s="435"/>
      <c r="N1144" s="392"/>
      <c r="O1144" s="393"/>
    </row>
    <row r="1145" spans="5:15" s="428" customFormat="1" ht="14.1" customHeight="1">
      <c r="E1145" s="390"/>
      <c r="F1145" s="390"/>
      <c r="G1145" s="390"/>
      <c r="H1145" s="390"/>
      <c r="I1145" s="390"/>
      <c r="J1145" s="390"/>
      <c r="K1145" s="391"/>
      <c r="L1145" s="391"/>
      <c r="M1145" s="435"/>
      <c r="N1145" s="392"/>
      <c r="O1145" s="393"/>
    </row>
    <row r="1146" spans="5:15" s="428" customFormat="1" ht="14.1" customHeight="1">
      <c r="E1146" s="390"/>
      <c r="F1146" s="390"/>
      <c r="G1146" s="390"/>
      <c r="H1146" s="390"/>
      <c r="I1146" s="390"/>
      <c r="J1146" s="390"/>
      <c r="K1146" s="391"/>
      <c r="L1146" s="391"/>
      <c r="M1146" s="435"/>
      <c r="N1146" s="392"/>
      <c r="O1146" s="393"/>
    </row>
    <row r="1147" spans="5:15" s="428" customFormat="1" ht="14.1" customHeight="1">
      <c r="E1147" s="390"/>
      <c r="F1147" s="390"/>
      <c r="G1147" s="390"/>
      <c r="H1147" s="390"/>
      <c r="I1147" s="390"/>
      <c r="J1147" s="390"/>
      <c r="K1147" s="391"/>
      <c r="L1147" s="391"/>
      <c r="M1147" s="435"/>
      <c r="N1147" s="392"/>
      <c r="O1147" s="393"/>
    </row>
    <row r="1148" spans="5:15" s="428" customFormat="1" ht="14.1" customHeight="1">
      <c r="E1148" s="390"/>
      <c r="F1148" s="390"/>
      <c r="G1148" s="390"/>
      <c r="H1148" s="390"/>
      <c r="I1148" s="390"/>
      <c r="J1148" s="390"/>
      <c r="K1148" s="391"/>
      <c r="L1148" s="391"/>
      <c r="M1148" s="435"/>
      <c r="N1148" s="392"/>
      <c r="O1148" s="393"/>
    </row>
    <row r="1149" spans="5:15" s="428" customFormat="1" ht="14.1" customHeight="1">
      <c r="E1149" s="390"/>
      <c r="F1149" s="390"/>
      <c r="G1149" s="390"/>
      <c r="H1149" s="390"/>
      <c r="I1149" s="390"/>
      <c r="J1149" s="390"/>
      <c r="K1149" s="391"/>
      <c r="L1149" s="391"/>
      <c r="M1149" s="435"/>
      <c r="N1149" s="392"/>
      <c r="O1149" s="393"/>
    </row>
    <row r="1150" spans="5:15" s="428" customFormat="1" ht="14.1" customHeight="1">
      <c r="E1150" s="393"/>
      <c r="F1150" s="393"/>
      <c r="G1150" s="393"/>
      <c r="H1150" s="393"/>
      <c r="I1150" s="393"/>
      <c r="J1150" s="393"/>
      <c r="K1150" s="393"/>
      <c r="L1150" s="393"/>
      <c r="M1150" s="393"/>
      <c r="N1150" s="392"/>
      <c r="O1150" s="392"/>
    </row>
    <row r="1151" spans="5:15" s="428" customFormat="1" ht="14.1" customHeight="1">
      <c r="E1151" s="393"/>
      <c r="F1151" s="393"/>
      <c r="G1151" s="393"/>
      <c r="H1151" s="393"/>
      <c r="I1151" s="393"/>
      <c r="J1151" s="393"/>
      <c r="K1151" s="393"/>
      <c r="L1151" s="393"/>
      <c r="M1151" s="393"/>
      <c r="N1151" s="392"/>
      <c r="O1151" s="392"/>
    </row>
    <row r="1152" spans="5:15" s="428" customFormat="1" ht="14.1" customHeight="1">
      <c r="E1152" s="390"/>
      <c r="F1152" s="390"/>
      <c r="G1152" s="390"/>
      <c r="H1152" s="390"/>
      <c r="I1152" s="390"/>
      <c r="J1152" s="390"/>
      <c r="K1152" s="391"/>
      <c r="L1152" s="391"/>
      <c r="M1152" s="435"/>
      <c r="N1152" s="392"/>
      <c r="O1152" s="393"/>
    </row>
    <row r="1153" spans="5:15" s="428" customFormat="1" ht="14.1" customHeight="1">
      <c r="E1153" s="390"/>
      <c r="F1153" s="390"/>
      <c r="G1153" s="390"/>
      <c r="H1153" s="390"/>
      <c r="I1153" s="390"/>
      <c r="J1153" s="390"/>
      <c r="K1153" s="391"/>
      <c r="L1153" s="391"/>
      <c r="M1153" s="435"/>
      <c r="N1153" s="392"/>
      <c r="O1153" s="393"/>
    </row>
    <row r="1154" spans="5:15" s="428" customFormat="1" ht="14.1" customHeight="1">
      <c r="E1154" s="390"/>
      <c r="F1154" s="390"/>
      <c r="G1154" s="390"/>
      <c r="H1154" s="390"/>
      <c r="I1154" s="390"/>
      <c r="J1154" s="390"/>
      <c r="K1154" s="391"/>
      <c r="L1154" s="391"/>
      <c r="M1154" s="435"/>
      <c r="N1154" s="392"/>
      <c r="O1154" s="393"/>
    </row>
    <row r="1155" spans="5:15" s="428" customFormat="1" ht="14.1" customHeight="1">
      <c r="E1155" s="390"/>
      <c r="F1155" s="390"/>
      <c r="G1155" s="390"/>
      <c r="H1155" s="390"/>
      <c r="I1155" s="390"/>
      <c r="J1155" s="390"/>
      <c r="K1155" s="391"/>
      <c r="L1155" s="391"/>
      <c r="M1155" s="435"/>
      <c r="N1155" s="392"/>
      <c r="O1155" s="393"/>
    </row>
    <row r="1156" spans="5:15" s="428" customFormat="1" ht="14.1" customHeight="1">
      <c r="E1156" s="390"/>
      <c r="F1156" s="390"/>
      <c r="G1156" s="390"/>
      <c r="H1156" s="390"/>
      <c r="I1156" s="390"/>
      <c r="J1156" s="390"/>
      <c r="K1156" s="391"/>
      <c r="L1156" s="391"/>
      <c r="M1156" s="435"/>
      <c r="N1156" s="392"/>
      <c r="O1156" s="393"/>
    </row>
    <row r="1157" spans="5:15" s="428" customFormat="1" ht="14.1" customHeight="1">
      <c r="E1157" s="390"/>
      <c r="F1157" s="390"/>
      <c r="G1157" s="390"/>
      <c r="H1157" s="390"/>
      <c r="I1157" s="390"/>
      <c r="J1157" s="390"/>
      <c r="K1157" s="391"/>
      <c r="L1157" s="391"/>
      <c r="M1157" s="435"/>
      <c r="N1157" s="392"/>
      <c r="O1157" s="393"/>
    </row>
    <row r="1158" spans="5:15" s="428" customFormat="1" ht="14.1" customHeight="1">
      <c r="E1158" s="390"/>
      <c r="F1158" s="390"/>
      <c r="G1158" s="390"/>
      <c r="H1158" s="390"/>
      <c r="I1158" s="390"/>
      <c r="J1158" s="390"/>
      <c r="K1158" s="391"/>
      <c r="L1158" s="391"/>
      <c r="M1158" s="435"/>
      <c r="N1158" s="392"/>
      <c r="O1158" s="393"/>
    </row>
    <row r="1159" spans="5:15" s="428" customFormat="1" ht="14.1" customHeight="1">
      <c r="E1159" s="390"/>
      <c r="F1159" s="390"/>
      <c r="G1159" s="390"/>
      <c r="H1159" s="390"/>
      <c r="I1159" s="390"/>
      <c r="J1159" s="390"/>
      <c r="K1159" s="391"/>
      <c r="L1159" s="391"/>
      <c r="M1159" s="435"/>
      <c r="N1159" s="392"/>
      <c r="O1159" s="393"/>
    </row>
    <row r="1160" spans="5:15" s="428" customFormat="1" ht="14.1" customHeight="1">
      <c r="E1160" s="390"/>
      <c r="F1160" s="390"/>
      <c r="G1160" s="390"/>
      <c r="H1160" s="390"/>
      <c r="I1160" s="390"/>
      <c r="J1160" s="390"/>
      <c r="K1160" s="391"/>
      <c r="L1160" s="391"/>
      <c r="M1160" s="435"/>
      <c r="N1160" s="392"/>
      <c r="O1160" s="393"/>
    </row>
    <row r="1161" spans="5:15" s="428" customFormat="1" ht="14.1" customHeight="1">
      <c r="E1161" s="390"/>
      <c r="F1161" s="390"/>
      <c r="G1161" s="390"/>
      <c r="H1161" s="390"/>
      <c r="I1161" s="390"/>
      <c r="J1161" s="390"/>
      <c r="K1161" s="391"/>
      <c r="L1161" s="391"/>
      <c r="M1161" s="435"/>
      <c r="N1161" s="392"/>
      <c r="O1161" s="393"/>
    </row>
    <row r="1162" spans="5:15" s="428" customFormat="1" ht="14.1" customHeight="1">
      <c r="E1162" s="390"/>
      <c r="F1162" s="390"/>
      <c r="G1162" s="390"/>
      <c r="H1162" s="390"/>
      <c r="I1162" s="390"/>
      <c r="J1162" s="390"/>
      <c r="K1162" s="391"/>
      <c r="L1162" s="391"/>
      <c r="M1162" s="435"/>
      <c r="N1162" s="392"/>
      <c r="O1162" s="393"/>
    </row>
    <row r="1163" spans="5:15" s="428" customFormat="1" ht="14.1" customHeight="1">
      <c r="E1163" s="390"/>
      <c r="F1163" s="390"/>
      <c r="G1163" s="390"/>
      <c r="H1163" s="390"/>
      <c r="I1163" s="390"/>
      <c r="J1163" s="390"/>
      <c r="K1163" s="391"/>
      <c r="L1163" s="391"/>
      <c r="M1163" s="435"/>
      <c r="N1163" s="392"/>
      <c r="O1163" s="393"/>
    </row>
    <row r="1164" spans="5:15" s="428" customFormat="1" ht="14.1" customHeight="1">
      <c r="E1164" s="390"/>
      <c r="F1164" s="390"/>
      <c r="G1164" s="390"/>
      <c r="H1164" s="390"/>
      <c r="I1164" s="390"/>
      <c r="J1164" s="390"/>
      <c r="K1164" s="391"/>
      <c r="L1164" s="391"/>
      <c r="M1164" s="435"/>
      <c r="N1164" s="392"/>
      <c r="O1164" s="393"/>
    </row>
    <row r="1165" spans="5:15" s="428" customFormat="1" ht="14.1" customHeight="1">
      <c r="E1165" s="390"/>
      <c r="F1165" s="390"/>
      <c r="G1165" s="390"/>
      <c r="H1165" s="390"/>
      <c r="I1165" s="390"/>
      <c r="J1165" s="390"/>
      <c r="K1165" s="391"/>
      <c r="L1165" s="391"/>
      <c r="M1165" s="435"/>
      <c r="N1165" s="392"/>
      <c r="O1165" s="393"/>
    </row>
    <row r="1166" spans="5:15" s="428" customFormat="1" ht="14.1" customHeight="1">
      <c r="E1166" s="390"/>
      <c r="F1166" s="390"/>
      <c r="G1166" s="390"/>
      <c r="H1166" s="390"/>
      <c r="I1166" s="390"/>
      <c r="J1166" s="390"/>
      <c r="K1166" s="391"/>
      <c r="L1166" s="391"/>
      <c r="M1166" s="435"/>
      <c r="N1166" s="392"/>
      <c r="O1166" s="393"/>
    </row>
    <row r="1167" spans="5:15" s="428" customFormat="1" ht="14.1" customHeight="1">
      <c r="E1167" s="390"/>
      <c r="F1167" s="390"/>
      <c r="G1167" s="390"/>
      <c r="H1167" s="390"/>
      <c r="I1167" s="390"/>
      <c r="J1167" s="390"/>
      <c r="K1167" s="391"/>
      <c r="L1167" s="391"/>
      <c r="M1167" s="435"/>
      <c r="N1167" s="392"/>
      <c r="O1167" s="393"/>
    </row>
    <row r="1168" spans="5:15" s="428" customFormat="1" ht="14.1" customHeight="1">
      <c r="E1168" s="390"/>
      <c r="F1168" s="390"/>
      <c r="G1168" s="390"/>
      <c r="H1168" s="390"/>
      <c r="I1168" s="390"/>
      <c r="J1168" s="390"/>
      <c r="K1168" s="391"/>
      <c r="L1168" s="391"/>
      <c r="M1168" s="435"/>
      <c r="N1168" s="392"/>
      <c r="O1168" s="393"/>
    </row>
    <row r="1169" spans="5:15" s="428" customFormat="1" ht="14.1" customHeight="1">
      <c r="E1169" s="390"/>
      <c r="F1169" s="390"/>
      <c r="G1169" s="390"/>
      <c r="H1169" s="390"/>
      <c r="I1169" s="390"/>
      <c r="J1169" s="390"/>
      <c r="K1169" s="391"/>
      <c r="L1169" s="391"/>
      <c r="M1169" s="435"/>
      <c r="N1169" s="392"/>
      <c r="O1169" s="393"/>
    </row>
    <row r="1170" spans="5:15" s="428" customFormat="1" ht="14.1" customHeight="1">
      <c r="E1170" s="393"/>
      <c r="F1170" s="393"/>
      <c r="G1170" s="393"/>
      <c r="H1170" s="393"/>
      <c r="I1170" s="393"/>
      <c r="J1170" s="393"/>
      <c r="K1170" s="393"/>
      <c r="L1170" s="393"/>
      <c r="M1170" s="393"/>
      <c r="N1170" s="393"/>
      <c r="O1170" s="393"/>
    </row>
    <row r="1171" spans="5:15" s="428" customFormat="1" ht="14.1" customHeight="1">
      <c r="E1171" s="390"/>
      <c r="F1171" s="390"/>
      <c r="G1171" s="390"/>
      <c r="H1171" s="390"/>
      <c r="I1171" s="390"/>
      <c r="J1171" s="390"/>
      <c r="K1171" s="391"/>
      <c r="L1171" s="391"/>
      <c r="M1171" s="435"/>
      <c r="N1171" s="392"/>
      <c r="O1171" s="393"/>
    </row>
    <row r="1172" spans="5:15" s="428" customFormat="1" ht="14.1" customHeight="1">
      <c r="E1172" s="393"/>
      <c r="F1172" s="393"/>
      <c r="G1172" s="393"/>
      <c r="H1172" s="393"/>
      <c r="I1172" s="393"/>
      <c r="J1172" s="393"/>
      <c r="K1172" s="393"/>
      <c r="L1172" s="393"/>
      <c r="M1172" s="393"/>
      <c r="N1172" s="392"/>
      <c r="O1172" s="392"/>
    </row>
    <row r="1173" spans="5:15" s="428" customFormat="1" ht="14.1" customHeight="1">
      <c r="E1173" s="390"/>
      <c r="F1173" s="390"/>
      <c r="G1173" s="390"/>
      <c r="H1173" s="390"/>
      <c r="I1173" s="390"/>
      <c r="J1173" s="390"/>
      <c r="K1173" s="391"/>
      <c r="L1173" s="391"/>
      <c r="M1173" s="435"/>
      <c r="N1173" s="392"/>
      <c r="O1173" s="393"/>
    </row>
    <row r="1174" spans="5:15" s="428" customFormat="1" ht="14.1" customHeight="1">
      <c r="E1174" s="390"/>
      <c r="F1174" s="390"/>
      <c r="G1174" s="390"/>
      <c r="H1174" s="390"/>
      <c r="I1174" s="390"/>
      <c r="J1174" s="390"/>
      <c r="K1174" s="391"/>
      <c r="L1174" s="391"/>
      <c r="M1174" s="435"/>
      <c r="N1174" s="392"/>
      <c r="O1174" s="393"/>
    </row>
    <row r="1175" spans="5:15" s="428" customFormat="1" ht="14.1" customHeight="1">
      <c r="E1175" s="390"/>
      <c r="F1175" s="390"/>
      <c r="G1175" s="390"/>
      <c r="H1175" s="390"/>
      <c r="I1175" s="390"/>
      <c r="J1175" s="390"/>
      <c r="K1175" s="391"/>
      <c r="L1175" s="391"/>
      <c r="M1175" s="435"/>
      <c r="N1175" s="392"/>
      <c r="O1175" s="393"/>
    </row>
    <row r="1176" spans="5:15" s="428" customFormat="1" ht="14.1" customHeight="1">
      <c r="E1176" s="390"/>
      <c r="F1176" s="390"/>
      <c r="G1176" s="390"/>
      <c r="H1176" s="390"/>
      <c r="I1176" s="390"/>
      <c r="J1176" s="390"/>
      <c r="K1176" s="391"/>
      <c r="L1176" s="391"/>
      <c r="M1176" s="435"/>
      <c r="N1176" s="392"/>
      <c r="O1176" s="393"/>
    </row>
    <row r="1177" spans="5:15" s="428" customFormat="1" ht="14.1" customHeight="1">
      <c r="E1177" s="390"/>
      <c r="F1177" s="390"/>
      <c r="G1177" s="390"/>
      <c r="H1177" s="390"/>
      <c r="I1177" s="390"/>
      <c r="J1177" s="390"/>
      <c r="K1177" s="391"/>
      <c r="L1177" s="391"/>
      <c r="M1177" s="435"/>
      <c r="N1177" s="392"/>
      <c r="O1177" s="393"/>
    </row>
    <row r="1178" spans="5:15" ht="14.1" customHeight="1">
      <c r="E1178" s="390"/>
      <c r="F1178" s="390"/>
      <c r="G1178" s="390"/>
      <c r="H1178" s="390"/>
      <c r="I1178" s="390"/>
      <c r="J1178" s="390"/>
      <c r="K1178" s="391"/>
      <c r="L1178" s="391"/>
      <c r="M1178" s="435"/>
      <c r="N1178" s="392"/>
      <c r="O1178" s="393"/>
    </row>
    <row r="1179" spans="5:15" ht="14.1" customHeight="1">
      <c r="E1179" s="390"/>
      <c r="F1179" s="390"/>
      <c r="G1179" s="390"/>
      <c r="H1179" s="390"/>
      <c r="I1179" s="390"/>
      <c r="J1179" s="390"/>
      <c r="K1179" s="391"/>
      <c r="L1179" s="391"/>
      <c r="M1179" s="435"/>
      <c r="N1179" s="392"/>
      <c r="O1179" s="393"/>
    </row>
    <row r="1180" spans="5:15" ht="14.1" customHeight="1">
      <c r="E1180" s="390"/>
      <c r="F1180" s="390"/>
      <c r="G1180" s="390"/>
      <c r="H1180" s="390"/>
      <c r="I1180" s="390"/>
      <c r="J1180" s="390"/>
      <c r="K1180" s="391"/>
      <c r="L1180" s="391"/>
      <c r="M1180" s="435"/>
      <c r="N1180" s="392"/>
      <c r="O1180" s="393"/>
    </row>
    <row r="1181" spans="5:15" ht="14.1" customHeight="1">
      <c r="E1181" s="390"/>
      <c r="F1181" s="390"/>
      <c r="G1181" s="390"/>
      <c r="H1181" s="390"/>
      <c r="I1181" s="390"/>
      <c r="J1181" s="390"/>
      <c r="K1181" s="391"/>
      <c r="L1181" s="391"/>
      <c r="M1181" s="435"/>
      <c r="N1181" s="392"/>
      <c r="O1181" s="393"/>
    </row>
    <row r="1182" spans="5:15" ht="14.1" customHeight="1">
      <c r="E1182" s="390"/>
      <c r="F1182" s="390"/>
      <c r="G1182" s="390"/>
      <c r="H1182" s="390"/>
      <c r="I1182" s="390"/>
      <c r="J1182" s="390"/>
      <c r="K1182" s="391"/>
      <c r="L1182" s="391"/>
      <c r="M1182" s="435"/>
      <c r="N1182" s="392"/>
      <c r="O1182" s="393"/>
    </row>
    <row r="1183" spans="5:15" ht="14.1" customHeight="1">
      <c r="E1183" s="390"/>
      <c r="F1183" s="390"/>
      <c r="G1183" s="390"/>
      <c r="H1183" s="390"/>
      <c r="I1183" s="390"/>
      <c r="J1183" s="390"/>
      <c r="K1183" s="391"/>
      <c r="L1183" s="391"/>
      <c r="M1183" s="435"/>
      <c r="N1183" s="392"/>
      <c r="O1183" s="393"/>
    </row>
    <row r="1184" spans="5:15" ht="14.1" customHeight="1">
      <c r="E1184" s="390"/>
      <c r="F1184" s="390"/>
      <c r="G1184" s="390"/>
      <c r="H1184" s="390"/>
      <c r="I1184" s="390"/>
      <c r="J1184" s="390"/>
      <c r="K1184" s="391"/>
      <c r="L1184" s="391"/>
      <c r="M1184" s="435"/>
      <c r="N1184" s="392"/>
      <c r="O1184" s="393"/>
    </row>
    <row r="1185" spans="5:15" ht="14.1" customHeight="1">
      <c r="E1185" s="390"/>
      <c r="F1185" s="390"/>
      <c r="G1185" s="390"/>
      <c r="H1185" s="390"/>
      <c r="I1185" s="390"/>
      <c r="J1185" s="390"/>
      <c r="K1185" s="391"/>
      <c r="L1185" s="391"/>
      <c r="M1185" s="435"/>
      <c r="N1185" s="392"/>
      <c r="O1185" s="393"/>
    </row>
    <row r="1186" spans="5:15" ht="14.1" customHeight="1">
      <c r="E1186" s="390"/>
      <c r="F1186" s="390"/>
      <c r="G1186" s="390"/>
      <c r="H1186" s="390"/>
      <c r="I1186" s="390"/>
      <c r="J1186" s="390"/>
      <c r="K1186" s="391"/>
      <c r="L1186" s="391"/>
      <c r="M1186" s="435"/>
      <c r="N1186" s="392"/>
      <c r="O1186" s="393"/>
    </row>
    <row r="1187" spans="5:15" ht="14.1" customHeight="1">
      <c r="E1187" s="390"/>
      <c r="F1187" s="390"/>
      <c r="G1187" s="390"/>
      <c r="H1187" s="390"/>
      <c r="I1187" s="390"/>
      <c r="J1187" s="390"/>
      <c r="K1187" s="391"/>
      <c r="L1187" s="391"/>
      <c r="M1187" s="435"/>
      <c r="N1187" s="392"/>
      <c r="O1187" s="393"/>
    </row>
    <row r="1188" spans="5:15" ht="14.1" customHeight="1">
      <c r="E1188" s="390"/>
      <c r="F1188" s="390"/>
      <c r="G1188" s="390"/>
      <c r="H1188" s="390"/>
      <c r="I1188" s="390"/>
      <c r="J1188" s="390"/>
      <c r="K1188" s="391"/>
      <c r="L1188" s="391"/>
      <c r="M1188" s="435"/>
      <c r="N1188" s="392"/>
      <c r="O1188" s="393"/>
    </row>
    <row r="1189" spans="5:15" ht="14.1" customHeight="1">
      <c r="E1189" s="393"/>
      <c r="F1189" s="393"/>
      <c r="G1189" s="393"/>
      <c r="H1189" s="393"/>
      <c r="I1189" s="393"/>
      <c r="J1189" s="393"/>
      <c r="K1189" s="393"/>
      <c r="L1189" s="393"/>
      <c r="M1189" s="393"/>
      <c r="N1189" s="392"/>
      <c r="O1189" s="392"/>
    </row>
    <row r="1190" spans="5:15" ht="14.1" customHeight="1">
      <c r="E1190" s="390"/>
      <c r="F1190" s="390"/>
      <c r="G1190" s="390"/>
      <c r="H1190" s="390"/>
      <c r="I1190" s="390"/>
      <c r="J1190" s="390"/>
      <c r="K1190" s="391"/>
      <c r="L1190" s="391"/>
      <c r="M1190" s="435"/>
      <c r="N1190" s="392"/>
      <c r="O1190" s="393"/>
    </row>
    <row r="1191" spans="5:15" ht="14.1" customHeight="1">
      <c r="E1191" s="393"/>
      <c r="F1191" s="393"/>
      <c r="G1191" s="393"/>
      <c r="H1191" s="393"/>
      <c r="I1191" s="393"/>
      <c r="J1191" s="393"/>
      <c r="K1191" s="393"/>
      <c r="L1191" s="393"/>
      <c r="M1191" s="393"/>
      <c r="N1191" s="392"/>
      <c r="O1191" s="392"/>
    </row>
    <row r="1192" spans="5:15" ht="14.1" customHeight="1">
      <c r="E1192" s="390"/>
      <c r="F1192" s="390"/>
      <c r="G1192" s="390"/>
      <c r="H1192" s="390"/>
      <c r="I1192" s="390"/>
      <c r="J1192" s="390"/>
      <c r="K1192" s="391"/>
      <c r="L1192" s="391"/>
      <c r="M1192" s="435"/>
      <c r="N1192" s="392"/>
      <c r="O1192" s="393"/>
    </row>
    <row r="1193" spans="5:15" ht="14.1" customHeight="1">
      <c r="E1193" s="390"/>
      <c r="F1193" s="390"/>
      <c r="G1193" s="390"/>
      <c r="H1193" s="390"/>
      <c r="I1193" s="390"/>
      <c r="J1193" s="390"/>
      <c r="K1193" s="391"/>
      <c r="L1193" s="391"/>
      <c r="M1193" s="435"/>
      <c r="N1193" s="392"/>
      <c r="O1193" s="393"/>
    </row>
    <row r="1194" spans="5:15" ht="14.1" customHeight="1">
      <c r="E1194" s="390"/>
      <c r="F1194" s="390"/>
      <c r="G1194" s="390"/>
      <c r="H1194" s="390"/>
      <c r="I1194" s="390"/>
      <c r="J1194" s="390"/>
      <c r="K1194" s="391"/>
      <c r="L1194" s="391"/>
      <c r="M1194" s="435"/>
      <c r="N1194" s="392"/>
      <c r="O1194" s="393"/>
    </row>
    <row r="1195" spans="5:15" ht="14.1" customHeight="1">
      <c r="E1195" s="393"/>
      <c r="F1195" s="393"/>
      <c r="G1195" s="393"/>
      <c r="H1195" s="393"/>
      <c r="I1195" s="393"/>
      <c r="J1195" s="393"/>
      <c r="K1195" s="393"/>
      <c r="L1195" s="393"/>
      <c r="M1195" s="393"/>
      <c r="N1195" s="392"/>
      <c r="O1195" s="392"/>
    </row>
    <row r="1196" spans="5:15" ht="14.1" customHeight="1">
      <c r="E1196" s="390"/>
      <c r="F1196" s="390"/>
      <c r="G1196" s="390"/>
      <c r="H1196" s="390"/>
      <c r="I1196" s="390"/>
      <c r="J1196" s="390"/>
      <c r="K1196" s="391"/>
      <c r="L1196" s="391"/>
      <c r="M1196" s="435"/>
      <c r="N1196" s="392"/>
      <c r="O1196" s="393"/>
    </row>
    <row r="1197" spans="5:15" ht="14.1" customHeight="1">
      <c r="E1197" s="393"/>
      <c r="F1197" s="393"/>
      <c r="G1197" s="393"/>
      <c r="H1197" s="393"/>
      <c r="I1197" s="393"/>
      <c r="J1197" s="393"/>
      <c r="K1197" s="393"/>
      <c r="L1197" s="393"/>
      <c r="M1197" s="393"/>
      <c r="N1197" s="392"/>
      <c r="O1197" s="392"/>
    </row>
    <row r="1198" spans="5:15" ht="14.1" customHeight="1">
      <c r="E1198" s="393"/>
      <c r="F1198" s="393"/>
      <c r="G1198" s="393"/>
      <c r="H1198" s="393"/>
      <c r="I1198" s="393"/>
      <c r="J1198" s="393"/>
      <c r="K1198" s="393"/>
      <c r="L1198" s="393"/>
      <c r="M1198" s="393"/>
      <c r="N1198" s="392"/>
      <c r="O1198" s="392"/>
    </row>
    <row r="1199" spans="5:15" ht="14.1" customHeight="1">
      <c r="E1199" s="390"/>
      <c r="F1199" s="390"/>
      <c r="G1199" s="390"/>
      <c r="H1199" s="390"/>
      <c r="I1199" s="390"/>
      <c r="J1199" s="390"/>
      <c r="K1199" s="391"/>
      <c r="L1199" s="391"/>
      <c r="M1199" s="435"/>
      <c r="N1199" s="392"/>
      <c r="O1199" s="393"/>
    </row>
    <row r="1200" spans="5:15" ht="14.1" customHeight="1">
      <c r="E1200" s="393"/>
      <c r="F1200" s="393"/>
      <c r="G1200" s="393"/>
      <c r="H1200" s="393"/>
      <c r="I1200" s="393"/>
      <c r="J1200" s="393"/>
      <c r="K1200" s="393"/>
      <c r="L1200" s="393"/>
      <c r="M1200" s="393"/>
      <c r="N1200" s="392"/>
      <c r="O1200" s="392"/>
    </row>
    <row r="1201" spans="5:15" ht="14.1" customHeight="1">
      <c r="E1201" s="390"/>
      <c r="F1201" s="390"/>
      <c r="G1201" s="390"/>
      <c r="H1201" s="390"/>
      <c r="I1201" s="390"/>
      <c r="J1201" s="390"/>
      <c r="K1201" s="391"/>
      <c r="L1201" s="391"/>
      <c r="M1201" s="435"/>
      <c r="N1201" s="392"/>
      <c r="O1201" s="393"/>
    </row>
    <row r="1202" spans="5:15" ht="14.1" customHeight="1">
      <c r="E1202" s="390"/>
      <c r="F1202" s="390"/>
      <c r="G1202" s="390"/>
      <c r="H1202" s="390"/>
      <c r="I1202" s="390"/>
      <c r="J1202" s="390"/>
      <c r="K1202" s="391"/>
      <c r="L1202" s="391"/>
      <c r="M1202" s="435"/>
      <c r="N1202" s="392"/>
      <c r="O1202" s="393"/>
    </row>
    <row r="1203" spans="5:15" ht="14.1" customHeight="1">
      <c r="E1203" s="390"/>
      <c r="F1203" s="390"/>
      <c r="G1203" s="390"/>
      <c r="H1203" s="390"/>
      <c r="I1203" s="390"/>
      <c r="J1203" s="390"/>
      <c r="K1203" s="391"/>
      <c r="L1203" s="391"/>
      <c r="M1203" s="435"/>
      <c r="N1203" s="392"/>
      <c r="O1203" s="393"/>
    </row>
    <row r="1204" spans="5:15" ht="14.1" customHeight="1">
      <c r="E1204" s="393"/>
      <c r="F1204" s="393"/>
      <c r="G1204" s="393"/>
      <c r="H1204" s="393"/>
      <c r="I1204" s="393"/>
      <c r="J1204" s="393"/>
      <c r="K1204" s="393"/>
      <c r="L1204" s="393"/>
      <c r="M1204" s="393"/>
      <c r="N1204" s="392"/>
      <c r="O1204" s="392"/>
    </row>
    <row r="1205" spans="5:15" ht="14.1" customHeight="1">
      <c r="E1205" s="390"/>
      <c r="F1205" s="390"/>
      <c r="G1205" s="390"/>
      <c r="H1205" s="390"/>
      <c r="I1205" s="390"/>
      <c r="J1205" s="390"/>
      <c r="K1205" s="391"/>
      <c r="L1205" s="391"/>
      <c r="M1205" s="435"/>
      <c r="N1205" s="392"/>
      <c r="O1205" s="393"/>
    </row>
    <row r="1206" spans="5:15" ht="14.1" customHeight="1">
      <c r="E1206" s="393"/>
      <c r="F1206" s="393"/>
      <c r="G1206" s="393"/>
      <c r="H1206" s="393"/>
      <c r="I1206" s="393"/>
      <c r="J1206" s="393"/>
      <c r="K1206" s="393"/>
      <c r="L1206" s="393"/>
      <c r="M1206" s="393"/>
      <c r="N1206" s="392"/>
      <c r="O1206" s="392"/>
    </row>
    <row r="1207" spans="5:15" ht="14.1" customHeight="1">
      <c r="E1207" s="390"/>
      <c r="F1207" s="390"/>
      <c r="G1207" s="390"/>
      <c r="H1207" s="390"/>
      <c r="I1207" s="390"/>
      <c r="J1207" s="390"/>
      <c r="K1207" s="391"/>
      <c r="L1207" s="391"/>
      <c r="M1207" s="435"/>
      <c r="N1207" s="392"/>
      <c r="O1207" s="393"/>
    </row>
    <row r="1208" spans="5:15" ht="14.1" customHeight="1">
      <c r="E1208" s="390"/>
      <c r="F1208" s="390"/>
      <c r="G1208" s="390"/>
      <c r="H1208" s="390"/>
      <c r="I1208" s="390"/>
      <c r="J1208" s="390"/>
      <c r="K1208" s="391"/>
      <c r="L1208" s="391"/>
      <c r="M1208" s="435"/>
      <c r="N1208" s="392"/>
      <c r="O1208" s="393"/>
    </row>
    <row r="1209" spans="5:15" ht="14.1" customHeight="1">
      <c r="E1209" s="390"/>
      <c r="F1209" s="390"/>
      <c r="G1209" s="390"/>
      <c r="H1209" s="390"/>
      <c r="I1209" s="390"/>
      <c r="J1209" s="390"/>
      <c r="K1209" s="391"/>
      <c r="L1209" s="391"/>
      <c r="M1209" s="435"/>
      <c r="N1209" s="392"/>
      <c r="O1209" s="393"/>
    </row>
    <row r="1210" spans="5:15" ht="14.1" customHeight="1">
      <c r="E1210" s="393"/>
      <c r="F1210" s="393"/>
      <c r="G1210" s="393"/>
      <c r="H1210" s="393"/>
      <c r="I1210" s="393"/>
      <c r="J1210" s="393"/>
      <c r="K1210" s="393"/>
      <c r="L1210" s="393"/>
      <c r="M1210" s="393"/>
      <c r="N1210" s="392"/>
      <c r="O1210" s="392"/>
    </row>
    <row r="1211" spans="5:15" ht="14.1" customHeight="1">
      <c r="E1211" s="390"/>
      <c r="F1211" s="390"/>
      <c r="G1211" s="390"/>
      <c r="H1211" s="390"/>
      <c r="I1211" s="390"/>
      <c r="J1211" s="390"/>
      <c r="K1211" s="391"/>
      <c r="L1211" s="391"/>
      <c r="M1211" s="435"/>
      <c r="N1211" s="392"/>
      <c r="O1211" s="393"/>
    </row>
    <row r="1212" spans="5:15" ht="14.1" customHeight="1">
      <c r="E1212" s="390"/>
      <c r="F1212" s="390"/>
      <c r="G1212" s="390"/>
      <c r="H1212" s="390"/>
      <c r="I1212" s="390"/>
      <c r="J1212" s="390"/>
      <c r="K1212" s="391"/>
      <c r="L1212" s="391"/>
      <c r="M1212" s="435"/>
      <c r="N1212" s="392"/>
      <c r="O1212" s="393"/>
    </row>
    <row r="1213" spans="5:15" ht="14.1" customHeight="1">
      <c r="E1213" s="393"/>
      <c r="F1213" s="393"/>
      <c r="G1213" s="393"/>
      <c r="H1213" s="393"/>
      <c r="I1213" s="393"/>
      <c r="J1213" s="393"/>
      <c r="K1213" s="393"/>
      <c r="L1213" s="393"/>
      <c r="M1213" s="393"/>
      <c r="N1213" s="392"/>
      <c r="O1213" s="392"/>
    </row>
    <row r="1214" spans="5:15" ht="14.1" customHeight="1">
      <c r="E1214" s="390"/>
      <c r="F1214" s="390"/>
      <c r="G1214" s="390"/>
      <c r="H1214" s="390"/>
      <c r="I1214" s="390"/>
      <c r="J1214" s="390"/>
      <c r="K1214" s="391"/>
      <c r="L1214" s="391"/>
      <c r="M1214" s="435"/>
      <c r="N1214" s="392"/>
      <c r="O1214" s="393"/>
    </row>
    <row r="1215" spans="5:15" ht="14.1" customHeight="1">
      <c r="E1215" s="393"/>
      <c r="F1215" s="393"/>
      <c r="G1215" s="393"/>
      <c r="H1215" s="393"/>
      <c r="I1215" s="393"/>
      <c r="J1215" s="393"/>
      <c r="K1215" s="393"/>
      <c r="L1215" s="393"/>
      <c r="M1215" s="393"/>
      <c r="N1215" s="392"/>
      <c r="O1215" s="392"/>
    </row>
    <row r="1216" spans="5:15" ht="14.1" customHeight="1">
      <c r="E1216" s="390"/>
      <c r="F1216" s="390"/>
      <c r="G1216" s="390"/>
      <c r="H1216" s="390"/>
      <c r="I1216" s="390"/>
      <c r="J1216" s="390"/>
      <c r="K1216" s="391"/>
      <c r="L1216" s="391"/>
      <c r="M1216" s="435"/>
      <c r="N1216" s="392"/>
      <c r="O1216" s="393"/>
    </row>
    <row r="1217" spans="5:15" ht="14.1" customHeight="1">
      <c r="E1217" s="390"/>
      <c r="F1217" s="390"/>
      <c r="G1217" s="390"/>
      <c r="H1217" s="390"/>
      <c r="I1217" s="390"/>
      <c r="J1217" s="390"/>
      <c r="K1217" s="391"/>
      <c r="L1217" s="391"/>
      <c r="M1217" s="435"/>
      <c r="N1217" s="392"/>
      <c r="O1217" s="393"/>
    </row>
    <row r="1218" spans="5:15" ht="14.1" customHeight="1">
      <c r="E1218" s="393"/>
      <c r="F1218" s="393"/>
      <c r="G1218" s="393"/>
      <c r="H1218" s="393"/>
      <c r="I1218" s="393"/>
      <c r="J1218" s="393"/>
      <c r="K1218" s="393"/>
      <c r="L1218" s="393"/>
      <c r="M1218" s="393"/>
      <c r="N1218" s="393"/>
      <c r="O1218" s="393"/>
    </row>
    <row r="1219" spans="5:15" ht="14.1" customHeight="1">
      <c r="E1219" s="393"/>
      <c r="F1219" s="393"/>
      <c r="G1219" s="393"/>
      <c r="H1219" s="393"/>
      <c r="I1219" s="393"/>
      <c r="J1219" s="393"/>
      <c r="K1219" s="393"/>
      <c r="L1219" s="393"/>
      <c r="M1219" s="393"/>
      <c r="N1219" s="392"/>
      <c r="O1219" s="392"/>
    </row>
    <row r="1220" spans="5:15" ht="14.1" customHeight="1">
      <c r="E1220" s="390"/>
      <c r="F1220" s="390"/>
      <c r="G1220" s="390"/>
      <c r="H1220" s="390"/>
      <c r="I1220" s="390"/>
      <c r="J1220" s="390"/>
      <c r="K1220" s="391"/>
      <c r="L1220" s="391"/>
      <c r="M1220" s="435"/>
      <c r="N1220" s="392"/>
      <c r="O1220" s="393"/>
    </row>
    <row r="1221" spans="5:15" ht="14.1" customHeight="1">
      <c r="E1221" s="390"/>
      <c r="F1221" s="390"/>
      <c r="G1221" s="390"/>
      <c r="H1221" s="390"/>
      <c r="I1221" s="390"/>
      <c r="J1221" s="390"/>
      <c r="K1221" s="391"/>
      <c r="L1221" s="391"/>
      <c r="M1221" s="435"/>
      <c r="N1221" s="392"/>
      <c r="O1221" s="393"/>
    </row>
    <row r="1222" spans="5:15" ht="14.1" customHeight="1">
      <c r="E1222" s="393"/>
      <c r="F1222" s="393"/>
      <c r="G1222" s="393"/>
      <c r="H1222" s="393"/>
      <c r="I1222" s="393"/>
      <c r="J1222" s="393"/>
      <c r="K1222" s="393"/>
      <c r="L1222" s="393"/>
      <c r="M1222" s="393"/>
      <c r="N1222" s="392"/>
      <c r="O1222" s="392"/>
    </row>
    <row r="1223" spans="5:15" ht="14.1" customHeight="1">
      <c r="E1223" s="390"/>
      <c r="F1223" s="390"/>
      <c r="G1223" s="390"/>
      <c r="H1223" s="390"/>
      <c r="I1223" s="390"/>
      <c r="J1223" s="390"/>
      <c r="K1223" s="391"/>
      <c r="L1223" s="391"/>
      <c r="M1223" s="435"/>
      <c r="N1223" s="392"/>
      <c r="O1223" s="393"/>
    </row>
    <row r="1224" spans="5:15" ht="14.1" customHeight="1">
      <c r="E1224" s="393"/>
      <c r="F1224" s="393"/>
      <c r="G1224" s="393"/>
      <c r="H1224" s="393"/>
      <c r="I1224" s="393"/>
      <c r="J1224" s="393"/>
      <c r="K1224" s="393"/>
      <c r="L1224" s="393"/>
      <c r="M1224" s="393"/>
      <c r="N1224" s="392"/>
      <c r="O1224" s="392"/>
    </row>
    <row r="1225" spans="5:15" ht="14.1" customHeight="1">
      <c r="E1225" s="390"/>
      <c r="F1225" s="390"/>
      <c r="G1225" s="390"/>
      <c r="H1225" s="390"/>
      <c r="I1225" s="390"/>
      <c r="J1225" s="390"/>
      <c r="K1225" s="391"/>
      <c r="L1225" s="391"/>
      <c r="M1225" s="435"/>
      <c r="N1225" s="392"/>
      <c r="O1225" s="393"/>
    </row>
    <row r="1226" spans="5:15" ht="14.1" customHeight="1">
      <c r="E1226" s="390"/>
      <c r="F1226" s="390"/>
      <c r="G1226" s="390"/>
      <c r="H1226" s="390"/>
      <c r="I1226" s="390"/>
      <c r="J1226" s="390"/>
      <c r="K1226" s="391"/>
      <c r="L1226" s="391"/>
      <c r="M1226" s="435"/>
      <c r="N1226" s="392"/>
      <c r="O1226" s="393"/>
    </row>
    <row r="1227" spans="5:15" ht="14.1" customHeight="1">
      <c r="E1227" s="393"/>
      <c r="F1227" s="393"/>
      <c r="G1227" s="393"/>
      <c r="H1227" s="393"/>
      <c r="I1227" s="393"/>
      <c r="J1227" s="393"/>
      <c r="K1227" s="393"/>
      <c r="L1227" s="393"/>
      <c r="M1227" s="393"/>
      <c r="N1227" s="392"/>
      <c r="O1227" s="392"/>
    </row>
    <row r="1228" spans="5:15" ht="14.1" customHeight="1">
      <c r="E1228" s="393"/>
      <c r="F1228" s="393"/>
      <c r="G1228" s="393"/>
      <c r="H1228" s="393"/>
      <c r="I1228" s="393"/>
      <c r="J1228" s="393"/>
      <c r="K1228" s="393"/>
      <c r="L1228" s="393"/>
      <c r="M1228" s="393"/>
      <c r="N1228" s="392"/>
      <c r="O1228" s="392"/>
    </row>
    <row r="1229" spans="5:15" ht="14.1" customHeight="1">
      <c r="E1229" s="390"/>
      <c r="F1229" s="390"/>
      <c r="G1229" s="390"/>
      <c r="H1229" s="390"/>
      <c r="I1229" s="390"/>
      <c r="J1229" s="390"/>
      <c r="K1229" s="391"/>
      <c r="L1229" s="391"/>
      <c r="M1229" s="435"/>
      <c r="N1229" s="392"/>
      <c r="O1229" s="393"/>
    </row>
    <row r="1230" spans="5:15" ht="14.1" customHeight="1">
      <c r="E1230" s="393"/>
      <c r="F1230" s="393"/>
      <c r="G1230" s="393"/>
      <c r="H1230" s="393"/>
      <c r="I1230" s="393"/>
      <c r="J1230" s="393"/>
      <c r="K1230" s="393"/>
      <c r="L1230" s="393"/>
      <c r="M1230" s="393"/>
      <c r="N1230" s="392"/>
      <c r="O1230" s="392"/>
    </row>
    <row r="1231" spans="5:15" ht="14.1" customHeight="1">
      <c r="E1231" s="390"/>
      <c r="F1231" s="390"/>
      <c r="G1231" s="390"/>
      <c r="H1231" s="390"/>
      <c r="I1231" s="390"/>
      <c r="J1231" s="390"/>
      <c r="K1231" s="391"/>
      <c r="L1231" s="391"/>
      <c r="M1231" s="435"/>
      <c r="N1231" s="392"/>
      <c r="O1231" s="393"/>
    </row>
    <row r="1232" spans="5:15" ht="14.1" customHeight="1">
      <c r="E1232" s="393"/>
      <c r="F1232" s="393"/>
      <c r="G1232" s="393"/>
      <c r="H1232" s="393"/>
      <c r="I1232" s="393"/>
      <c r="J1232" s="393"/>
      <c r="K1232" s="393"/>
      <c r="L1232" s="393"/>
      <c r="M1232" s="393"/>
      <c r="N1232" s="392"/>
      <c r="O1232" s="392"/>
    </row>
    <row r="1233" spans="5:15" ht="14.1" customHeight="1">
      <c r="E1233" s="390"/>
      <c r="F1233" s="390"/>
      <c r="G1233" s="390"/>
      <c r="H1233" s="390"/>
      <c r="I1233" s="390"/>
      <c r="J1233" s="390"/>
      <c r="K1233" s="391"/>
      <c r="L1233" s="391"/>
      <c r="M1233" s="435"/>
      <c r="N1233" s="392"/>
      <c r="O1233" s="393"/>
    </row>
    <row r="1234" spans="5:15" ht="14.1" customHeight="1">
      <c r="E1234" s="390"/>
      <c r="F1234" s="390"/>
      <c r="G1234" s="390"/>
      <c r="H1234" s="390"/>
      <c r="I1234" s="390"/>
      <c r="J1234" s="390"/>
      <c r="K1234" s="391"/>
      <c r="L1234" s="391"/>
      <c r="M1234" s="435"/>
      <c r="N1234" s="392"/>
      <c r="O1234" s="393"/>
    </row>
    <row r="1235" spans="5:15" ht="14.1" customHeight="1">
      <c r="E1235" s="390"/>
      <c r="F1235" s="390"/>
      <c r="G1235" s="390"/>
      <c r="H1235" s="390"/>
      <c r="I1235" s="390"/>
      <c r="J1235" s="390"/>
      <c r="K1235" s="391"/>
      <c r="L1235" s="391"/>
      <c r="M1235" s="435"/>
      <c r="N1235" s="392"/>
      <c r="O1235" s="393"/>
    </row>
    <row r="1236" spans="5:15" ht="14.1" customHeight="1">
      <c r="E1236" s="390"/>
      <c r="F1236" s="390"/>
      <c r="G1236" s="390"/>
      <c r="H1236" s="390"/>
      <c r="I1236" s="390"/>
      <c r="J1236" s="390"/>
      <c r="K1236" s="391"/>
      <c r="L1236" s="391"/>
      <c r="M1236" s="435"/>
      <c r="N1236" s="392"/>
      <c r="O1236" s="393"/>
    </row>
    <row r="1237" spans="5:15" ht="14.1" customHeight="1">
      <c r="E1237" s="390"/>
      <c r="F1237" s="390"/>
      <c r="G1237" s="390"/>
      <c r="H1237" s="390"/>
      <c r="I1237" s="390"/>
      <c r="J1237" s="390"/>
      <c r="K1237" s="391"/>
      <c r="L1237" s="391"/>
      <c r="M1237" s="435"/>
      <c r="N1237" s="392"/>
      <c r="O1237" s="393"/>
    </row>
    <row r="1238" spans="5:15" ht="14.1" customHeight="1">
      <c r="E1238" s="390"/>
      <c r="F1238" s="390"/>
      <c r="G1238" s="390"/>
      <c r="H1238" s="390"/>
      <c r="I1238" s="390"/>
      <c r="J1238" s="390"/>
      <c r="K1238" s="391"/>
      <c r="L1238" s="391"/>
      <c r="M1238" s="435"/>
      <c r="N1238" s="392"/>
      <c r="O1238" s="393"/>
    </row>
    <row r="1239" spans="5:15" ht="14.1" customHeight="1">
      <c r="E1239" s="390"/>
      <c r="F1239" s="390"/>
      <c r="G1239" s="390"/>
      <c r="H1239" s="390"/>
      <c r="I1239" s="390"/>
      <c r="J1239" s="390"/>
      <c r="K1239" s="391"/>
      <c r="L1239" s="391"/>
      <c r="M1239" s="435"/>
      <c r="N1239" s="392"/>
      <c r="O1239" s="393"/>
    </row>
    <row r="1240" spans="5:15" ht="14.1" customHeight="1">
      <c r="E1240" s="390"/>
      <c r="F1240" s="390"/>
      <c r="G1240" s="390"/>
      <c r="H1240" s="390"/>
      <c r="I1240" s="390"/>
      <c r="J1240" s="390"/>
      <c r="K1240" s="391"/>
      <c r="L1240" s="391"/>
      <c r="M1240" s="435"/>
      <c r="N1240" s="392"/>
      <c r="O1240" s="393"/>
    </row>
    <row r="1241" spans="5:15" ht="14.1" customHeight="1">
      <c r="E1241" s="390"/>
      <c r="F1241" s="390"/>
      <c r="G1241" s="390"/>
      <c r="H1241" s="390"/>
      <c r="I1241" s="390"/>
      <c r="J1241" s="390"/>
      <c r="K1241" s="391"/>
      <c r="L1241" s="391"/>
      <c r="M1241" s="435"/>
      <c r="N1241" s="392"/>
      <c r="O1241" s="393"/>
    </row>
    <row r="1242" spans="5:15" ht="14.1" customHeight="1">
      <c r="E1242" s="390"/>
      <c r="F1242" s="390"/>
      <c r="G1242" s="390"/>
      <c r="H1242" s="390"/>
      <c r="I1242" s="390"/>
      <c r="J1242" s="390"/>
      <c r="K1242" s="391"/>
      <c r="L1242" s="391"/>
      <c r="M1242" s="435"/>
      <c r="N1242" s="392"/>
      <c r="O1242" s="393"/>
    </row>
    <row r="1243" spans="5:15" ht="14.1" customHeight="1">
      <c r="E1243" s="390"/>
      <c r="F1243" s="390"/>
      <c r="G1243" s="390"/>
      <c r="H1243" s="390"/>
      <c r="I1243" s="390"/>
      <c r="J1243" s="390"/>
      <c r="K1243" s="391"/>
      <c r="L1243" s="391"/>
      <c r="M1243" s="435"/>
      <c r="N1243" s="392"/>
      <c r="O1243" s="393"/>
    </row>
    <row r="1244" spans="5:15" ht="14.1" customHeight="1">
      <c r="E1244" s="390"/>
      <c r="F1244" s="390"/>
      <c r="G1244" s="390"/>
      <c r="H1244" s="390"/>
      <c r="I1244" s="390"/>
      <c r="J1244" s="390"/>
      <c r="K1244" s="391"/>
      <c r="L1244" s="391"/>
      <c r="M1244" s="435"/>
      <c r="N1244" s="392"/>
      <c r="O1244" s="393"/>
    </row>
    <row r="1245" spans="5:15" ht="14.1" customHeight="1">
      <c r="E1245" s="390"/>
      <c r="F1245" s="390"/>
      <c r="G1245" s="390"/>
      <c r="H1245" s="390"/>
      <c r="I1245" s="390"/>
      <c r="J1245" s="390"/>
      <c r="K1245" s="391"/>
      <c r="L1245" s="391"/>
      <c r="M1245" s="435"/>
      <c r="N1245" s="392"/>
      <c r="O1245" s="393"/>
    </row>
    <row r="1246" spans="5:15" ht="14.1" customHeight="1">
      <c r="E1246" s="390"/>
      <c r="F1246" s="390"/>
      <c r="G1246" s="390"/>
      <c r="H1246" s="390"/>
      <c r="I1246" s="390"/>
      <c r="J1246" s="390"/>
      <c r="K1246" s="391"/>
      <c r="L1246" s="391"/>
      <c r="M1246" s="435"/>
      <c r="N1246" s="392"/>
      <c r="O1246" s="393"/>
    </row>
    <row r="1247" spans="5:15" ht="14.1" customHeight="1">
      <c r="E1247" s="390"/>
      <c r="F1247" s="390"/>
      <c r="G1247" s="390"/>
      <c r="H1247" s="390"/>
      <c r="I1247" s="390"/>
      <c r="J1247" s="390"/>
      <c r="K1247" s="391"/>
      <c r="L1247" s="391"/>
      <c r="M1247" s="435"/>
      <c r="N1247" s="392"/>
      <c r="O1247" s="393"/>
    </row>
    <row r="1248" spans="5:15" ht="14.1" customHeight="1">
      <c r="E1248" s="390"/>
      <c r="F1248" s="390"/>
      <c r="G1248" s="390"/>
      <c r="H1248" s="390"/>
      <c r="I1248" s="390"/>
      <c r="J1248" s="390"/>
      <c r="K1248" s="391"/>
      <c r="L1248" s="391"/>
      <c r="M1248" s="435"/>
      <c r="N1248" s="392"/>
      <c r="O1248" s="393"/>
    </row>
    <row r="1249" spans="5:15" ht="14.1" customHeight="1">
      <c r="E1249" s="390"/>
      <c r="F1249" s="390"/>
      <c r="G1249" s="390"/>
      <c r="H1249" s="390"/>
      <c r="I1249" s="390"/>
      <c r="J1249" s="390"/>
      <c r="K1249" s="391"/>
      <c r="L1249" s="391"/>
      <c r="M1249" s="435"/>
      <c r="N1249" s="392"/>
      <c r="O1249" s="393"/>
    </row>
    <row r="1250" spans="5:15" ht="14.1" customHeight="1">
      <c r="E1250" s="390"/>
      <c r="F1250" s="390"/>
      <c r="G1250" s="390"/>
      <c r="H1250" s="390"/>
      <c r="I1250" s="390"/>
      <c r="J1250" s="390"/>
      <c r="K1250" s="391"/>
      <c r="L1250" s="391"/>
      <c r="M1250" s="435"/>
      <c r="N1250" s="392"/>
      <c r="O1250" s="393"/>
    </row>
    <row r="1251" spans="5:15" ht="14.1" customHeight="1">
      <c r="E1251" s="390"/>
      <c r="F1251" s="390"/>
      <c r="G1251" s="390"/>
      <c r="H1251" s="390"/>
      <c r="I1251" s="390"/>
      <c r="J1251" s="390"/>
      <c r="K1251" s="391"/>
      <c r="L1251" s="391"/>
      <c r="M1251" s="435"/>
      <c r="N1251" s="392"/>
      <c r="O1251" s="393"/>
    </row>
    <row r="1252" spans="5:15" ht="14.1" customHeight="1">
      <c r="E1252" s="390"/>
      <c r="F1252" s="390"/>
      <c r="G1252" s="390"/>
      <c r="H1252" s="390"/>
      <c r="I1252" s="390"/>
      <c r="J1252" s="390"/>
      <c r="K1252" s="391"/>
      <c r="L1252" s="391"/>
      <c r="M1252" s="435"/>
      <c r="N1252" s="392"/>
      <c r="O1252" s="393"/>
    </row>
    <row r="1253" spans="5:15" ht="14.1" customHeight="1">
      <c r="E1253" s="390"/>
      <c r="F1253" s="390"/>
      <c r="G1253" s="390"/>
      <c r="H1253" s="390"/>
      <c r="I1253" s="390"/>
      <c r="J1253" s="390"/>
      <c r="K1253" s="391"/>
      <c r="L1253" s="391"/>
      <c r="M1253" s="435"/>
      <c r="N1253" s="392"/>
      <c r="O1253" s="393"/>
    </row>
    <row r="1254" spans="5:15" ht="14.1" customHeight="1">
      <c r="E1254" s="390"/>
      <c r="F1254" s="390"/>
      <c r="G1254" s="390"/>
      <c r="H1254" s="390"/>
      <c r="I1254" s="390"/>
      <c r="J1254" s="390"/>
      <c r="K1254" s="391"/>
      <c r="L1254" s="391"/>
      <c r="M1254" s="435"/>
      <c r="N1254" s="392"/>
      <c r="O1254" s="393"/>
    </row>
    <row r="1255" spans="5:15" ht="14.1" customHeight="1">
      <c r="E1255" s="390"/>
      <c r="F1255" s="390"/>
      <c r="G1255" s="390"/>
      <c r="H1255" s="390"/>
      <c r="I1255" s="390"/>
      <c r="J1255" s="390"/>
      <c r="K1255" s="391"/>
      <c r="L1255" s="391"/>
      <c r="M1255" s="435"/>
      <c r="N1255" s="392"/>
      <c r="O1255" s="393"/>
    </row>
    <row r="1256" spans="5:15" ht="14.1" customHeight="1">
      <c r="E1256" s="390"/>
      <c r="F1256" s="390"/>
      <c r="G1256" s="390"/>
      <c r="H1256" s="390"/>
      <c r="I1256" s="390"/>
      <c r="J1256" s="390"/>
      <c r="K1256" s="391"/>
      <c r="L1256" s="391"/>
      <c r="M1256" s="435"/>
      <c r="N1256" s="392"/>
      <c r="O1256" s="393"/>
    </row>
    <row r="1257" spans="5:15" ht="14.1" customHeight="1">
      <c r="E1257" s="390"/>
      <c r="F1257" s="390"/>
      <c r="G1257" s="390"/>
      <c r="H1257" s="390"/>
      <c r="I1257" s="390"/>
      <c r="J1257" s="390"/>
      <c r="K1257" s="391"/>
      <c r="L1257" s="391"/>
      <c r="M1257" s="435"/>
      <c r="N1257" s="392"/>
      <c r="O1257" s="393"/>
    </row>
    <row r="1258" spans="5:15" ht="14.1" customHeight="1">
      <c r="E1258" s="390"/>
      <c r="F1258" s="390"/>
      <c r="G1258" s="390"/>
      <c r="H1258" s="390"/>
      <c r="I1258" s="390"/>
      <c r="J1258" s="390"/>
      <c r="K1258" s="391"/>
      <c r="L1258" s="391"/>
      <c r="M1258" s="435"/>
      <c r="N1258" s="392"/>
      <c r="O1258" s="393"/>
    </row>
    <row r="1259" spans="5:15" ht="14.1" customHeight="1">
      <c r="E1259" s="390"/>
      <c r="F1259" s="390"/>
      <c r="G1259" s="390"/>
      <c r="H1259" s="390"/>
      <c r="I1259" s="390"/>
      <c r="J1259" s="390"/>
      <c r="K1259" s="391"/>
      <c r="L1259" s="391"/>
      <c r="M1259" s="435"/>
      <c r="N1259" s="392"/>
      <c r="O1259" s="393"/>
    </row>
    <row r="1260" spans="5:15" ht="14.1" customHeight="1">
      <c r="E1260" s="390"/>
      <c r="F1260" s="390"/>
      <c r="G1260" s="390"/>
      <c r="H1260" s="390"/>
      <c r="I1260" s="390"/>
      <c r="J1260" s="390"/>
      <c r="K1260" s="391"/>
      <c r="L1260" s="391"/>
      <c r="M1260" s="435"/>
      <c r="N1260" s="392"/>
      <c r="O1260" s="393"/>
    </row>
    <row r="1261" spans="5:15" ht="14.1" customHeight="1">
      <c r="E1261" s="390"/>
      <c r="F1261" s="390"/>
      <c r="G1261" s="390"/>
      <c r="H1261" s="390"/>
      <c r="I1261" s="390"/>
      <c r="J1261" s="390"/>
      <c r="K1261" s="391"/>
      <c r="L1261" s="391"/>
      <c r="M1261" s="435"/>
      <c r="N1261" s="392"/>
      <c r="O1261" s="393"/>
    </row>
    <row r="1262" spans="5:15" ht="14.1" customHeight="1">
      <c r="E1262" s="390"/>
      <c r="F1262" s="390"/>
      <c r="G1262" s="390"/>
      <c r="H1262" s="390"/>
      <c r="I1262" s="390"/>
      <c r="J1262" s="390"/>
      <c r="K1262" s="391"/>
      <c r="L1262" s="391"/>
      <c r="M1262" s="435"/>
      <c r="N1262" s="392"/>
      <c r="O1262" s="393"/>
    </row>
    <row r="1263" spans="5:15" ht="14.1" customHeight="1">
      <c r="E1263" s="390"/>
      <c r="F1263" s="390"/>
      <c r="G1263" s="390"/>
      <c r="H1263" s="390"/>
      <c r="I1263" s="390"/>
      <c r="J1263" s="390"/>
      <c r="K1263" s="391"/>
      <c r="L1263" s="391"/>
      <c r="M1263" s="435"/>
      <c r="N1263" s="392"/>
      <c r="O1263" s="393"/>
    </row>
    <row r="1264" spans="5:15" ht="14.1" customHeight="1">
      <c r="E1264" s="393"/>
      <c r="F1264" s="393"/>
      <c r="G1264" s="393"/>
      <c r="H1264" s="393"/>
      <c r="I1264" s="393"/>
      <c r="J1264" s="393"/>
      <c r="K1264" s="393"/>
      <c r="L1264" s="393"/>
      <c r="M1264" s="393"/>
      <c r="N1264" s="392"/>
      <c r="O1264" s="392"/>
    </row>
    <row r="1265" spans="5:15" ht="14.1" customHeight="1">
      <c r="E1265" s="390"/>
      <c r="F1265" s="390"/>
      <c r="G1265" s="390"/>
      <c r="H1265" s="390"/>
      <c r="I1265" s="390"/>
      <c r="J1265" s="390"/>
      <c r="K1265" s="391"/>
      <c r="L1265" s="391"/>
      <c r="M1265" s="435"/>
      <c r="N1265" s="392"/>
      <c r="O1265" s="393"/>
    </row>
    <row r="1266" spans="5:15" ht="14.1" customHeight="1">
      <c r="E1266" s="390"/>
      <c r="F1266" s="390"/>
      <c r="G1266" s="390"/>
      <c r="H1266" s="390"/>
      <c r="I1266" s="390"/>
      <c r="J1266" s="390"/>
      <c r="K1266" s="391"/>
      <c r="L1266" s="391"/>
      <c r="M1266" s="435"/>
      <c r="N1266" s="392"/>
      <c r="O1266" s="393"/>
    </row>
    <row r="1267" spans="5:15" ht="14.1" customHeight="1">
      <c r="E1267" s="393"/>
      <c r="F1267" s="393"/>
      <c r="G1267" s="393"/>
      <c r="H1267" s="393"/>
      <c r="I1267" s="393"/>
      <c r="J1267" s="393"/>
      <c r="K1267" s="393"/>
      <c r="L1267" s="393"/>
      <c r="M1267" s="393"/>
      <c r="N1267" s="393"/>
      <c r="O1267" s="393"/>
    </row>
    <row r="1268" spans="5:15" ht="14.1" customHeight="1">
      <c r="E1268" s="393"/>
      <c r="F1268" s="393"/>
      <c r="G1268" s="393"/>
      <c r="H1268" s="393"/>
      <c r="I1268" s="393"/>
      <c r="J1268" s="393"/>
      <c r="K1268" s="393"/>
      <c r="L1268" s="393"/>
      <c r="M1268" s="393"/>
      <c r="N1268" s="392"/>
      <c r="O1268" s="392"/>
    </row>
    <row r="1269" spans="5:15" ht="14.1" customHeight="1">
      <c r="E1269" s="390"/>
      <c r="F1269" s="390"/>
      <c r="G1269" s="390"/>
      <c r="H1269" s="390"/>
      <c r="I1269" s="390"/>
      <c r="J1269" s="390"/>
      <c r="K1269" s="391"/>
      <c r="L1269" s="391"/>
      <c r="M1269" s="435"/>
      <c r="N1269" s="392"/>
      <c r="O1269" s="393"/>
    </row>
    <row r="1270" spans="5:15" ht="14.1" customHeight="1">
      <c r="E1270" s="393"/>
      <c r="F1270" s="393"/>
      <c r="G1270" s="393"/>
      <c r="H1270" s="393"/>
      <c r="I1270" s="393"/>
      <c r="J1270" s="393"/>
      <c r="K1270" s="393"/>
      <c r="L1270" s="393"/>
      <c r="M1270" s="393"/>
      <c r="N1270" s="392"/>
      <c r="O1270" s="392"/>
    </row>
    <row r="1271" spans="5:15" ht="14.1" customHeight="1">
      <c r="E1271" s="390"/>
      <c r="F1271" s="390"/>
      <c r="G1271" s="390"/>
      <c r="H1271" s="390"/>
      <c r="I1271" s="390"/>
      <c r="J1271" s="390"/>
      <c r="K1271" s="391"/>
      <c r="L1271" s="391"/>
      <c r="M1271" s="435"/>
      <c r="N1271" s="392"/>
      <c r="O1271" s="393"/>
    </row>
    <row r="1272" spans="5:15" ht="14.1" customHeight="1">
      <c r="E1272" s="390"/>
      <c r="F1272" s="390"/>
      <c r="G1272" s="390"/>
      <c r="H1272" s="390"/>
      <c r="I1272" s="390"/>
      <c r="J1272" s="390"/>
      <c r="K1272" s="391"/>
      <c r="L1272" s="391"/>
      <c r="M1272" s="435"/>
      <c r="N1272" s="392"/>
      <c r="O1272" s="393"/>
    </row>
    <row r="1273" spans="5:15" ht="14.1" customHeight="1">
      <c r="E1273" s="390"/>
      <c r="F1273" s="390"/>
      <c r="G1273" s="390"/>
      <c r="H1273" s="390"/>
      <c r="I1273" s="390"/>
      <c r="J1273" s="390"/>
      <c r="K1273" s="391"/>
      <c r="L1273" s="391"/>
      <c r="M1273" s="435"/>
      <c r="N1273" s="392"/>
      <c r="O1273" s="393"/>
    </row>
    <row r="1274" spans="5:15" ht="14.1" customHeight="1">
      <c r="E1274" s="390"/>
      <c r="F1274" s="390"/>
      <c r="G1274" s="390"/>
      <c r="H1274" s="390"/>
      <c r="I1274" s="390"/>
      <c r="J1274" s="390"/>
      <c r="K1274" s="391"/>
      <c r="L1274" s="391"/>
      <c r="M1274" s="435"/>
      <c r="N1274" s="392"/>
      <c r="O1274" s="393"/>
    </row>
    <row r="1275" spans="5:15" ht="14.1" customHeight="1">
      <c r="E1275" s="390"/>
      <c r="F1275" s="390"/>
      <c r="G1275" s="390"/>
      <c r="H1275" s="390"/>
      <c r="I1275" s="390"/>
      <c r="J1275" s="390"/>
      <c r="K1275" s="391"/>
      <c r="L1275" s="391"/>
      <c r="M1275" s="435"/>
      <c r="N1275" s="392"/>
      <c r="O1275" s="393"/>
    </row>
    <row r="1276" spans="5:15" ht="14.1" customHeight="1">
      <c r="E1276" s="390"/>
      <c r="F1276" s="390"/>
      <c r="G1276" s="390"/>
      <c r="H1276" s="390"/>
      <c r="I1276" s="390"/>
      <c r="J1276" s="390"/>
      <c r="K1276" s="391"/>
      <c r="L1276" s="391"/>
      <c r="M1276" s="435"/>
      <c r="N1276" s="392"/>
      <c r="O1276" s="393"/>
    </row>
    <row r="1277" spans="5:15" ht="14.1" customHeight="1">
      <c r="E1277" s="390"/>
      <c r="F1277" s="390"/>
      <c r="G1277" s="390"/>
      <c r="H1277" s="390"/>
      <c r="I1277" s="390"/>
      <c r="J1277" s="390"/>
      <c r="K1277" s="391"/>
      <c r="L1277" s="391"/>
      <c r="M1277" s="435"/>
      <c r="N1277" s="392"/>
      <c r="O1277" s="393"/>
    </row>
    <row r="1278" spans="5:15" ht="14.1" customHeight="1">
      <c r="E1278" s="393"/>
      <c r="F1278" s="393"/>
      <c r="G1278" s="393"/>
      <c r="H1278" s="393"/>
      <c r="I1278" s="393"/>
      <c r="J1278" s="393"/>
      <c r="K1278" s="393"/>
      <c r="L1278" s="393"/>
      <c r="M1278" s="393"/>
      <c r="N1278" s="392"/>
      <c r="O1278" s="392"/>
    </row>
    <row r="1279" spans="5:15" ht="14.1" customHeight="1">
      <c r="E1279" s="390"/>
      <c r="F1279" s="390"/>
      <c r="G1279" s="390"/>
      <c r="H1279" s="390"/>
      <c r="I1279" s="390"/>
      <c r="J1279" s="390"/>
      <c r="K1279" s="391"/>
      <c r="L1279" s="391"/>
      <c r="M1279" s="435"/>
      <c r="N1279" s="392"/>
      <c r="O1279" s="393"/>
    </row>
    <row r="1280" spans="5:15" ht="14.1" customHeight="1">
      <c r="E1280" s="390"/>
      <c r="F1280" s="390"/>
      <c r="G1280" s="390"/>
      <c r="H1280" s="390"/>
      <c r="I1280" s="390"/>
      <c r="J1280" s="390"/>
      <c r="K1280" s="391"/>
      <c r="L1280" s="391"/>
      <c r="M1280" s="435"/>
      <c r="N1280" s="392"/>
      <c r="O1280" s="393"/>
    </row>
    <row r="1281" spans="5:15" ht="14.1" customHeight="1">
      <c r="E1281" s="390"/>
      <c r="F1281" s="390"/>
      <c r="G1281" s="390"/>
      <c r="H1281" s="390"/>
      <c r="I1281" s="390"/>
      <c r="J1281" s="390"/>
      <c r="K1281" s="391"/>
      <c r="L1281" s="391"/>
      <c r="M1281" s="435"/>
      <c r="N1281" s="392"/>
      <c r="O1281" s="393"/>
    </row>
    <row r="1282" spans="5:15" ht="14.1" customHeight="1">
      <c r="E1282" s="393"/>
      <c r="F1282" s="393"/>
      <c r="G1282" s="393"/>
      <c r="H1282" s="393"/>
      <c r="I1282" s="393"/>
      <c r="J1282" s="393"/>
      <c r="K1282" s="393"/>
      <c r="L1282" s="393"/>
      <c r="M1282" s="393"/>
      <c r="N1282" s="392"/>
      <c r="O1282" s="392"/>
    </row>
    <row r="1283" spans="5:15" ht="14.1" customHeight="1">
      <c r="E1283" s="393"/>
      <c r="F1283" s="393"/>
      <c r="G1283" s="393"/>
      <c r="H1283" s="393"/>
      <c r="I1283" s="393"/>
      <c r="J1283" s="393"/>
      <c r="K1283" s="393"/>
      <c r="L1283" s="393"/>
      <c r="M1283" s="393"/>
      <c r="N1283" s="392"/>
      <c r="O1283" s="392"/>
    </row>
    <row r="1284" spans="5:15" ht="14.1" customHeight="1">
      <c r="E1284" s="390"/>
      <c r="F1284" s="390"/>
      <c r="G1284" s="390"/>
      <c r="H1284" s="390"/>
      <c r="I1284" s="390"/>
      <c r="J1284" s="390"/>
      <c r="K1284" s="391"/>
      <c r="L1284" s="391"/>
      <c r="M1284" s="435"/>
      <c r="N1284" s="392"/>
      <c r="O1284" s="393"/>
    </row>
    <row r="1285" spans="5:15" ht="14.1" customHeight="1">
      <c r="E1285" s="390"/>
      <c r="F1285" s="390"/>
      <c r="G1285" s="390"/>
      <c r="H1285" s="390"/>
      <c r="I1285" s="390"/>
      <c r="J1285" s="390"/>
      <c r="K1285" s="391"/>
      <c r="L1285" s="391"/>
      <c r="M1285" s="435"/>
      <c r="N1285" s="392"/>
      <c r="O1285" s="393"/>
    </row>
    <row r="1286" spans="5:15" ht="14.1" customHeight="1">
      <c r="E1286" s="393"/>
      <c r="F1286" s="393"/>
      <c r="G1286" s="393"/>
      <c r="H1286" s="393"/>
      <c r="I1286" s="393"/>
      <c r="J1286" s="393"/>
      <c r="K1286" s="393"/>
      <c r="L1286" s="393"/>
      <c r="M1286" s="393"/>
      <c r="N1286" s="392"/>
      <c r="O1286" s="392"/>
    </row>
    <row r="1287" spans="5:15" ht="14.1" customHeight="1">
      <c r="E1287" s="393"/>
      <c r="F1287" s="393"/>
      <c r="G1287" s="393"/>
      <c r="H1287" s="393"/>
      <c r="I1287" s="393"/>
      <c r="J1287" s="393"/>
      <c r="K1287" s="393"/>
      <c r="L1287" s="393"/>
      <c r="M1287" s="393"/>
      <c r="N1287" s="392"/>
      <c r="O1287" s="392"/>
    </row>
    <row r="1288" spans="5:15" ht="14.1" customHeight="1">
      <c r="E1288" s="390"/>
      <c r="F1288" s="390"/>
      <c r="G1288" s="390"/>
      <c r="H1288" s="390"/>
      <c r="I1288" s="390"/>
      <c r="J1288" s="390"/>
      <c r="K1288" s="391"/>
      <c r="L1288" s="391"/>
      <c r="M1288" s="435"/>
      <c r="N1288" s="392"/>
      <c r="O1288" s="393"/>
    </row>
    <row r="1289" spans="5:15" ht="14.1" customHeight="1">
      <c r="E1289" s="390"/>
      <c r="F1289" s="390"/>
      <c r="G1289" s="390"/>
      <c r="H1289" s="390"/>
      <c r="I1289" s="390"/>
      <c r="J1289" s="390"/>
      <c r="K1289" s="391"/>
      <c r="L1289" s="391"/>
      <c r="M1289" s="435"/>
      <c r="N1289" s="392"/>
      <c r="O1289" s="393"/>
    </row>
    <row r="1290" spans="5:15" ht="14.1" customHeight="1">
      <c r="E1290" s="393"/>
      <c r="F1290" s="393"/>
      <c r="G1290" s="393"/>
      <c r="H1290" s="393"/>
      <c r="I1290" s="393"/>
      <c r="J1290" s="393"/>
      <c r="K1290" s="393"/>
      <c r="L1290" s="393"/>
      <c r="M1290" s="393"/>
      <c r="N1290" s="392"/>
      <c r="O1290" s="392"/>
    </row>
    <row r="1291" spans="5:15" ht="14.1" customHeight="1">
      <c r="E1291" s="390"/>
      <c r="F1291" s="390"/>
      <c r="G1291" s="390"/>
      <c r="H1291" s="390"/>
      <c r="I1291" s="390"/>
      <c r="J1291" s="390"/>
      <c r="K1291" s="391"/>
      <c r="L1291" s="391"/>
      <c r="M1291" s="435"/>
      <c r="N1291" s="392"/>
      <c r="O1291" s="393"/>
    </row>
    <row r="1292" spans="5:15" ht="14.1" customHeight="1">
      <c r="E1292" s="390"/>
      <c r="F1292" s="390"/>
      <c r="G1292" s="390"/>
      <c r="H1292" s="390"/>
      <c r="I1292" s="390"/>
      <c r="J1292" s="390"/>
      <c r="K1292" s="391"/>
      <c r="L1292" s="391"/>
      <c r="M1292" s="435"/>
      <c r="N1292" s="392"/>
      <c r="O1292" s="393"/>
    </row>
    <row r="1293" spans="5:15" ht="14.1" customHeight="1">
      <c r="E1293" s="393"/>
      <c r="F1293" s="393"/>
      <c r="G1293" s="393"/>
      <c r="H1293" s="393"/>
      <c r="I1293" s="393"/>
      <c r="J1293" s="393"/>
      <c r="K1293" s="393"/>
      <c r="L1293" s="393"/>
      <c r="M1293" s="393"/>
      <c r="N1293" s="392"/>
      <c r="O1293" s="392"/>
    </row>
    <row r="1294" spans="5:15" ht="14.1" customHeight="1">
      <c r="E1294" s="390"/>
      <c r="F1294" s="390"/>
      <c r="G1294" s="390"/>
      <c r="H1294" s="390"/>
      <c r="I1294" s="390"/>
      <c r="J1294" s="390"/>
      <c r="K1294" s="391"/>
      <c r="L1294" s="391"/>
      <c r="M1294" s="435"/>
      <c r="N1294" s="392"/>
      <c r="O1294" s="393"/>
    </row>
    <row r="1295" spans="5:15" ht="14.1" customHeight="1">
      <c r="E1295" s="393"/>
      <c r="F1295" s="393"/>
      <c r="G1295" s="393"/>
      <c r="H1295" s="393"/>
      <c r="I1295" s="393"/>
      <c r="J1295" s="393"/>
      <c r="K1295" s="393"/>
      <c r="L1295" s="393"/>
      <c r="M1295" s="393"/>
      <c r="N1295" s="392"/>
      <c r="O1295" s="392"/>
    </row>
    <row r="1296" spans="5:15" ht="14.1" customHeight="1">
      <c r="E1296" s="390"/>
      <c r="F1296" s="390"/>
      <c r="G1296" s="390"/>
      <c r="H1296" s="390"/>
      <c r="I1296" s="390"/>
      <c r="J1296" s="390"/>
      <c r="K1296" s="391"/>
      <c r="L1296" s="391"/>
      <c r="M1296" s="435"/>
      <c r="N1296" s="392"/>
      <c r="O1296" s="393"/>
    </row>
    <row r="1297" spans="5:15" ht="14.1" customHeight="1">
      <c r="E1297" s="393"/>
      <c r="F1297" s="393"/>
      <c r="G1297" s="393"/>
      <c r="H1297" s="393"/>
      <c r="I1297" s="393"/>
      <c r="J1297" s="393"/>
      <c r="K1297" s="393"/>
      <c r="L1297" s="393"/>
      <c r="M1297" s="393"/>
      <c r="N1297" s="392"/>
      <c r="O1297" s="392"/>
    </row>
    <row r="1298" spans="5:15" ht="14.1" customHeight="1">
      <c r="E1298" s="390"/>
      <c r="F1298" s="390"/>
      <c r="G1298" s="390"/>
      <c r="H1298" s="390"/>
      <c r="I1298" s="390"/>
      <c r="J1298" s="390"/>
      <c r="K1298" s="391"/>
      <c r="L1298" s="391"/>
      <c r="M1298" s="435"/>
      <c r="N1298" s="392"/>
      <c r="O1298" s="393"/>
    </row>
    <row r="1299" spans="5:15" ht="14.1" customHeight="1">
      <c r="E1299" s="390"/>
      <c r="F1299" s="390"/>
      <c r="G1299" s="390"/>
      <c r="H1299" s="390"/>
      <c r="I1299" s="390"/>
      <c r="J1299" s="390"/>
      <c r="K1299" s="391"/>
      <c r="L1299" s="391"/>
      <c r="M1299" s="435"/>
      <c r="N1299" s="392"/>
      <c r="O1299" s="393"/>
    </row>
    <row r="1300" spans="5:15" ht="14.1" customHeight="1">
      <c r="E1300" s="393"/>
      <c r="F1300" s="393"/>
      <c r="G1300" s="393"/>
      <c r="H1300" s="393"/>
      <c r="I1300" s="393"/>
      <c r="J1300" s="393"/>
      <c r="K1300" s="393"/>
      <c r="L1300" s="393"/>
      <c r="M1300" s="393"/>
      <c r="N1300" s="392"/>
      <c r="O1300" s="392"/>
    </row>
    <row r="1301" spans="5:15" ht="14.1" customHeight="1">
      <c r="E1301" s="390"/>
      <c r="F1301" s="390"/>
      <c r="G1301" s="390"/>
      <c r="H1301" s="390"/>
      <c r="I1301" s="390"/>
      <c r="J1301" s="390"/>
      <c r="K1301" s="391"/>
      <c r="L1301" s="391"/>
      <c r="M1301" s="435"/>
      <c r="N1301" s="392"/>
      <c r="O1301" s="393"/>
    </row>
    <row r="1302" spans="5:15" ht="14.1" customHeight="1">
      <c r="E1302" s="390"/>
      <c r="F1302" s="390"/>
      <c r="G1302" s="390"/>
      <c r="H1302" s="390"/>
      <c r="I1302" s="390"/>
      <c r="J1302" s="390"/>
      <c r="K1302" s="391"/>
      <c r="L1302" s="391"/>
      <c r="M1302" s="435"/>
      <c r="N1302" s="392"/>
      <c r="O1302" s="393"/>
    </row>
    <row r="1303" spans="5:15" ht="14.1" customHeight="1">
      <c r="E1303" s="393"/>
      <c r="F1303" s="393"/>
      <c r="G1303" s="393"/>
      <c r="H1303" s="393"/>
      <c r="I1303" s="393"/>
      <c r="J1303" s="393"/>
      <c r="K1303" s="393"/>
      <c r="L1303" s="393"/>
      <c r="M1303" s="393"/>
      <c r="N1303" s="392"/>
      <c r="O1303" s="392"/>
    </row>
    <row r="1304" spans="5:15" ht="14.1" customHeight="1">
      <c r="E1304" s="390"/>
      <c r="F1304" s="390"/>
      <c r="G1304" s="390"/>
      <c r="H1304" s="390"/>
      <c r="I1304" s="390"/>
      <c r="J1304" s="390"/>
      <c r="K1304" s="391"/>
      <c r="L1304" s="391"/>
      <c r="M1304" s="435"/>
      <c r="N1304" s="392"/>
      <c r="O1304" s="393"/>
    </row>
    <row r="1305" spans="5:15" ht="14.1" customHeight="1">
      <c r="E1305" s="390"/>
      <c r="F1305" s="390"/>
      <c r="G1305" s="390"/>
      <c r="H1305" s="390"/>
      <c r="I1305" s="390"/>
      <c r="J1305" s="390"/>
      <c r="K1305" s="391"/>
      <c r="L1305" s="391"/>
      <c r="M1305" s="435"/>
      <c r="N1305" s="392"/>
      <c r="O1305" s="393"/>
    </row>
    <row r="1306" spans="5:15" ht="14.1" customHeight="1">
      <c r="E1306" s="390"/>
      <c r="F1306" s="390"/>
      <c r="G1306" s="390"/>
      <c r="H1306" s="390"/>
      <c r="I1306" s="390"/>
      <c r="J1306" s="390"/>
      <c r="K1306" s="391"/>
      <c r="L1306" s="391"/>
      <c r="M1306" s="435"/>
      <c r="N1306" s="392"/>
      <c r="O1306" s="393"/>
    </row>
    <row r="1307" spans="5:15" ht="14.1" customHeight="1">
      <c r="E1307" s="390"/>
      <c r="F1307" s="390"/>
      <c r="G1307" s="390"/>
      <c r="H1307" s="390"/>
      <c r="I1307" s="390"/>
      <c r="J1307" s="390"/>
      <c r="K1307" s="391"/>
      <c r="L1307" s="391"/>
      <c r="M1307" s="435"/>
      <c r="N1307" s="392"/>
      <c r="O1307" s="393"/>
    </row>
    <row r="1308" spans="5:15" ht="14.1" customHeight="1">
      <c r="E1308" s="390"/>
      <c r="F1308" s="390"/>
      <c r="G1308" s="390"/>
      <c r="H1308" s="390"/>
      <c r="I1308" s="390"/>
      <c r="J1308" s="390"/>
      <c r="K1308" s="391"/>
      <c r="L1308" s="391"/>
      <c r="M1308" s="435"/>
      <c r="N1308" s="392"/>
      <c r="O1308" s="393"/>
    </row>
    <row r="1309" spans="5:15" ht="14.1" customHeight="1">
      <c r="E1309" s="390"/>
      <c r="F1309" s="390"/>
      <c r="G1309" s="390"/>
      <c r="H1309" s="390"/>
      <c r="I1309" s="390"/>
      <c r="J1309" s="390"/>
      <c r="K1309" s="391"/>
      <c r="L1309" s="391"/>
      <c r="M1309" s="435"/>
      <c r="N1309" s="392"/>
      <c r="O1309" s="393"/>
    </row>
    <row r="1310" spans="5:15" ht="14.1" customHeight="1">
      <c r="E1310" s="393"/>
      <c r="F1310" s="393"/>
      <c r="G1310" s="393"/>
      <c r="H1310" s="393"/>
      <c r="I1310" s="393"/>
      <c r="J1310" s="393"/>
      <c r="K1310" s="393"/>
      <c r="L1310" s="393"/>
      <c r="M1310" s="393"/>
      <c r="N1310" s="392"/>
      <c r="O1310" s="392"/>
    </row>
    <row r="1311" spans="5:15" ht="14.1" customHeight="1">
      <c r="E1311" s="393"/>
      <c r="F1311" s="393"/>
      <c r="G1311" s="393"/>
      <c r="H1311" s="393"/>
      <c r="I1311" s="393"/>
      <c r="J1311" s="393"/>
      <c r="K1311" s="393"/>
      <c r="L1311" s="393"/>
      <c r="M1311" s="393"/>
      <c r="N1311" s="392"/>
      <c r="O1311" s="392"/>
    </row>
    <row r="1312" spans="5:15" ht="14.1" customHeight="1">
      <c r="E1312" s="390"/>
      <c r="F1312" s="390"/>
      <c r="G1312" s="390"/>
      <c r="H1312" s="390"/>
      <c r="I1312" s="390"/>
      <c r="J1312" s="390"/>
      <c r="K1312" s="391"/>
      <c r="L1312" s="391"/>
      <c r="M1312" s="435"/>
      <c r="N1312" s="392"/>
      <c r="O1312" s="393"/>
    </row>
    <row r="1313" spans="5:15" ht="14.1" customHeight="1">
      <c r="E1313" s="393"/>
      <c r="F1313" s="393"/>
      <c r="G1313" s="393"/>
      <c r="H1313" s="393"/>
      <c r="I1313" s="393"/>
      <c r="J1313" s="393"/>
      <c r="K1313" s="393"/>
      <c r="L1313" s="393"/>
      <c r="M1313" s="393"/>
      <c r="N1313" s="392"/>
      <c r="O1313" s="392"/>
    </row>
    <row r="1314" spans="5:15" ht="14.1" customHeight="1">
      <c r="E1314" s="393"/>
      <c r="F1314" s="393"/>
      <c r="G1314" s="393"/>
      <c r="H1314" s="393"/>
      <c r="I1314" s="393"/>
      <c r="J1314" s="393"/>
      <c r="K1314" s="393"/>
      <c r="L1314" s="393"/>
      <c r="M1314" s="393"/>
      <c r="N1314" s="393"/>
      <c r="O1314" s="393"/>
    </row>
    <row r="1315" spans="5:15" ht="14.1" customHeight="1">
      <c r="E1315" s="390"/>
      <c r="F1315" s="390"/>
      <c r="G1315" s="390"/>
      <c r="H1315" s="390"/>
      <c r="I1315" s="390"/>
      <c r="J1315" s="390"/>
      <c r="K1315" s="391"/>
      <c r="L1315" s="391"/>
      <c r="M1315" s="435"/>
      <c r="N1315" s="392"/>
      <c r="O1315" s="393"/>
    </row>
    <row r="1316" spans="5:15" ht="14.1" customHeight="1">
      <c r="E1316" s="393"/>
      <c r="F1316" s="393"/>
      <c r="G1316" s="393"/>
      <c r="H1316" s="393"/>
      <c r="I1316" s="393"/>
      <c r="J1316" s="393"/>
      <c r="K1316" s="393"/>
      <c r="L1316" s="393"/>
      <c r="M1316" s="393"/>
      <c r="N1316" s="392"/>
      <c r="O1316" s="392"/>
    </row>
    <row r="1317" spans="5:15" ht="14.1" customHeight="1">
      <c r="E1317" s="390"/>
      <c r="F1317" s="390"/>
      <c r="G1317" s="390"/>
      <c r="H1317" s="390"/>
      <c r="I1317" s="390"/>
      <c r="J1317" s="390"/>
      <c r="K1317" s="391"/>
      <c r="L1317" s="391"/>
      <c r="M1317" s="435"/>
      <c r="N1317" s="392"/>
      <c r="O1317" s="393"/>
    </row>
    <row r="1318" spans="5:15" ht="14.1" customHeight="1">
      <c r="E1318" s="390"/>
      <c r="F1318" s="390"/>
      <c r="G1318" s="390"/>
      <c r="H1318" s="390"/>
      <c r="I1318" s="390"/>
      <c r="J1318" s="390"/>
      <c r="K1318" s="391"/>
      <c r="L1318" s="391"/>
      <c r="M1318" s="435"/>
      <c r="N1318" s="392"/>
      <c r="O1318" s="393"/>
    </row>
    <row r="1319" spans="5:15" ht="14.1" customHeight="1">
      <c r="E1319" s="390"/>
      <c r="F1319" s="390"/>
      <c r="G1319" s="390"/>
      <c r="H1319" s="390"/>
      <c r="I1319" s="390"/>
      <c r="J1319" s="390"/>
      <c r="K1319" s="391"/>
      <c r="L1319" s="391"/>
      <c r="M1319" s="435"/>
      <c r="N1319" s="392"/>
      <c r="O1319" s="393"/>
    </row>
    <row r="1320" spans="5:15" ht="14.1" customHeight="1">
      <c r="E1320" s="390"/>
      <c r="F1320" s="390"/>
      <c r="G1320" s="390"/>
      <c r="H1320" s="390"/>
      <c r="I1320" s="390"/>
      <c r="J1320" s="390"/>
      <c r="K1320" s="391"/>
      <c r="L1320" s="391"/>
      <c r="M1320" s="435"/>
      <c r="N1320" s="392"/>
      <c r="O1320" s="393"/>
    </row>
    <row r="1321" spans="5:15" ht="14.1" customHeight="1">
      <c r="E1321" s="390"/>
      <c r="F1321" s="390"/>
      <c r="G1321" s="390"/>
      <c r="H1321" s="390"/>
      <c r="I1321" s="390"/>
      <c r="J1321" s="390"/>
      <c r="K1321" s="391"/>
      <c r="L1321" s="391"/>
      <c r="M1321" s="435"/>
      <c r="N1321" s="392"/>
      <c r="O1321" s="393"/>
    </row>
    <row r="1322" spans="5:15" ht="14.1" customHeight="1">
      <c r="E1322" s="390"/>
      <c r="F1322" s="390"/>
      <c r="G1322" s="390"/>
      <c r="H1322" s="390"/>
      <c r="I1322" s="390"/>
      <c r="J1322" s="390"/>
      <c r="K1322" s="391"/>
      <c r="L1322" s="391"/>
      <c r="M1322" s="435"/>
      <c r="N1322" s="392"/>
      <c r="O1322" s="393"/>
    </row>
    <row r="1323" spans="5:15" ht="14.1" customHeight="1">
      <c r="E1323" s="390"/>
      <c r="F1323" s="390"/>
      <c r="G1323" s="390"/>
      <c r="H1323" s="390"/>
      <c r="I1323" s="390"/>
      <c r="J1323" s="390"/>
      <c r="K1323" s="391"/>
      <c r="L1323" s="391"/>
      <c r="M1323" s="435"/>
      <c r="N1323" s="392"/>
      <c r="O1323" s="393"/>
    </row>
    <row r="1324" spans="5:15" ht="14.1" customHeight="1">
      <c r="E1324" s="390"/>
      <c r="F1324" s="390"/>
      <c r="G1324" s="390"/>
      <c r="H1324" s="390"/>
      <c r="I1324" s="390"/>
      <c r="J1324" s="390"/>
      <c r="K1324" s="391"/>
      <c r="L1324" s="391"/>
      <c r="M1324" s="435"/>
      <c r="N1324" s="392"/>
      <c r="O1324" s="393"/>
    </row>
    <row r="1325" spans="5:15" ht="14.1" customHeight="1">
      <c r="E1325" s="390"/>
      <c r="F1325" s="390"/>
      <c r="G1325" s="390"/>
      <c r="H1325" s="390"/>
      <c r="I1325" s="390"/>
      <c r="J1325" s="390"/>
      <c r="K1325" s="391"/>
      <c r="L1325" s="391"/>
      <c r="M1325" s="435"/>
      <c r="N1325" s="392"/>
      <c r="O1325" s="393"/>
    </row>
    <row r="1326" spans="5:15" ht="14.1" customHeight="1">
      <c r="E1326" s="390"/>
      <c r="F1326" s="390"/>
      <c r="G1326" s="390"/>
      <c r="H1326" s="390"/>
      <c r="I1326" s="390"/>
      <c r="J1326" s="390"/>
      <c r="K1326" s="391"/>
      <c r="L1326" s="391"/>
      <c r="M1326" s="435"/>
      <c r="N1326" s="392"/>
      <c r="O1326" s="393"/>
    </row>
    <row r="1327" spans="5:15" ht="14.1" customHeight="1">
      <c r="E1327" s="390"/>
      <c r="F1327" s="390"/>
      <c r="G1327" s="390"/>
      <c r="H1327" s="390"/>
      <c r="I1327" s="390"/>
      <c r="J1327" s="390"/>
      <c r="K1327" s="391"/>
      <c r="L1327" s="391"/>
      <c r="M1327" s="435"/>
      <c r="N1327" s="392"/>
      <c r="O1327" s="393"/>
    </row>
    <row r="1328" spans="5:15" ht="14.1" customHeight="1">
      <c r="E1328" s="390"/>
      <c r="F1328" s="390"/>
      <c r="G1328" s="390"/>
      <c r="H1328" s="390"/>
      <c r="I1328" s="390"/>
      <c r="J1328" s="390"/>
      <c r="K1328" s="391"/>
      <c r="L1328" s="391"/>
      <c r="M1328" s="435"/>
      <c r="N1328" s="392"/>
      <c r="O1328" s="393"/>
    </row>
    <row r="1329" spans="5:15" ht="14.1" customHeight="1">
      <c r="E1329" s="390"/>
      <c r="F1329" s="390"/>
      <c r="G1329" s="390"/>
      <c r="H1329" s="390"/>
      <c r="I1329" s="390"/>
      <c r="J1329" s="390"/>
      <c r="K1329" s="391"/>
      <c r="L1329" s="391"/>
      <c r="M1329" s="435"/>
      <c r="N1329" s="392"/>
      <c r="O1329" s="393"/>
    </row>
    <row r="1330" spans="5:15" ht="14.1" customHeight="1">
      <c r="E1330" s="390"/>
      <c r="F1330" s="390"/>
      <c r="G1330" s="390"/>
      <c r="H1330" s="390"/>
      <c r="I1330" s="390"/>
      <c r="J1330" s="390"/>
      <c r="K1330" s="391"/>
      <c r="L1330" s="391"/>
      <c r="M1330" s="435"/>
      <c r="N1330" s="392"/>
      <c r="O1330" s="393"/>
    </row>
    <row r="1331" spans="5:15" ht="14.1" customHeight="1">
      <c r="E1331" s="390"/>
      <c r="F1331" s="390"/>
      <c r="G1331" s="390"/>
      <c r="H1331" s="390"/>
      <c r="I1331" s="390"/>
      <c r="J1331" s="390"/>
      <c r="K1331" s="391"/>
      <c r="L1331" s="391"/>
      <c r="M1331" s="435"/>
      <c r="N1331" s="392"/>
      <c r="O1331" s="393"/>
    </row>
    <row r="1332" spans="5:15" ht="14.1" customHeight="1">
      <c r="E1332" s="390"/>
      <c r="F1332" s="390"/>
      <c r="G1332" s="390"/>
      <c r="H1332" s="390"/>
      <c r="I1332" s="390"/>
      <c r="J1332" s="390"/>
      <c r="K1332" s="391"/>
      <c r="L1332" s="391"/>
      <c r="M1332" s="435"/>
      <c r="N1332" s="392"/>
      <c r="O1332" s="393"/>
    </row>
    <row r="1333" spans="5:15" ht="14.1" customHeight="1">
      <c r="E1333" s="390"/>
      <c r="F1333" s="390"/>
      <c r="G1333" s="390"/>
      <c r="H1333" s="390"/>
      <c r="I1333" s="390"/>
      <c r="J1333" s="390"/>
      <c r="K1333" s="391"/>
      <c r="L1333" s="391"/>
      <c r="M1333" s="435"/>
      <c r="N1333" s="392"/>
      <c r="O1333" s="393"/>
    </row>
    <row r="1334" spans="5:15" ht="14.1" customHeight="1">
      <c r="E1334" s="390"/>
      <c r="F1334" s="390"/>
      <c r="G1334" s="390"/>
      <c r="H1334" s="390"/>
      <c r="I1334" s="390"/>
      <c r="J1334" s="390"/>
      <c r="K1334" s="391"/>
      <c r="L1334" s="391"/>
      <c r="M1334" s="435"/>
      <c r="N1334" s="392"/>
      <c r="O1334" s="393"/>
    </row>
    <row r="1335" spans="5:15" ht="14.1" customHeight="1">
      <c r="E1335" s="390"/>
      <c r="F1335" s="390"/>
      <c r="G1335" s="390"/>
      <c r="H1335" s="390"/>
      <c r="I1335" s="390"/>
      <c r="J1335" s="390"/>
      <c r="K1335" s="391"/>
      <c r="L1335" s="391"/>
      <c r="M1335" s="435"/>
      <c r="N1335" s="392"/>
      <c r="O1335" s="393"/>
    </row>
    <row r="1336" spans="5:15" ht="14.1" customHeight="1">
      <c r="E1336" s="390"/>
      <c r="F1336" s="390"/>
      <c r="G1336" s="390"/>
      <c r="H1336" s="390"/>
      <c r="I1336" s="390"/>
      <c r="J1336" s="390"/>
      <c r="K1336" s="391"/>
      <c r="L1336" s="391"/>
      <c r="M1336" s="435"/>
      <c r="N1336" s="392"/>
      <c r="O1336" s="393"/>
    </row>
    <row r="1337" spans="5:15" ht="14.1" customHeight="1">
      <c r="E1337" s="390"/>
      <c r="F1337" s="390"/>
      <c r="G1337" s="390"/>
      <c r="H1337" s="390"/>
      <c r="I1337" s="390"/>
      <c r="J1337" s="390"/>
      <c r="K1337" s="391"/>
      <c r="L1337" s="391"/>
      <c r="M1337" s="435"/>
      <c r="N1337" s="392"/>
      <c r="O1337" s="393"/>
    </row>
    <row r="1338" spans="5:15" ht="14.1" customHeight="1">
      <c r="E1338" s="390"/>
      <c r="F1338" s="390"/>
      <c r="G1338" s="390"/>
      <c r="H1338" s="390"/>
      <c r="I1338" s="390"/>
      <c r="J1338" s="390"/>
      <c r="K1338" s="391"/>
      <c r="L1338" s="391"/>
      <c r="M1338" s="435"/>
      <c r="N1338" s="392"/>
      <c r="O1338" s="393"/>
    </row>
    <row r="1339" spans="5:15" ht="14.1" customHeight="1">
      <c r="E1339" s="390"/>
      <c r="F1339" s="390"/>
      <c r="G1339" s="390"/>
      <c r="H1339" s="390"/>
      <c r="I1339" s="390"/>
      <c r="J1339" s="390"/>
      <c r="K1339" s="391"/>
      <c r="L1339" s="391"/>
      <c r="M1339" s="435"/>
      <c r="N1339" s="392"/>
      <c r="O1339" s="393"/>
    </row>
    <row r="1340" spans="5:15" ht="14.1" customHeight="1">
      <c r="E1340" s="390"/>
      <c r="F1340" s="390"/>
      <c r="G1340" s="390"/>
      <c r="H1340" s="390"/>
      <c r="I1340" s="390"/>
      <c r="J1340" s="390"/>
      <c r="K1340" s="391"/>
      <c r="L1340" s="391"/>
      <c r="M1340" s="435"/>
      <c r="N1340" s="392"/>
      <c r="O1340" s="393"/>
    </row>
    <row r="1341" spans="5:15" ht="14.1" customHeight="1">
      <c r="E1341" s="390"/>
      <c r="F1341" s="390"/>
      <c r="G1341" s="390"/>
      <c r="H1341" s="390"/>
      <c r="I1341" s="390"/>
      <c r="J1341" s="390"/>
      <c r="K1341" s="391"/>
      <c r="L1341" s="391"/>
      <c r="M1341" s="435"/>
      <c r="N1341" s="392"/>
      <c r="O1341" s="393"/>
    </row>
    <row r="1342" spans="5:15" ht="14.1" customHeight="1">
      <c r="E1342" s="390"/>
      <c r="F1342" s="390"/>
      <c r="G1342" s="390"/>
      <c r="H1342" s="390"/>
      <c r="I1342" s="390"/>
      <c r="J1342" s="390"/>
      <c r="K1342" s="391"/>
      <c r="L1342" s="391"/>
      <c r="M1342" s="435"/>
      <c r="N1342" s="392"/>
      <c r="O1342" s="393"/>
    </row>
    <row r="1343" spans="5:15" ht="14.1" customHeight="1">
      <c r="E1343" s="390"/>
      <c r="F1343" s="390"/>
      <c r="G1343" s="390"/>
      <c r="H1343" s="390"/>
      <c r="I1343" s="390"/>
      <c r="J1343" s="390"/>
      <c r="K1343" s="391"/>
      <c r="L1343" s="391"/>
      <c r="M1343" s="435"/>
      <c r="N1343" s="392"/>
      <c r="O1343" s="393"/>
    </row>
    <row r="1344" spans="5:15" ht="14.1" customHeight="1">
      <c r="E1344" s="390"/>
      <c r="F1344" s="390"/>
      <c r="G1344" s="390"/>
      <c r="H1344" s="390"/>
      <c r="I1344" s="390"/>
      <c r="J1344" s="390"/>
      <c r="K1344" s="391"/>
      <c r="L1344" s="391"/>
      <c r="M1344" s="435"/>
      <c r="N1344" s="392"/>
      <c r="O1344" s="393"/>
    </row>
    <row r="1345" spans="5:15" ht="14.1" customHeight="1">
      <c r="E1345" s="390"/>
      <c r="F1345" s="390"/>
      <c r="G1345" s="390"/>
      <c r="H1345" s="390"/>
      <c r="I1345" s="390"/>
      <c r="J1345" s="390"/>
      <c r="K1345" s="391"/>
      <c r="L1345" s="391"/>
      <c r="M1345" s="435"/>
      <c r="N1345" s="392"/>
      <c r="O1345" s="393"/>
    </row>
    <row r="1346" spans="5:15" ht="14.1" customHeight="1">
      <c r="E1346" s="393"/>
      <c r="F1346" s="393"/>
      <c r="G1346" s="393"/>
      <c r="H1346" s="393"/>
      <c r="I1346" s="393"/>
      <c r="J1346" s="393"/>
      <c r="K1346" s="393"/>
      <c r="L1346" s="393"/>
      <c r="M1346" s="393"/>
      <c r="N1346" s="392"/>
      <c r="O1346" s="392"/>
    </row>
    <row r="1347" spans="5:15" ht="14.1" customHeight="1">
      <c r="E1347" s="390"/>
      <c r="F1347" s="390"/>
      <c r="G1347" s="390"/>
      <c r="H1347" s="390"/>
      <c r="I1347" s="390"/>
      <c r="J1347" s="390"/>
      <c r="K1347" s="391"/>
      <c r="L1347" s="391"/>
      <c r="M1347" s="435"/>
      <c r="N1347" s="392"/>
      <c r="O1347" s="393"/>
    </row>
    <row r="1348" spans="5:15" ht="14.1" customHeight="1">
      <c r="E1348" s="393"/>
      <c r="F1348" s="393"/>
      <c r="G1348" s="393"/>
      <c r="H1348" s="393"/>
      <c r="I1348" s="393"/>
      <c r="J1348" s="393"/>
      <c r="K1348" s="393"/>
      <c r="L1348" s="393"/>
      <c r="M1348" s="393"/>
      <c r="N1348" s="392"/>
      <c r="O1348" s="392"/>
    </row>
    <row r="1349" spans="5:15" ht="14.1" customHeight="1">
      <c r="E1349" s="390"/>
      <c r="F1349" s="390"/>
      <c r="G1349" s="390"/>
      <c r="H1349" s="390"/>
      <c r="I1349" s="390"/>
      <c r="J1349" s="390"/>
      <c r="K1349" s="391"/>
      <c r="L1349" s="391"/>
      <c r="M1349" s="435"/>
      <c r="N1349" s="392"/>
      <c r="O1349" s="393"/>
    </row>
    <row r="1350" spans="5:15" ht="14.1" customHeight="1">
      <c r="E1350" s="393"/>
      <c r="F1350" s="393"/>
      <c r="G1350" s="393"/>
      <c r="H1350" s="393"/>
      <c r="I1350" s="393"/>
      <c r="J1350" s="393"/>
      <c r="K1350" s="393"/>
      <c r="L1350" s="393"/>
      <c r="M1350" s="393"/>
      <c r="N1350" s="392"/>
      <c r="O1350" s="392"/>
    </row>
    <row r="1351" spans="5:15" ht="14.1" customHeight="1">
      <c r="E1351" s="390"/>
      <c r="F1351" s="390"/>
      <c r="G1351" s="390"/>
      <c r="H1351" s="390"/>
      <c r="I1351" s="390"/>
      <c r="J1351" s="390"/>
      <c r="K1351" s="391"/>
      <c r="L1351" s="391"/>
      <c r="M1351" s="435"/>
      <c r="N1351" s="392"/>
      <c r="O1351" s="393"/>
    </row>
    <row r="1352" spans="5:15" ht="14.1" customHeight="1">
      <c r="E1352" s="393"/>
      <c r="F1352" s="393"/>
      <c r="G1352" s="393"/>
      <c r="H1352" s="393"/>
      <c r="I1352" s="393"/>
      <c r="J1352" s="393"/>
      <c r="K1352" s="393"/>
      <c r="L1352" s="393"/>
      <c r="M1352" s="393"/>
      <c r="N1352" s="392"/>
      <c r="O1352" s="392"/>
    </row>
    <row r="1353" spans="5:15" ht="14.1" customHeight="1">
      <c r="E1353" s="393"/>
      <c r="F1353" s="393"/>
      <c r="G1353" s="393"/>
      <c r="H1353" s="393"/>
      <c r="I1353" s="393"/>
      <c r="J1353" s="393"/>
      <c r="K1353" s="393"/>
      <c r="L1353" s="393"/>
      <c r="M1353" s="393"/>
      <c r="N1353" s="392"/>
      <c r="O1353" s="392"/>
    </row>
    <row r="1354" spans="5:15" ht="14.1" customHeight="1">
      <c r="E1354" s="390"/>
      <c r="F1354" s="390"/>
      <c r="G1354" s="390"/>
      <c r="H1354" s="390"/>
      <c r="I1354" s="390"/>
      <c r="J1354" s="390"/>
      <c r="K1354" s="391"/>
      <c r="L1354" s="391"/>
      <c r="M1354" s="435"/>
      <c r="N1354" s="392"/>
      <c r="O1354" s="393"/>
    </row>
    <row r="1355" spans="5:15" ht="14.1" customHeight="1">
      <c r="E1355" s="390"/>
      <c r="F1355" s="390"/>
      <c r="G1355" s="390"/>
      <c r="H1355" s="390"/>
      <c r="I1355" s="390"/>
      <c r="J1355" s="390"/>
      <c r="K1355" s="391"/>
      <c r="L1355" s="391"/>
      <c r="M1355" s="435"/>
      <c r="N1355" s="392"/>
      <c r="O1355" s="393"/>
    </row>
    <row r="1356" spans="5:15" ht="14.1" customHeight="1">
      <c r="E1356" s="393"/>
      <c r="F1356" s="393"/>
      <c r="G1356" s="393"/>
      <c r="H1356" s="393"/>
      <c r="I1356" s="393"/>
      <c r="J1356" s="393"/>
      <c r="K1356" s="393"/>
      <c r="L1356" s="393"/>
      <c r="M1356" s="393"/>
      <c r="N1356" s="392"/>
      <c r="O1356" s="392"/>
    </row>
    <row r="1357" spans="5:15" ht="14.1" customHeight="1">
      <c r="E1357" s="390"/>
      <c r="F1357" s="390"/>
      <c r="G1357" s="390"/>
      <c r="H1357" s="390"/>
      <c r="I1357" s="390"/>
      <c r="J1357" s="390"/>
      <c r="K1357" s="391"/>
      <c r="L1357" s="391"/>
      <c r="M1357" s="435"/>
      <c r="N1357" s="392"/>
      <c r="O1357" s="393"/>
    </row>
    <row r="1358" spans="5:15" ht="14.1" customHeight="1">
      <c r="E1358" s="393"/>
      <c r="F1358" s="393"/>
      <c r="G1358" s="393"/>
      <c r="H1358" s="393"/>
      <c r="I1358" s="393"/>
      <c r="J1358" s="393"/>
      <c r="K1358" s="393"/>
      <c r="L1358" s="393"/>
      <c r="M1358" s="393"/>
      <c r="N1358" s="392"/>
      <c r="O1358" s="392"/>
    </row>
    <row r="1359" spans="5:15" ht="14.1" customHeight="1">
      <c r="E1359" s="390"/>
      <c r="F1359" s="390"/>
      <c r="G1359" s="390"/>
      <c r="H1359" s="390"/>
      <c r="I1359" s="390"/>
      <c r="J1359" s="390"/>
      <c r="K1359" s="391"/>
      <c r="L1359" s="391"/>
      <c r="M1359" s="435"/>
      <c r="N1359" s="392"/>
      <c r="O1359" s="393"/>
    </row>
    <row r="1360" spans="5:15" ht="14.1" customHeight="1">
      <c r="E1360" s="390"/>
      <c r="F1360" s="390"/>
      <c r="G1360" s="390"/>
      <c r="H1360" s="390"/>
      <c r="I1360" s="390"/>
      <c r="J1360" s="390"/>
      <c r="K1360" s="391"/>
      <c r="L1360" s="391"/>
      <c r="M1360" s="435"/>
      <c r="N1360" s="392"/>
      <c r="O1360" s="393"/>
    </row>
    <row r="1361" spans="5:15" ht="14.1" customHeight="1">
      <c r="E1361" s="390"/>
      <c r="F1361" s="390"/>
      <c r="G1361" s="390"/>
      <c r="H1361" s="390"/>
      <c r="I1361" s="390"/>
      <c r="J1361" s="390"/>
      <c r="K1361" s="391"/>
      <c r="L1361" s="391"/>
      <c r="M1361" s="435"/>
      <c r="N1361" s="392"/>
      <c r="O1361" s="393"/>
    </row>
    <row r="1362" spans="5:15" ht="14.1" customHeight="1">
      <c r="E1362" s="393"/>
      <c r="F1362" s="393"/>
      <c r="G1362" s="393"/>
      <c r="H1362" s="393"/>
      <c r="I1362" s="393"/>
      <c r="J1362" s="393"/>
      <c r="K1362" s="393"/>
      <c r="L1362" s="393"/>
      <c r="M1362" s="393"/>
      <c r="N1362" s="392"/>
      <c r="O1362" s="392"/>
    </row>
    <row r="1363" spans="5:15" ht="14.1" customHeight="1">
      <c r="E1363" s="393"/>
      <c r="F1363" s="393"/>
      <c r="G1363" s="393"/>
      <c r="H1363" s="393"/>
      <c r="I1363" s="393"/>
      <c r="J1363" s="393"/>
      <c r="K1363" s="393"/>
      <c r="L1363" s="393"/>
      <c r="M1363" s="393"/>
      <c r="N1363" s="393"/>
      <c r="O1363" s="393"/>
    </row>
    <row r="1364" spans="5:15" ht="14.1" customHeight="1">
      <c r="E1364" s="390"/>
      <c r="F1364" s="390"/>
      <c r="G1364" s="390"/>
      <c r="H1364" s="390"/>
      <c r="I1364" s="390"/>
      <c r="J1364" s="390"/>
      <c r="K1364" s="391"/>
      <c r="L1364" s="391"/>
      <c r="M1364" s="435"/>
      <c r="N1364" s="392"/>
      <c r="O1364" s="393"/>
    </row>
    <row r="1365" spans="5:15" ht="14.1" customHeight="1">
      <c r="E1365" s="393"/>
      <c r="F1365" s="393"/>
      <c r="G1365" s="393"/>
      <c r="H1365" s="393"/>
      <c r="I1365" s="393"/>
      <c r="J1365" s="393"/>
      <c r="K1365" s="393"/>
      <c r="L1365" s="393"/>
      <c r="M1365" s="393"/>
      <c r="N1365" s="392"/>
      <c r="O1365" s="392"/>
    </row>
    <row r="1366" spans="5:15" ht="14.1" customHeight="1">
      <c r="E1366" s="390"/>
      <c r="F1366" s="390"/>
      <c r="G1366" s="390"/>
      <c r="H1366" s="390"/>
      <c r="I1366" s="390"/>
      <c r="J1366" s="390"/>
      <c r="K1366" s="391"/>
      <c r="L1366" s="391"/>
      <c r="M1366" s="435"/>
      <c r="N1366" s="392"/>
      <c r="O1366" s="393"/>
    </row>
    <row r="1367" spans="5:15" ht="14.1" customHeight="1">
      <c r="E1367" s="390"/>
      <c r="F1367" s="390"/>
      <c r="G1367" s="390"/>
      <c r="H1367" s="390"/>
      <c r="I1367" s="390"/>
      <c r="J1367" s="390"/>
      <c r="K1367" s="391"/>
      <c r="L1367" s="391"/>
      <c r="M1367" s="435"/>
      <c r="N1367" s="392"/>
      <c r="O1367" s="393"/>
    </row>
    <row r="1368" spans="5:15" ht="14.1" customHeight="1">
      <c r="E1368" s="393"/>
      <c r="F1368" s="393"/>
      <c r="G1368" s="393"/>
      <c r="H1368" s="393"/>
      <c r="I1368" s="393"/>
      <c r="J1368" s="393"/>
      <c r="K1368" s="393"/>
      <c r="L1368" s="393"/>
      <c r="M1368" s="393"/>
      <c r="N1368" s="392"/>
      <c r="O1368" s="392"/>
    </row>
    <row r="1369" spans="5:15" ht="14.1" customHeight="1">
      <c r="E1369" s="390"/>
      <c r="F1369" s="390"/>
      <c r="G1369" s="390"/>
      <c r="H1369" s="390"/>
      <c r="I1369" s="390"/>
      <c r="J1369" s="390"/>
      <c r="K1369" s="391"/>
      <c r="L1369" s="391"/>
      <c r="M1369" s="435"/>
      <c r="N1369" s="392"/>
      <c r="O1369" s="393"/>
    </row>
    <row r="1370" spans="5:15" ht="14.1" customHeight="1">
      <c r="E1370" s="393"/>
      <c r="F1370" s="393"/>
      <c r="G1370" s="393"/>
      <c r="H1370" s="393"/>
      <c r="I1370" s="393"/>
      <c r="J1370" s="393"/>
      <c r="K1370" s="393"/>
      <c r="L1370" s="393"/>
      <c r="M1370" s="393"/>
      <c r="N1370" s="392"/>
      <c r="O1370" s="392"/>
    </row>
    <row r="1371" spans="5:15" ht="14.1" customHeight="1">
      <c r="E1371" s="390"/>
      <c r="F1371" s="390"/>
      <c r="G1371" s="390"/>
      <c r="H1371" s="390"/>
      <c r="I1371" s="390"/>
      <c r="J1371" s="390"/>
      <c r="K1371" s="391"/>
      <c r="L1371" s="391"/>
      <c r="M1371" s="435"/>
      <c r="N1371" s="392"/>
      <c r="O1371" s="393"/>
    </row>
    <row r="1372" spans="5:15" ht="14.1" customHeight="1">
      <c r="E1372" s="390"/>
      <c r="F1372" s="390"/>
      <c r="G1372" s="390"/>
      <c r="H1372" s="390"/>
      <c r="I1372" s="390"/>
      <c r="J1372" s="390"/>
      <c r="K1372" s="391"/>
      <c r="L1372" s="391"/>
      <c r="M1372" s="435"/>
      <c r="N1372" s="392"/>
      <c r="O1372" s="393"/>
    </row>
    <row r="1373" spans="5:15" ht="14.1" customHeight="1">
      <c r="E1373" s="390"/>
      <c r="F1373" s="390"/>
      <c r="G1373" s="390"/>
      <c r="H1373" s="390"/>
      <c r="I1373" s="390"/>
      <c r="J1373" s="390"/>
      <c r="K1373" s="391"/>
      <c r="L1373" s="391"/>
      <c r="M1373" s="435"/>
      <c r="N1373" s="392"/>
      <c r="O1373" s="393"/>
    </row>
    <row r="1374" spans="5:15" ht="14.1" customHeight="1">
      <c r="E1374" s="393"/>
      <c r="F1374" s="393"/>
      <c r="G1374" s="393"/>
      <c r="H1374" s="393"/>
      <c r="I1374" s="393"/>
      <c r="J1374" s="393"/>
      <c r="K1374" s="393"/>
      <c r="L1374" s="393"/>
      <c r="M1374" s="393"/>
      <c r="N1374" s="392"/>
      <c r="O1374" s="392"/>
    </row>
    <row r="1375" spans="5:15" ht="14.1" customHeight="1">
      <c r="E1375" s="390"/>
      <c r="F1375" s="390"/>
      <c r="G1375" s="390"/>
      <c r="H1375" s="390"/>
      <c r="I1375" s="390"/>
      <c r="J1375" s="390"/>
      <c r="K1375" s="391"/>
      <c r="L1375" s="391"/>
      <c r="M1375" s="435"/>
      <c r="N1375" s="392"/>
      <c r="O1375" s="393"/>
    </row>
    <row r="1376" spans="5:15" ht="14.1" customHeight="1">
      <c r="E1376" s="390"/>
      <c r="F1376" s="390"/>
      <c r="G1376" s="390"/>
      <c r="H1376" s="390"/>
      <c r="I1376" s="390"/>
      <c r="J1376" s="390"/>
      <c r="K1376" s="391"/>
      <c r="L1376" s="391"/>
      <c r="M1376" s="435"/>
      <c r="N1376" s="392"/>
      <c r="O1376" s="393"/>
    </row>
    <row r="1377" spans="5:15" ht="14.1" customHeight="1">
      <c r="E1377" s="390"/>
      <c r="F1377" s="390"/>
      <c r="G1377" s="390"/>
      <c r="H1377" s="390"/>
      <c r="I1377" s="390"/>
      <c r="J1377" s="390"/>
      <c r="K1377" s="391"/>
      <c r="L1377" s="391"/>
      <c r="M1377" s="435"/>
      <c r="N1377" s="392"/>
      <c r="O1377" s="393"/>
    </row>
    <row r="1378" spans="5:15" ht="14.1" customHeight="1">
      <c r="E1378" s="390"/>
      <c r="F1378" s="390"/>
      <c r="G1378" s="390"/>
      <c r="H1378" s="390"/>
      <c r="I1378" s="390"/>
      <c r="J1378" s="390"/>
      <c r="K1378" s="391"/>
      <c r="L1378" s="391"/>
      <c r="M1378" s="435"/>
      <c r="N1378" s="392"/>
      <c r="O1378" s="393"/>
    </row>
    <row r="1379" spans="5:15" ht="14.1" customHeight="1">
      <c r="E1379" s="393"/>
      <c r="F1379" s="393"/>
      <c r="G1379" s="393"/>
      <c r="H1379" s="393"/>
      <c r="I1379" s="393"/>
      <c r="J1379" s="393"/>
      <c r="K1379" s="393"/>
      <c r="L1379" s="393"/>
      <c r="M1379" s="393"/>
      <c r="N1379" s="392"/>
      <c r="O1379" s="392"/>
    </row>
    <row r="1380" spans="5:15" ht="14.1" customHeight="1">
      <c r="E1380" s="393"/>
      <c r="F1380" s="393"/>
      <c r="G1380" s="393"/>
      <c r="H1380" s="393"/>
      <c r="I1380" s="393"/>
      <c r="J1380" s="393"/>
      <c r="K1380" s="393"/>
      <c r="L1380" s="393"/>
      <c r="M1380" s="393"/>
      <c r="N1380" s="392"/>
      <c r="O1380" s="392"/>
    </row>
    <row r="1381" spans="5:15" ht="14.1" customHeight="1">
      <c r="E1381" s="390"/>
      <c r="F1381" s="390"/>
      <c r="G1381" s="390"/>
      <c r="H1381" s="390"/>
      <c r="I1381" s="390"/>
      <c r="J1381" s="390"/>
      <c r="K1381" s="391"/>
      <c r="L1381" s="391"/>
      <c r="M1381" s="435"/>
      <c r="N1381" s="392"/>
      <c r="O1381" s="393"/>
    </row>
    <row r="1382" spans="5:15" ht="14.1" customHeight="1">
      <c r="E1382" s="390"/>
      <c r="F1382" s="390"/>
      <c r="G1382" s="390"/>
      <c r="H1382" s="390"/>
      <c r="I1382" s="390"/>
      <c r="J1382" s="390"/>
      <c r="K1382" s="391"/>
      <c r="L1382" s="391"/>
      <c r="M1382" s="435"/>
      <c r="N1382" s="392"/>
      <c r="O1382" s="393"/>
    </row>
    <row r="1383" spans="5:15" ht="14.1" customHeight="1">
      <c r="E1383" s="390"/>
      <c r="F1383" s="390"/>
      <c r="G1383" s="390"/>
      <c r="H1383" s="390"/>
      <c r="I1383" s="390"/>
      <c r="J1383" s="390"/>
      <c r="K1383" s="391"/>
      <c r="L1383" s="391"/>
      <c r="M1383" s="435"/>
      <c r="N1383" s="392"/>
      <c r="O1383" s="393"/>
    </row>
    <row r="1384" spans="5:15" ht="14.1" customHeight="1">
      <c r="E1384" s="390"/>
      <c r="F1384" s="390"/>
      <c r="G1384" s="390"/>
      <c r="H1384" s="390"/>
      <c r="I1384" s="390"/>
      <c r="J1384" s="390"/>
      <c r="K1384" s="391"/>
      <c r="L1384" s="391"/>
      <c r="M1384" s="435"/>
      <c r="N1384" s="392"/>
      <c r="O1384" s="393"/>
    </row>
    <row r="1385" spans="5:15" ht="14.1" customHeight="1">
      <c r="E1385" s="390"/>
      <c r="F1385" s="390"/>
      <c r="G1385" s="390"/>
      <c r="H1385" s="390"/>
      <c r="I1385" s="390"/>
      <c r="J1385" s="390"/>
      <c r="K1385" s="391"/>
      <c r="L1385" s="391"/>
      <c r="M1385" s="435"/>
      <c r="N1385" s="392"/>
      <c r="O1385" s="393"/>
    </row>
    <row r="1386" spans="5:15" ht="14.1" customHeight="1">
      <c r="E1386" s="390"/>
      <c r="F1386" s="390"/>
      <c r="G1386" s="390"/>
      <c r="H1386" s="390"/>
      <c r="I1386" s="390"/>
      <c r="J1386" s="390"/>
      <c r="K1386" s="391"/>
      <c r="L1386" s="391"/>
      <c r="M1386" s="435"/>
      <c r="N1386" s="392"/>
      <c r="O1386" s="393"/>
    </row>
    <row r="1387" spans="5:15" ht="14.1" customHeight="1">
      <c r="E1387" s="390"/>
      <c r="F1387" s="390"/>
      <c r="G1387" s="390"/>
      <c r="H1387" s="390"/>
      <c r="I1387" s="390"/>
      <c r="J1387" s="390"/>
      <c r="K1387" s="391"/>
      <c r="L1387" s="391"/>
      <c r="M1387" s="435"/>
      <c r="N1387" s="392"/>
      <c r="O1387" s="393"/>
    </row>
    <row r="1388" spans="5:15" ht="14.1" customHeight="1">
      <c r="E1388" s="390"/>
      <c r="F1388" s="390"/>
      <c r="G1388" s="390"/>
      <c r="H1388" s="390"/>
      <c r="I1388" s="390"/>
      <c r="J1388" s="390"/>
      <c r="K1388" s="391"/>
      <c r="L1388" s="391"/>
      <c r="M1388" s="435"/>
      <c r="N1388" s="392"/>
      <c r="O1388" s="393"/>
    </row>
    <row r="1389" spans="5:15" ht="14.1" customHeight="1">
      <c r="E1389" s="393"/>
      <c r="F1389" s="393"/>
      <c r="G1389" s="393"/>
      <c r="H1389" s="393"/>
      <c r="I1389" s="393"/>
      <c r="J1389" s="393"/>
      <c r="K1389" s="393"/>
      <c r="L1389" s="393"/>
      <c r="M1389" s="393"/>
      <c r="N1389" s="392"/>
      <c r="O1389" s="392"/>
    </row>
    <row r="1390" spans="5:15" ht="14.1" customHeight="1">
      <c r="E1390" s="390"/>
      <c r="F1390" s="390"/>
      <c r="G1390" s="390"/>
      <c r="H1390" s="390"/>
      <c r="I1390" s="390"/>
      <c r="J1390" s="390"/>
      <c r="K1390" s="391"/>
      <c r="L1390" s="391"/>
      <c r="M1390" s="435"/>
      <c r="N1390" s="392"/>
      <c r="O1390" s="393"/>
    </row>
    <row r="1391" spans="5:15" ht="14.1" customHeight="1">
      <c r="E1391" s="390"/>
      <c r="F1391" s="390"/>
      <c r="G1391" s="390"/>
      <c r="H1391" s="390"/>
      <c r="I1391" s="390"/>
      <c r="J1391" s="390"/>
      <c r="K1391" s="391"/>
      <c r="L1391" s="391"/>
      <c r="M1391" s="435"/>
      <c r="N1391" s="392"/>
      <c r="O1391" s="393"/>
    </row>
    <row r="1392" spans="5:15" ht="14.1" customHeight="1">
      <c r="E1392" s="390"/>
      <c r="F1392" s="390"/>
      <c r="G1392" s="390"/>
      <c r="H1392" s="390"/>
      <c r="I1392" s="390"/>
      <c r="J1392" s="390"/>
      <c r="K1392" s="391"/>
      <c r="L1392" s="391"/>
      <c r="M1392" s="435"/>
      <c r="N1392" s="392"/>
      <c r="O1392" s="393"/>
    </row>
    <row r="1393" spans="5:15" ht="14.1" customHeight="1">
      <c r="E1393" s="393"/>
      <c r="F1393" s="393"/>
      <c r="G1393" s="393"/>
      <c r="H1393" s="393"/>
      <c r="I1393" s="393"/>
      <c r="J1393" s="393"/>
      <c r="K1393" s="393"/>
      <c r="L1393" s="393"/>
      <c r="M1393" s="393"/>
      <c r="N1393" s="392"/>
      <c r="O1393" s="392"/>
    </row>
    <row r="1394" spans="5:15" ht="14.1" customHeight="1">
      <c r="E1394" s="390"/>
      <c r="F1394" s="390"/>
      <c r="G1394" s="390"/>
      <c r="H1394" s="390"/>
      <c r="I1394" s="390"/>
      <c r="J1394" s="390"/>
      <c r="K1394" s="391"/>
      <c r="L1394" s="391"/>
      <c r="M1394" s="435"/>
      <c r="N1394" s="392"/>
      <c r="O1394" s="393"/>
    </row>
    <row r="1395" spans="5:15" ht="14.1" customHeight="1">
      <c r="E1395" s="393"/>
      <c r="F1395" s="393"/>
      <c r="G1395" s="393"/>
      <c r="H1395" s="393"/>
      <c r="I1395" s="393"/>
      <c r="J1395" s="393"/>
      <c r="K1395" s="393"/>
      <c r="L1395" s="393"/>
      <c r="M1395" s="393"/>
      <c r="N1395" s="392"/>
      <c r="O1395" s="392"/>
    </row>
    <row r="1396" spans="5:15" ht="14.1" customHeight="1">
      <c r="E1396" s="390"/>
      <c r="F1396" s="390"/>
      <c r="G1396" s="390"/>
      <c r="H1396" s="390"/>
      <c r="I1396" s="390"/>
      <c r="J1396" s="390"/>
      <c r="K1396" s="391"/>
      <c r="L1396" s="391"/>
      <c r="M1396" s="435"/>
      <c r="N1396" s="392"/>
      <c r="O1396" s="393"/>
    </row>
    <row r="1397" spans="5:15" ht="14.1" customHeight="1">
      <c r="E1397" s="390"/>
      <c r="F1397" s="390"/>
      <c r="G1397" s="390"/>
      <c r="H1397" s="390"/>
      <c r="I1397" s="390"/>
      <c r="J1397" s="390"/>
      <c r="K1397" s="391"/>
      <c r="L1397" s="391"/>
      <c r="M1397" s="435"/>
      <c r="N1397" s="392"/>
      <c r="O1397" s="393"/>
    </row>
    <row r="1398" spans="5:15" ht="14.1" customHeight="1">
      <c r="E1398" s="390"/>
      <c r="F1398" s="390"/>
      <c r="G1398" s="390"/>
      <c r="H1398" s="390"/>
      <c r="I1398" s="390"/>
      <c r="J1398" s="390"/>
      <c r="K1398" s="391"/>
      <c r="L1398" s="391"/>
      <c r="M1398" s="435"/>
      <c r="N1398" s="392"/>
      <c r="O1398" s="393"/>
    </row>
    <row r="1399" spans="5:15" ht="14.1" customHeight="1">
      <c r="E1399" s="390"/>
      <c r="F1399" s="390"/>
      <c r="G1399" s="390"/>
      <c r="H1399" s="390"/>
      <c r="I1399" s="390"/>
      <c r="J1399" s="390"/>
      <c r="K1399" s="391"/>
      <c r="L1399" s="391"/>
      <c r="M1399" s="435"/>
      <c r="N1399" s="392"/>
      <c r="O1399" s="393"/>
    </row>
    <row r="1400" spans="5:15" ht="14.1" customHeight="1">
      <c r="E1400" s="390"/>
      <c r="F1400" s="390"/>
      <c r="G1400" s="390"/>
      <c r="H1400" s="390"/>
      <c r="I1400" s="390"/>
      <c r="J1400" s="390"/>
      <c r="K1400" s="391"/>
      <c r="L1400" s="391"/>
      <c r="M1400" s="435"/>
      <c r="N1400" s="392"/>
      <c r="O1400" s="393"/>
    </row>
    <row r="1401" spans="5:15" ht="14.1" customHeight="1">
      <c r="E1401" s="390"/>
      <c r="F1401" s="390"/>
      <c r="G1401" s="390"/>
      <c r="H1401" s="390"/>
      <c r="I1401" s="390"/>
      <c r="J1401" s="390"/>
      <c r="K1401" s="391"/>
      <c r="L1401" s="391"/>
      <c r="M1401" s="435"/>
      <c r="N1401" s="392"/>
      <c r="O1401" s="393"/>
    </row>
    <row r="1402" spans="5:15" ht="14.1" customHeight="1">
      <c r="E1402" s="390"/>
      <c r="F1402" s="390"/>
      <c r="G1402" s="390"/>
      <c r="H1402" s="390"/>
      <c r="I1402" s="390"/>
      <c r="J1402" s="390"/>
      <c r="K1402" s="391"/>
      <c r="L1402" s="391"/>
      <c r="M1402" s="435"/>
      <c r="N1402" s="392"/>
      <c r="O1402" s="393"/>
    </row>
    <row r="1403" spans="5:15" ht="14.1" customHeight="1">
      <c r="E1403" s="390"/>
      <c r="F1403" s="390"/>
      <c r="G1403" s="390"/>
      <c r="H1403" s="390"/>
      <c r="I1403" s="390"/>
      <c r="J1403" s="390"/>
      <c r="K1403" s="391"/>
      <c r="L1403" s="391"/>
      <c r="M1403" s="435"/>
      <c r="N1403" s="392"/>
      <c r="O1403" s="393"/>
    </row>
    <row r="1404" spans="5:15" ht="14.1" customHeight="1">
      <c r="E1404" s="390"/>
      <c r="F1404" s="390"/>
      <c r="G1404" s="390"/>
      <c r="H1404" s="390"/>
      <c r="I1404" s="390"/>
      <c r="J1404" s="390"/>
      <c r="K1404" s="391"/>
      <c r="L1404" s="391"/>
      <c r="M1404" s="435"/>
      <c r="N1404" s="392"/>
      <c r="O1404" s="393"/>
    </row>
    <row r="1405" spans="5:15" ht="14.1" customHeight="1">
      <c r="E1405" s="390"/>
      <c r="F1405" s="390"/>
      <c r="G1405" s="390"/>
      <c r="H1405" s="390"/>
      <c r="I1405" s="390"/>
      <c r="J1405" s="390"/>
      <c r="K1405" s="391"/>
      <c r="L1405" s="391"/>
      <c r="M1405" s="435"/>
      <c r="N1405" s="392"/>
      <c r="O1405" s="393"/>
    </row>
    <row r="1406" spans="5:15" ht="14.1" customHeight="1">
      <c r="E1406" s="390"/>
      <c r="F1406" s="390"/>
      <c r="G1406" s="390"/>
      <c r="H1406" s="390"/>
      <c r="I1406" s="390"/>
      <c r="J1406" s="390"/>
      <c r="K1406" s="391"/>
      <c r="L1406" s="391"/>
      <c r="M1406" s="435"/>
      <c r="N1406" s="392"/>
      <c r="O1406" s="393"/>
    </row>
    <row r="1407" spans="5:15" ht="14.1" customHeight="1">
      <c r="E1407" s="390"/>
      <c r="F1407" s="390"/>
      <c r="G1407" s="390"/>
      <c r="H1407" s="390"/>
      <c r="I1407" s="390"/>
      <c r="J1407" s="390"/>
      <c r="K1407" s="391"/>
      <c r="L1407" s="391"/>
      <c r="M1407" s="435"/>
      <c r="N1407" s="392"/>
      <c r="O1407" s="393"/>
    </row>
    <row r="1408" spans="5:15" ht="14.1" customHeight="1">
      <c r="E1408" s="390"/>
      <c r="F1408" s="390"/>
      <c r="G1408" s="390"/>
      <c r="H1408" s="390"/>
      <c r="I1408" s="390"/>
      <c r="J1408" s="390"/>
      <c r="K1408" s="391"/>
      <c r="L1408" s="391"/>
      <c r="M1408" s="435"/>
      <c r="N1408" s="392"/>
      <c r="O1408" s="393"/>
    </row>
    <row r="1409" spans="5:15" ht="14.1" customHeight="1">
      <c r="E1409" s="390"/>
      <c r="F1409" s="390"/>
      <c r="G1409" s="390"/>
      <c r="H1409" s="390"/>
      <c r="I1409" s="390"/>
      <c r="J1409" s="390"/>
      <c r="K1409" s="391"/>
      <c r="L1409" s="391"/>
      <c r="M1409" s="435"/>
      <c r="N1409" s="392"/>
      <c r="O1409" s="393"/>
    </row>
    <row r="1410" spans="5:15" ht="14.1" customHeight="1">
      <c r="E1410" s="390"/>
      <c r="F1410" s="390"/>
      <c r="G1410" s="390"/>
      <c r="H1410" s="390"/>
      <c r="I1410" s="390"/>
      <c r="J1410" s="390"/>
      <c r="K1410" s="391"/>
      <c r="L1410" s="391"/>
      <c r="M1410" s="435"/>
      <c r="N1410" s="392"/>
      <c r="O1410" s="393"/>
    </row>
    <row r="1411" spans="5:15" ht="14.1" customHeight="1">
      <c r="E1411" s="393"/>
      <c r="F1411" s="393"/>
      <c r="G1411" s="393"/>
      <c r="H1411" s="393"/>
      <c r="I1411" s="393"/>
      <c r="J1411" s="393"/>
      <c r="K1411" s="393"/>
      <c r="L1411" s="393"/>
      <c r="M1411" s="393"/>
      <c r="N1411" s="393"/>
      <c r="O1411" s="393"/>
    </row>
    <row r="1412" spans="5:15" ht="14.1" customHeight="1">
      <c r="E1412" s="393"/>
      <c r="F1412" s="393"/>
      <c r="G1412" s="393"/>
      <c r="H1412" s="393"/>
      <c r="I1412" s="393"/>
      <c r="J1412" s="393"/>
      <c r="K1412" s="393"/>
      <c r="L1412" s="393"/>
      <c r="M1412" s="393"/>
      <c r="N1412" s="392"/>
      <c r="O1412" s="392"/>
    </row>
    <row r="1413" spans="5:15" ht="14.1" customHeight="1">
      <c r="E1413" s="393"/>
      <c r="F1413" s="393"/>
      <c r="G1413" s="393"/>
      <c r="H1413" s="393"/>
      <c r="I1413" s="393"/>
      <c r="J1413" s="393"/>
      <c r="K1413" s="393"/>
      <c r="L1413" s="393"/>
      <c r="M1413" s="393"/>
      <c r="N1413" s="392"/>
      <c r="O1413" s="392"/>
    </row>
    <row r="1414" spans="5:15" ht="14.1" customHeight="1">
      <c r="E1414" s="390"/>
      <c r="F1414" s="390"/>
      <c r="G1414" s="390"/>
      <c r="H1414" s="390"/>
      <c r="I1414" s="390"/>
      <c r="J1414" s="390"/>
      <c r="K1414" s="391"/>
      <c r="L1414" s="391"/>
      <c r="M1414" s="435"/>
      <c r="N1414" s="392"/>
      <c r="O1414" s="393"/>
    </row>
    <row r="1415" spans="5:15" ht="14.1" customHeight="1">
      <c r="E1415" s="393"/>
      <c r="F1415" s="393"/>
      <c r="G1415" s="393"/>
      <c r="H1415" s="393"/>
      <c r="I1415" s="393"/>
      <c r="J1415" s="393"/>
      <c r="K1415" s="393"/>
      <c r="L1415" s="393"/>
      <c r="M1415" s="393"/>
      <c r="N1415" s="392"/>
      <c r="O1415" s="392"/>
    </row>
    <row r="1416" spans="5:15" ht="14.1" customHeight="1">
      <c r="E1416" s="390"/>
      <c r="F1416" s="390"/>
      <c r="G1416" s="390"/>
      <c r="H1416" s="390"/>
      <c r="I1416" s="390"/>
      <c r="J1416" s="390"/>
      <c r="K1416" s="391"/>
      <c r="L1416" s="391"/>
      <c r="M1416" s="435"/>
      <c r="N1416" s="392"/>
      <c r="O1416" s="393"/>
    </row>
    <row r="1417" spans="5:15" ht="14.1" customHeight="1">
      <c r="E1417" s="390"/>
      <c r="F1417" s="390"/>
      <c r="G1417" s="390"/>
      <c r="H1417" s="390"/>
      <c r="I1417" s="390"/>
      <c r="J1417" s="390"/>
      <c r="K1417" s="391"/>
      <c r="L1417" s="391"/>
      <c r="M1417" s="435"/>
      <c r="N1417" s="392"/>
      <c r="O1417" s="393"/>
    </row>
    <row r="1418" spans="5:15" ht="14.1" customHeight="1">
      <c r="E1418" s="390"/>
      <c r="F1418" s="390"/>
      <c r="G1418" s="390"/>
      <c r="H1418" s="390"/>
      <c r="I1418" s="390"/>
      <c r="J1418" s="390"/>
      <c r="K1418" s="391"/>
      <c r="L1418" s="391"/>
      <c r="M1418" s="435"/>
      <c r="N1418" s="392"/>
      <c r="O1418" s="393"/>
    </row>
    <row r="1419" spans="5:15" ht="14.1" customHeight="1">
      <c r="E1419" s="390"/>
      <c r="F1419" s="390"/>
      <c r="G1419" s="390"/>
      <c r="H1419" s="390"/>
      <c r="I1419" s="390"/>
      <c r="J1419" s="390"/>
      <c r="K1419" s="391"/>
      <c r="L1419" s="391"/>
      <c r="M1419" s="435"/>
      <c r="N1419" s="392"/>
      <c r="O1419" s="393"/>
    </row>
    <row r="1420" spans="5:15" ht="14.1" customHeight="1">
      <c r="E1420" s="393"/>
      <c r="F1420" s="393"/>
      <c r="G1420" s="393"/>
      <c r="H1420" s="393"/>
      <c r="I1420" s="393"/>
      <c r="J1420" s="393"/>
      <c r="K1420" s="393"/>
      <c r="L1420" s="393"/>
      <c r="M1420" s="393"/>
      <c r="N1420" s="392"/>
      <c r="O1420" s="392"/>
    </row>
    <row r="1421" spans="5:15" ht="14.1" customHeight="1">
      <c r="E1421" s="390"/>
      <c r="F1421" s="390"/>
      <c r="G1421" s="390"/>
      <c r="H1421" s="390"/>
      <c r="I1421" s="390"/>
      <c r="J1421" s="390"/>
      <c r="K1421" s="391"/>
      <c r="L1421" s="391"/>
      <c r="M1421" s="435"/>
      <c r="N1421" s="392"/>
      <c r="O1421" s="393"/>
    </row>
    <row r="1422" spans="5:15" ht="14.1" customHeight="1">
      <c r="E1422" s="393"/>
      <c r="F1422" s="393"/>
      <c r="G1422" s="393"/>
      <c r="H1422" s="393"/>
      <c r="I1422" s="393"/>
      <c r="J1422" s="393"/>
      <c r="K1422" s="393"/>
      <c r="L1422" s="393"/>
      <c r="M1422" s="393"/>
      <c r="N1422" s="392"/>
      <c r="O1422" s="392"/>
    </row>
    <row r="1423" spans="5:15" ht="14.1" customHeight="1">
      <c r="E1423" s="390"/>
      <c r="F1423" s="390"/>
      <c r="G1423" s="390"/>
      <c r="H1423" s="390"/>
      <c r="I1423" s="390"/>
      <c r="J1423" s="390"/>
      <c r="K1423" s="391"/>
      <c r="L1423" s="391"/>
      <c r="M1423" s="435"/>
      <c r="N1423" s="392"/>
      <c r="O1423" s="393"/>
    </row>
    <row r="1424" spans="5:15" ht="14.1" customHeight="1">
      <c r="E1424" s="390"/>
      <c r="F1424" s="390"/>
      <c r="G1424" s="390"/>
      <c r="H1424" s="390"/>
      <c r="I1424" s="390"/>
      <c r="J1424" s="390"/>
      <c r="K1424" s="391"/>
      <c r="L1424" s="391"/>
      <c r="M1424" s="435"/>
      <c r="N1424" s="392"/>
      <c r="O1424" s="393"/>
    </row>
    <row r="1425" spans="5:15" ht="14.1" customHeight="1">
      <c r="E1425" s="393"/>
      <c r="F1425" s="393"/>
      <c r="G1425" s="393"/>
      <c r="H1425" s="393"/>
      <c r="I1425" s="393"/>
      <c r="J1425" s="393"/>
      <c r="K1425" s="393"/>
      <c r="L1425" s="393"/>
      <c r="M1425" s="393"/>
      <c r="N1425" s="392"/>
      <c r="O1425" s="392"/>
    </row>
    <row r="1426" spans="5:15" ht="14.1" customHeight="1">
      <c r="E1426" s="390"/>
      <c r="F1426" s="390"/>
      <c r="G1426" s="390"/>
      <c r="H1426" s="390"/>
      <c r="I1426" s="390"/>
      <c r="J1426" s="390"/>
      <c r="K1426" s="391"/>
      <c r="L1426" s="391"/>
      <c r="M1426" s="435"/>
      <c r="N1426" s="392"/>
      <c r="O1426" s="393"/>
    </row>
    <row r="1427" spans="5:15" ht="14.1" customHeight="1">
      <c r="E1427" s="393"/>
      <c r="F1427" s="393"/>
      <c r="G1427" s="393"/>
      <c r="H1427" s="393"/>
      <c r="I1427" s="393"/>
      <c r="J1427" s="393"/>
      <c r="K1427" s="393"/>
      <c r="L1427" s="393"/>
      <c r="M1427" s="393"/>
      <c r="N1427" s="392"/>
      <c r="O1427" s="392"/>
    </row>
    <row r="1428" spans="5:15" ht="14.1" customHeight="1">
      <c r="E1428" s="390"/>
      <c r="F1428" s="390"/>
      <c r="G1428" s="390"/>
      <c r="H1428" s="390"/>
      <c r="I1428" s="390"/>
      <c r="J1428" s="390"/>
      <c r="K1428" s="391"/>
      <c r="L1428" s="391"/>
      <c r="M1428" s="435"/>
      <c r="N1428" s="392"/>
      <c r="O1428" s="393"/>
    </row>
    <row r="1429" spans="5:15" ht="14.1" customHeight="1">
      <c r="E1429" s="393"/>
      <c r="F1429" s="393"/>
      <c r="G1429" s="393"/>
      <c r="H1429" s="393"/>
      <c r="I1429" s="393"/>
      <c r="J1429" s="393"/>
      <c r="K1429" s="393"/>
      <c r="L1429" s="393"/>
      <c r="M1429" s="393"/>
      <c r="N1429" s="392"/>
      <c r="O1429" s="392"/>
    </row>
    <row r="1430" spans="5:15" ht="14.1" customHeight="1">
      <c r="E1430" s="390"/>
      <c r="F1430" s="390"/>
      <c r="G1430" s="390"/>
      <c r="H1430" s="390"/>
      <c r="I1430" s="390"/>
      <c r="J1430" s="390"/>
      <c r="K1430" s="391"/>
      <c r="L1430" s="391"/>
      <c r="M1430" s="435"/>
      <c r="N1430" s="392"/>
      <c r="O1430" s="393"/>
    </row>
    <row r="1431" spans="5:15" ht="14.1" customHeight="1">
      <c r="E1431" s="390"/>
      <c r="F1431" s="390"/>
      <c r="G1431" s="390"/>
      <c r="H1431" s="390"/>
      <c r="I1431" s="390"/>
      <c r="J1431" s="390"/>
      <c r="K1431" s="391"/>
      <c r="L1431" s="391"/>
      <c r="M1431" s="435"/>
      <c r="N1431" s="392"/>
      <c r="O1431" s="393"/>
    </row>
    <row r="1432" spans="5:15" ht="14.1" customHeight="1">
      <c r="E1432" s="393"/>
      <c r="F1432" s="393"/>
      <c r="G1432" s="393"/>
      <c r="H1432" s="393"/>
      <c r="I1432" s="393"/>
      <c r="J1432" s="393"/>
      <c r="K1432" s="393"/>
      <c r="L1432" s="393"/>
      <c r="M1432" s="393"/>
      <c r="N1432" s="392"/>
      <c r="O1432" s="392"/>
    </row>
    <row r="1433" spans="5:15" ht="14.1" customHeight="1">
      <c r="E1433" s="393"/>
      <c r="F1433" s="393"/>
      <c r="G1433" s="393"/>
      <c r="H1433" s="393"/>
      <c r="I1433" s="393"/>
      <c r="J1433" s="393"/>
      <c r="K1433" s="393"/>
      <c r="L1433" s="393"/>
      <c r="M1433" s="393"/>
      <c r="N1433" s="392"/>
      <c r="O1433" s="392"/>
    </row>
    <row r="1434" spans="5:15" ht="14.1" customHeight="1">
      <c r="E1434" s="446"/>
      <c r="F1434" s="446"/>
      <c r="G1434" s="446"/>
      <c r="H1434" s="446"/>
      <c r="I1434" s="446"/>
      <c r="J1434" s="447"/>
      <c r="K1434" s="447"/>
      <c r="L1434" s="448"/>
      <c r="M1434" s="449"/>
      <c r="N1434" s="450"/>
      <c r="O1434" s="393"/>
    </row>
    <row r="1435" spans="5:15" ht="14.1" customHeight="1">
      <c r="E1435" s="450"/>
      <c r="F1435" s="450"/>
      <c r="G1435" s="450"/>
      <c r="H1435" s="450"/>
      <c r="I1435" s="450"/>
      <c r="J1435" s="450"/>
      <c r="K1435" s="450"/>
      <c r="L1435" s="450"/>
      <c r="M1435" s="449"/>
      <c r="N1435" s="449"/>
      <c r="O1435" s="393"/>
    </row>
    <row r="1436" spans="5:15" ht="14.1" customHeight="1">
      <c r="E1436" s="450"/>
      <c r="F1436" s="450"/>
      <c r="G1436" s="450"/>
      <c r="H1436" s="450"/>
      <c r="I1436" s="450"/>
      <c r="J1436" s="450"/>
      <c r="K1436" s="450"/>
      <c r="L1436" s="450"/>
      <c r="M1436" s="449"/>
      <c r="N1436" s="449"/>
      <c r="O1436" s="393"/>
    </row>
    <row r="1437" spans="5:15" ht="14.1" customHeight="1">
      <c r="E1437" s="446"/>
      <c r="F1437" s="446"/>
      <c r="G1437" s="446"/>
      <c r="H1437" s="446"/>
      <c r="I1437" s="446"/>
      <c r="J1437" s="447"/>
      <c r="K1437" s="447"/>
      <c r="L1437" s="448"/>
      <c r="M1437" s="449"/>
      <c r="N1437" s="450"/>
      <c r="O1437" s="392"/>
    </row>
    <row r="1438" spans="5:15" ht="14.1" customHeight="1">
      <c r="E1438" s="446"/>
      <c r="F1438" s="446"/>
      <c r="G1438" s="446"/>
      <c r="H1438" s="446"/>
      <c r="I1438" s="446"/>
      <c r="J1438" s="447"/>
      <c r="K1438" s="447"/>
      <c r="L1438" s="448"/>
      <c r="M1438" s="449"/>
      <c r="N1438" s="450"/>
      <c r="O1438" s="392"/>
    </row>
    <row r="1439" spans="5:15" ht="14.1" customHeight="1">
      <c r="E1439" s="450"/>
      <c r="F1439" s="450"/>
      <c r="G1439" s="450"/>
      <c r="H1439" s="450"/>
      <c r="I1439" s="450"/>
      <c r="J1439" s="450"/>
      <c r="K1439" s="450"/>
      <c r="L1439" s="450"/>
      <c r="M1439" s="449"/>
      <c r="N1439" s="449"/>
      <c r="O1439" s="393"/>
    </row>
    <row r="1440" spans="5:15" ht="14.1" customHeight="1">
      <c r="E1440" s="446"/>
      <c r="F1440" s="446"/>
      <c r="G1440" s="446"/>
      <c r="H1440" s="446"/>
      <c r="I1440" s="446"/>
      <c r="J1440" s="447"/>
      <c r="K1440" s="447"/>
      <c r="L1440" s="448"/>
      <c r="M1440" s="449"/>
      <c r="N1440" s="450"/>
      <c r="O1440" s="392"/>
    </row>
    <row r="1441" spans="5:15" ht="14.1" customHeight="1">
      <c r="E1441" s="450"/>
      <c r="F1441" s="450"/>
      <c r="G1441" s="450"/>
      <c r="H1441" s="450"/>
      <c r="I1441" s="450"/>
      <c r="J1441" s="450"/>
      <c r="K1441" s="450"/>
      <c r="L1441" s="450"/>
      <c r="M1441" s="449"/>
      <c r="N1441" s="449"/>
      <c r="O1441" s="393"/>
    </row>
    <row r="1442" spans="5:15" ht="14.1" customHeight="1">
      <c r="E1442" s="450"/>
      <c r="F1442" s="450"/>
      <c r="G1442" s="450"/>
      <c r="H1442" s="450"/>
      <c r="I1442" s="450"/>
      <c r="J1442" s="450"/>
      <c r="K1442" s="450"/>
      <c r="L1442" s="450"/>
      <c r="M1442" s="449"/>
      <c r="N1442" s="449"/>
      <c r="O1442" s="393"/>
    </row>
    <row r="1443" spans="5:15" ht="14.1" customHeight="1">
      <c r="E1443" s="446"/>
      <c r="F1443" s="446"/>
      <c r="G1443" s="446"/>
      <c r="H1443" s="446"/>
      <c r="I1443" s="446"/>
      <c r="J1443" s="447"/>
      <c r="K1443" s="447"/>
      <c r="L1443" s="448"/>
      <c r="M1443" s="449"/>
      <c r="N1443" s="450"/>
      <c r="O1443" s="392"/>
    </row>
    <row r="1444" spans="5:15" ht="14.1" customHeight="1">
      <c r="E1444" s="450"/>
      <c r="F1444" s="450"/>
      <c r="G1444" s="450"/>
      <c r="H1444" s="450"/>
      <c r="I1444" s="450"/>
      <c r="J1444" s="450"/>
      <c r="K1444" s="450"/>
      <c r="L1444" s="450"/>
      <c r="M1444" s="449"/>
      <c r="N1444" s="449"/>
      <c r="O1444" s="393"/>
    </row>
    <row r="1445" spans="5:15" ht="14.1" customHeight="1">
      <c r="E1445" s="450"/>
      <c r="F1445" s="450"/>
      <c r="G1445" s="450"/>
      <c r="H1445" s="450"/>
      <c r="I1445" s="450"/>
      <c r="J1445" s="450"/>
      <c r="K1445" s="450"/>
      <c r="L1445" s="450"/>
      <c r="M1445" s="449"/>
      <c r="N1445" s="449"/>
      <c r="O1445" s="392"/>
    </row>
    <row r="1446" spans="5:15" ht="14.1" customHeight="1">
      <c r="E1446" s="446"/>
      <c r="F1446" s="446"/>
      <c r="G1446" s="446"/>
      <c r="H1446" s="446"/>
      <c r="I1446" s="446"/>
      <c r="J1446" s="447"/>
      <c r="K1446" s="447"/>
      <c r="L1446" s="448"/>
      <c r="M1446" s="449"/>
      <c r="N1446" s="450"/>
      <c r="O1446" s="393"/>
    </row>
    <row r="1447" spans="5:15" ht="14.1" customHeight="1">
      <c r="E1447" s="446"/>
      <c r="F1447" s="446"/>
      <c r="G1447" s="446"/>
      <c r="H1447" s="446"/>
      <c r="I1447" s="446"/>
      <c r="J1447" s="447"/>
      <c r="K1447" s="447"/>
      <c r="L1447" s="448"/>
      <c r="M1447" s="449"/>
      <c r="N1447" s="450"/>
      <c r="O1447" s="392"/>
    </row>
    <row r="1448" spans="5:15" ht="14.1" customHeight="1">
      <c r="E1448" s="446"/>
      <c r="F1448" s="446"/>
      <c r="G1448" s="446"/>
      <c r="H1448" s="446"/>
      <c r="I1448" s="446"/>
      <c r="J1448" s="447"/>
      <c r="K1448" s="447"/>
      <c r="L1448" s="448"/>
      <c r="M1448" s="449"/>
      <c r="N1448" s="450"/>
      <c r="O1448" s="393"/>
    </row>
    <row r="1449" spans="5:15" ht="14.1" customHeight="1">
      <c r="E1449" s="446"/>
      <c r="F1449" s="446"/>
      <c r="G1449" s="446"/>
      <c r="H1449" s="446"/>
      <c r="I1449" s="446"/>
      <c r="J1449" s="447"/>
      <c r="K1449" s="447"/>
      <c r="L1449" s="448"/>
      <c r="M1449" s="449"/>
      <c r="N1449" s="450"/>
      <c r="O1449" s="393"/>
    </row>
    <row r="1450" spans="5:15" ht="14.1" customHeight="1">
      <c r="E1450" s="450"/>
      <c r="F1450" s="450"/>
      <c r="G1450" s="450"/>
      <c r="H1450" s="450"/>
      <c r="I1450" s="450"/>
      <c r="J1450" s="450"/>
      <c r="K1450" s="450"/>
      <c r="L1450" s="450"/>
      <c r="M1450" s="449"/>
      <c r="N1450" s="449"/>
      <c r="O1450" s="392"/>
    </row>
    <row r="1451" spans="5:15" ht="14.1" customHeight="1">
      <c r="E1451" s="446"/>
      <c r="F1451" s="446"/>
      <c r="G1451" s="446"/>
      <c r="H1451" s="446"/>
      <c r="I1451" s="446"/>
      <c r="J1451" s="447"/>
      <c r="K1451" s="447"/>
      <c r="L1451" s="448"/>
      <c r="M1451" s="449"/>
      <c r="N1451" s="450"/>
      <c r="O1451" s="392"/>
    </row>
    <row r="1452" spans="5:15" ht="14.1" customHeight="1">
      <c r="E1452" s="446"/>
      <c r="F1452" s="446"/>
      <c r="G1452" s="446"/>
      <c r="H1452" s="446"/>
      <c r="I1452" s="446"/>
      <c r="J1452" s="447"/>
      <c r="K1452" s="447"/>
      <c r="L1452" s="448"/>
      <c r="M1452" s="449"/>
      <c r="N1452" s="450"/>
      <c r="O1452" s="393"/>
    </row>
    <row r="1453" spans="5:15" ht="14.1" customHeight="1">
      <c r="E1453" s="450"/>
      <c r="F1453" s="450"/>
      <c r="G1453" s="450"/>
      <c r="H1453" s="450"/>
      <c r="I1453" s="450"/>
      <c r="J1453" s="450"/>
      <c r="K1453" s="450"/>
      <c r="L1453" s="450"/>
      <c r="M1453" s="449"/>
      <c r="N1453" s="449"/>
      <c r="O1453" s="393"/>
    </row>
    <row r="1454" spans="5:15" ht="14.1" customHeight="1">
      <c r="E1454" s="450"/>
      <c r="F1454" s="450"/>
      <c r="G1454" s="450"/>
      <c r="H1454" s="450"/>
      <c r="I1454" s="450"/>
      <c r="J1454" s="450"/>
      <c r="K1454" s="450"/>
      <c r="L1454" s="450"/>
      <c r="M1454" s="449"/>
      <c r="N1454" s="449"/>
    </row>
    <row r="1455" spans="5:15" ht="14.1" customHeight="1">
      <c r="E1455" s="446"/>
      <c r="F1455" s="446"/>
      <c r="G1455" s="446"/>
      <c r="H1455" s="446"/>
      <c r="I1455" s="446"/>
      <c r="J1455" s="447"/>
      <c r="K1455" s="447"/>
      <c r="L1455" s="448"/>
      <c r="M1455" s="449"/>
      <c r="N1455" s="450"/>
    </row>
    <row r="1456" spans="5:15" ht="14.1" customHeight="1">
      <c r="E1456" s="450"/>
      <c r="F1456" s="450"/>
      <c r="G1456" s="450"/>
      <c r="H1456" s="450"/>
      <c r="I1456" s="450"/>
      <c r="J1456" s="450"/>
      <c r="K1456" s="450"/>
      <c r="L1456" s="450"/>
      <c r="M1456" s="449"/>
      <c r="N1456" s="449"/>
    </row>
    <row r="1457" spans="5:14" ht="14.1" customHeight="1">
      <c r="E1457" s="450"/>
      <c r="F1457" s="450"/>
      <c r="G1457" s="450"/>
      <c r="H1457" s="450"/>
      <c r="I1457" s="450"/>
      <c r="J1457" s="450"/>
      <c r="K1457" s="450"/>
      <c r="L1457" s="450"/>
      <c r="M1457" s="449"/>
      <c r="N1457" s="449"/>
    </row>
    <row r="1458" spans="5:14" ht="14.1" customHeight="1">
      <c r="E1458" s="446"/>
      <c r="F1458" s="446"/>
      <c r="G1458" s="446"/>
      <c r="H1458" s="446"/>
      <c r="I1458" s="446"/>
      <c r="J1458" s="447"/>
      <c r="K1458" s="447"/>
      <c r="L1458" s="448"/>
      <c r="M1458" s="449"/>
      <c r="N1458" s="450"/>
    </row>
    <row r="1459" spans="5:14" ht="14.1" customHeight="1">
      <c r="E1459" s="450"/>
      <c r="F1459" s="450"/>
      <c r="G1459" s="450"/>
      <c r="H1459" s="450"/>
      <c r="I1459" s="450"/>
      <c r="J1459" s="450"/>
      <c r="K1459" s="450"/>
      <c r="L1459" s="450"/>
      <c r="M1459" s="449"/>
      <c r="N1459" s="449"/>
    </row>
    <row r="1460" spans="5:14" ht="14.1" customHeight="1">
      <c r="E1460" s="446"/>
      <c r="F1460" s="446"/>
      <c r="G1460" s="446"/>
      <c r="H1460" s="446"/>
      <c r="I1460" s="446"/>
      <c r="J1460" s="447"/>
      <c r="K1460" s="447"/>
      <c r="L1460" s="448"/>
      <c r="M1460" s="449"/>
      <c r="N1460" s="450"/>
    </row>
    <row r="1461" spans="5:14" ht="14.1" customHeight="1">
      <c r="E1461" s="446"/>
      <c r="F1461" s="446"/>
      <c r="G1461" s="446"/>
      <c r="H1461" s="446"/>
      <c r="I1461" s="446"/>
      <c r="J1461" s="447"/>
      <c r="K1461" s="447"/>
      <c r="L1461" s="448"/>
      <c r="M1461" s="449"/>
      <c r="N1461" s="450"/>
    </row>
    <row r="1462" spans="5:14" ht="14.1" customHeight="1">
      <c r="E1462" s="450"/>
      <c r="F1462" s="450"/>
      <c r="G1462" s="450"/>
      <c r="H1462" s="450"/>
      <c r="I1462" s="450"/>
      <c r="J1462" s="450"/>
      <c r="K1462" s="450"/>
      <c r="L1462" s="450"/>
      <c r="M1462" s="449"/>
      <c r="N1462" s="449"/>
    </row>
    <row r="1463" spans="5:14" ht="14.1" customHeight="1">
      <c r="E1463" s="446"/>
      <c r="F1463" s="446"/>
      <c r="G1463" s="446"/>
      <c r="H1463" s="446"/>
      <c r="I1463" s="446"/>
      <c r="J1463" s="447"/>
      <c r="K1463" s="447"/>
      <c r="L1463" s="448"/>
      <c r="M1463" s="449"/>
      <c r="N1463" s="450"/>
    </row>
    <row r="1464" spans="5:14" ht="14.1" customHeight="1">
      <c r="E1464" s="446"/>
      <c r="F1464" s="446"/>
      <c r="G1464" s="446"/>
      <c r="H1464" s="446"/>
      <c r="I1464" s="446"/>
      <c r="J1464" s="447"/>
      <c r="K1464" s="447"/>
      <c r="L1464" s="448"/>
      <c r="M1464" s="449"/>
      <c r="N1464" s="450"/>
    </row>
    <row r="1465" spans="5:14" ht="14.1" customHeight="1">
      <c r="E1465" s="446"/>
      <c r="F1465" s="446"/>
      <c r="G1465" s="446"/>
      <c r="H1465" s="446"/>
      <c r="I1465" s="446"/>
      <c r="J1465" s="447"/>
      <c r="K1465" s="447"/>
      <c r="L1465" s="448"/>
      <c r="M1465" s="449"/>
      <c r="N1465" s="450"/>
    </row>
    <row r="1466" spans="5:14" ht="14.1" customHeight="1">
      <c r="E1466" s="446"/>
      <c r="F1466" s="446"/>
      <c r="G1466" s="446"/>
      <c r="H1466" s="446"/>
      <c r="I1466" s="446"/>
      <c r="J1466" s="447"/>
      <c r="K1466" s="447"/>
      <c r="L1466" s="448"/>
      <c r="M1466" s="449"/>
      <c r="N1466" s="450"/>
    </row>
    <row r="1467" spans="5:14" ht="14.1" customHeight="1">
      <c r="E1467" s="450"/>
      <c r="F1467" s="450"/>
      <c r="G1467" s="450"/>
      <c r="H1467" s="450"/>
      <c r="I1467" s="450"/>
      <c r="J1467" s="450"/>
      <c r="K1467" s="450"/>
      <c r="L1467" s="450"/>
      <c r="M1467" s="449"/>
      <c r="N1467" s="449"/>
    </row>
    <row r="1468" spans="5:14" ht="14.1" customHeight="1">
      <c r="E1468" s="446"/>
      <c r="F1468" s="446"/>
      <c r="G1468" s="446"/>
      <c r="H1468" s="446"/>
      <c r="I1468" s="446"/>
      <c r="J1468" s="447"/>
      <c r="K1468" s="447"/>
      <c r="L1468" s="448"/>
      <c r="M1468" s="449"/>
      <c r="N1468" s="450"/>
    </row>
    <row r="1469" spans="5:14" ht="14.1" customHeight="1">
      <c r="E1469" s="446"/>
      <c r="F1469" s="446"/>
      <c r="G1469" s="446"/>
      <c r="H1469" s="446"/>
      <c r="I1469" s="446"/>
      <c r="J1469" s="447"/>
      <c r="K1469" s="447"/>
      <c r="L1469" s="448"/>
      <c r="M1469" s="449"/>
      <c r="N1469" s="450"/>
    </row>
    <row r="1470" spans="5:14" ht="14.1" customHeight="1">
      <c r="E1470" s="450"/>
      <c r="F1470" s="450"/>
      <c r="G1470" s="450"/>
      <c r="H1470" s="450"/>
      <c r="I1470" s="450"/>
      <c r="J1470" s="450"/>
      <c r="K1470" s="450"/>
      <c r="L1470" s="450"/>
      <c r="M1470" s="449"/>
      <c r="N1470" s="449"/>
    </row>
    <row r="1471" spans="5:14" ht="14.1" customHeight="1">
      <c r="E1471" s="446"/>
      <c r="F1471" s="446"/>
      <c r="G1471" s="446"/>
      <c r="H1471" s="446"/>
      <c r="I1471" s="446"/>
      <c r="J1471" s="447"/>
      <c r="K1471" s="447"/>
      <c r="L1471" s="448"/>
      <c r="M1471" s="449"/>
      <c r="N1471" s="450"/>
    </row>
    <row r="1472" spans="5:14" ht="14.1" customHeight="1">
      <c r="E1472" s="450"/>
      <c r="F1472" s="450"/>
      <c r="G1472" s="450"/>
      <c r="H1472" s="450"/>
      <c r="I1472" s="450"/>
      <c r="J1472" s="450"/>
      <c r="K1472" s="450"/>
      <c r="L1472" s="450"/>
      <c r="M1472" s="449"/>
      <c r="N1472" s="449"/>
    </row>
    <row r="1473" spans="5:14" ht="14.1" customHeight="1">
      <c r="E1473" s="446"/>
      <c r="F1473" s="446"/>
      <c r="G1473" s="446"/>
      <c r="H1473" s="446"/>
      <c r="I1473" s="446"/>
      <c r="J1473" s="447"/>
      <c r="K1473" s="447"/>
      <c r="L1473" s="448"/>
      <c r="M1473" s="449"/>
      <c r="N1473" s="450"/>
    </row>
    <row r="1474" spans="5:14" ht="14.1" customHeight="1">
      <c r="E1474" s="446"/>
      <c r="F1474" s="446"/>
      <c r="G1474" s="446"/>
      <c r="H1474" s="446"/>
      <c r="I1474" s="446"/>
      <c r="J1474" s="447"/>
      <c r="K1474" s="447"/>
      <c r="L1474" s="448"/>
      <c r="M1474" s="449"/>
      <c r="N1474" s="450"/>
    </row>
    <row r="1475" spans="5:14" ht="14.1" customHeight="1">
      <c r="E1475" s="446"/>
      <c r="F1475" s="446"/>
      <c r="G1475" s="446"/>
      <c r="H1475" s="446"/>
      <c r="I1475" s="446"/>
      <c r="J1475" s="447"/>
      <c r="K1475" s="447"/>
      <c r="L1475" s="448"/>
      <c r="M1475" s="449"/>
      <c r="N1475" s="450"/>
    </row>
    <row r="1476" spans="5:14" ht="14.1" customHeight="1">
      <c r="E1476" s="450"/>
      <c r="F1476" s="450"/>
      <c r="G1476" s="450"/>
      <c r="H1476" s="450"/>
      <c r="I1476" s="450"/>
      <c r="J1476" s="450"/>
      <c r="K1476" s="450"/>
      <c r="L1476" s="450"/>
      <c r="M1476" s="449"/>
      <c r="N1476" s="449"/>
    </row>
    <row r="1477" spans="5:14" ht="14.1" customHeight="1">
      <c r="E1477" s="446"/>
      <c r="F1477" s="446"/>
      <c r="G1477" s="446"/>
      <c r="H1477" s="446"/>
      <c r="I1477" s="446"/>
      <c r="J1477" s="447"/>
      <c r="K1477" s="447"/>
      <c r="L1477" s="448"/>
      <c r="M1477" s="449"/>
      <c r="N1477" s="450"/>
    </row>
    <row r="1478" spans="5:14" ht="14.1" customHeight="1">
      <c r="E1478" s="446"/>
      <c r="F1478" s="446"/>
      <c r="G1478" s="446"/>
      <c r="H1478" s="446"/>
      <c r="I1478" s="446"/>
      <c r="J1478" s="447"/>
      <c r="K1478" s="447"/>
      <c r="L1478" s="448"/>
      <c r="M1478" s="449"/>
      <c r="N1478" s="450"/>
    </row>
    <row r="1479" spans="5:14" ht="14.1" customHeight="1">
      <c r="E1479" s="446"/>
      <c r="F1479" s="446"/>
      <c r="G1479" s="446"/>
      <c r="H1479" s="446"/>
      <c r="I1479" s="446"/>
      <c r="J1479" s="447"/>
      <c r="K1479" s="447"/>
      <c r="L1479" s="448"/>
      <c r="M1479" s="449"/>
      <c r="N1479" s="450"/>
    </row>
    <row r="1480" spans="5:14" ht="14.1" customHeight="1">
      <c r="E1480" s="450"/>
      <c r="F1480" s="450"/>
      <c r="G1480" s="450"/>
      <c r="H1480" s="450"/>
      <c r="I1480" s="450"/>
      <c r="J1480" s="450"/>
      <c r="K1480" s="450"/>
      <c r="L1480" s="450"/>
      <c r="M1480" s="450"/>
      <c r="N1480" s="450"/>
    </row>
    <row r="1481" spans="5:14" ht="14.1" customHeight="1">
      <c r="E1481" s="446"/>
      <c r="F1481" s="446"/>
      <c r="G1481" s="446"/>
      <c r="H1481" s="446"/>
      <c r="I1481" s="446"/>
      <c r="J1481" s="447"/>
      <c r="K1481" s="447"/>
      <c r="L1481" s="448"/>
      <c r="M1481" s="449"/>
      <c r="N1481" s="450"/>
    </row>
    <row r="1482" spans="5:14" ht="14.1" customHeight="1">
      <c r="E1482" s="450"/>
      <c r="F1482" s="450"/>
      <c r="G1482" s="450"/>
      <c r="H1482" s="450"/>
      <c r="I1482" s="450"/>
      <c r="J1482" s="450"/>
      <c r="K1482" s="450"/>
      <c r="L1482" s="450"/>
      <c r="M1482" s="449"/>
      <c r="N1482" s="449"/>
    </row>
    <row r="1483" spans="5:14" ht="14.1" customHeight="1">
      <c r="E1483" s="450"/>
      <c r="F1483" s="450"/>
      <c r="G1483" s="450"/>
      <c r="H1483" s="450"/>
      <c r="I1483" s="450"/>
      <c r="J1483" s="450"/>
      <c r="K1483" s="450"/>
      <c r="L1483" s="450"/>
      <c r="M1483" s="449"/>
      <c r="N1483" s="449"/>
    </row>
    <row r="1484" spans="5:14" ht="14.1" customHeight="1">
      <c r="E1484" s="446"/>
      <c r="F1484" s="446"/>
      <c r="G1484" s="446"/>
      <c r="H1484" s="446"/>
      <c r="I1484" s="446"/>
      <c r="J1484" s="447"/>
      <c r="K1484" s="447"/>
      <c r="L1484" s="448"/>
      <c r="M1484" s="449"/>
      <c r="N1484" s="450"/>
    </row>
    <row r="1485" spans="5:14" ht="14.1" customHeight="1">
      <c r="E1485" s="446"/>
      <c r="F1485" s="446"/>
      <c r="G1485" s="446"/>
      <c r="H1485" s="446"/>
      <c r="I1485" s="446"/>
      <c r="J1485" s="447"/>
      <c r="K1485" s="447"/>
      <c r="L1485" s="448"/>
      <c r="M1485" s="449"/>
      <c r="N1485" s="450"/>
    </row>
    <row r="1486" spans="5:14" ht="14.1" customHeight="1">
      <c r="E1486" s="446"/>
      <c r="F1486" s="446"/>
      <c r="G1486" s="446"/>
      <c r="H1486" s="446"/>
      <c r="I1486" s="446"/>
      <c r="J1486" s="447"/>
      <c r="K1486" s="447"/>
      <c r="L1486" s="448"/>
      <c r="M1486" s="449"/>
      <c r="N1486" s="450"/>
    </row>
    <row r="1487" spans="5:14" ht="14.1" customHeight="1">
      <c r="E1487" s="450"/>
      <c r="F1487" s="450"/>
      <c r="G1487" s="450"/>
      <c r="H1487" s="450"/>
      <c r="I1487" s="450"/>
      <c r="J1487" s="450"/>
      <c r="K1487" s="450"/>
      <c r="L1487" s="450"/>
      <c r="M1487" s="449"/>
      <c r="N1487" s="449"/>
    </row>
    <row r="1488" spans="5:14" ht="14.1" customHeight="1">
      <c r="E1488" s="446"/>
      <c r="F1488" s="446"/>
      <c r="G1488" s="446"/>
      <c r="H1488" s="446"/>
      <c r="I1488" s="446"/>
      <c r="J1488" s="447"/>
      <c r="K1488" s="447"/>
      <c r="L1488" s="448"/>
      <c r="M1488" s="449"/>
      <c r="N1488" s="450"/>
    </row>
    <row r="1489" spans="5:14" ht="14.1" customHeight="1">
      <c r="E1489" s="450"/>
      <c r="F1489" s="450"/>
      <c r="G1489" s="450"/>
      <c r="H1489" s="450"/>
      <c r="I1489" s="450"/>
      <c r="J1489" s="450"/>
      <c r="K1489" s="450"/>
      <c r="L1489" s="450"/>
      <c r="M1489" s="449"/>
      <c r="N1489" s="449"/>
    </row>
    <row r="1490" spans="5:14" ht="14.1" customHeight="1">
      <c r="E1490" s="446"/>
      <c r="F1490" s="446"/>
      <c r="G1490" s="446"/>
      <c r="H1490" s="446"/>
      <c r="I1490" s="446"/>
      <c r="J1490" s="447"/>
      <c r="K1490" s="447"/>
      <c r="L1490" s="448"/>
      <c r="M1490" s="449"/>
      <c r="N1490" s="450"/>
    </row>
    <row r="1491" spans="5:14" ht="14.1" customHeight="1">
      <c r="E1491" s="446"/>
      <c r="F1491" s="446"/>
      <c r="G1491" s="446"/>
      <c r="H1491" s="446"/>
      <c r="I1491" s="446"/>
      <c r="J1491" s="447"/>
      <c r="K1491" s="447"/>
      <c r="L1491" s="448"/>
      <c r="M1491" s="449"/>
      <c r="N1491" s="450"/>
    </row>
    <row r="1492" spans="5:14" ht="14.1" customHeight="1">
      <c r="E1492" s="450"/>
      <c r="F1492" s="450"/>
      <c r="G1492" s="450"/>
      <c r="H1492" s="450"/>
      <c r="I1492" s="450"/>
      <c r="J1492" s="450"/>
      <c r="K1492" s="450"/>
      <c r="L1492" s="450"/>
      <c r="M1492" s="449"/>
      <c r="N1492" s="449"/>
    </row>
    <row r="1493" spans="5:14" ht="14.1" customHeight="1">
      <c r="E1493" s="446"/>
      <c r="F1493" s="446"/>
      <c r="G1493" s="446"/>
      <c r="H1493" s="446"/>
      <c r="I1493" s="446"/>
      <c r="J1493" s="447"/>
      <c r="K1493" s="447"/>
      <c r="L1493" s="448"/>
      <c r="M1493" s="449"/>
      <c r="N1493" s="450"/>
    </row>
    <row r="1494" spans="5:14" ht="14.1" customHeight="1">
      <c r="E1494" s="450"/>
      <c r="F1494" s="450"/>
      <c r="G1494" s="450"/>
      <c r="H1494" s="450"/>
      <c r="I1494" s="450"/>
      <c r="J1494" s="450"/>
      <c r="K1494" s="450"/>
      <c r="L1494" s="450"/>
      <c r="M1494" s="449"/>
      <c r="N1494" s="449"/>
    </row>
    <row r="1495" spans="5:14" ht="14.1" customHeight="1">
      <c r="E1495" s="450"/>
      <c r="F1495" s="450"/>
      <c r="G1495" s="450"/>
      <c r="H1495" s="450"/>
      <c r="I1495" s="450"/>
      <c r="J1495" s="450"/>
      <c r="K1495" s="450"/>
      <c r="L1495" s="450"/>
      <c r="M1495" s="449"/>
      <c r="N1495" s="449"/>
    </row>
    <row r="1496" spans="5:14" ht="14.1" customHeight="1">
      <c r="E1496" s="446"/>
      <c r="F1496" s="446"/>
      <c r="G1496" s="446"/>
      <c r="H1496" s="446"/>
      <c r="I1496" s="446"/>
      <c r="J1496" s="447"/>
      <c r="K1496" s="447"/>
      <c r="L1496" s="448"/>
      <c r="M1496" s="449"/>
      <c r="N1496" s="450"/>
    </row>
    <row r="1497" spans="5:14" ht="14.1" customHeight="1">
      <c r="E1497" s="450"/>
      <c r="F1497" s="450"/>
      <c r="G1497" s="450"/>
      <c r="H1497" s="450"/>
      <c r="I1497" s="450"/>
      <c r="J1497" s="450"/>
      <c r="K1497" s="450"/>
      <c r="L1497" s="450"/>
      <c r="M1497" s="449"/>
      <c r="N1497" s="449"/>
    </row>
    <row r="1498" spans="5:14" ht="14.1" customHeight="1">
      <c r="E1498" s="446"/>
      <c r="F1498" s="446"/>
      <c r="G1498" s="446"/>
      <c r="H1498" s="446"/>
      <c r="I1498" s="446"/>
      <c r="J1498" s="447"/>
      <c r="K1498" s="447"/>
      <c r="L1498" s="448"/>
      <c r="M1498" s="449"/>
      <c r="N1498" s="450"/>
    </row>
    <row r="1499" spans="5:14" ht="14.1" customHeight="1">
      <c r="E1499" s="446"/>
      <c r="F1499" s="446"/>
      <c r="G1499" s="446"/>
      <c r="H1499" s="446"/>
      <c r="I1499" s="446"/>
      <c r="J1499" s="447"/>
      <c r="K1499" s="447"/>
      <c r="L1499" s="448"/>
      <c r="M1499" s="449"/>
      <c r="N1499" s="450"/>
    </row>
    <row r="1500" spans="5:14" ht="14.1" customHeight="1">
      <c r="E1500" s="450"/>
      <c r="F1500" s="450"/>
      <c r="G1500" s="450"/>
      <c r="H1500" s="450"/>
      <c r="I1500" s="450"/>
      <c r="J1500" s="450"/>
      <c r="K1500" s="450"/>
      <c r="L1500" s="450"/>
      <c r="M1500" s="449"/>
      <c r="N1500" s="449"/>
    </row>
    <row r="1501" spans="5:14" ht="14.1" customHeight="1">
      <c r="E1501" s="446"/>
      <c r="F1501" s="446"/>
      <c r="G1501" s="446"/>
      <c r="H1501" s="446"/>
      <c r="I1501" s="446"/>
      <c r="J1501" s="447"/>
      <c r="K1501" s="447"/>
      <c r="L1501" s="448"/>
      <c r="M1501" s="449"/>
      <c r="N1501" s="450"/>
    </row>
    <row r="1502" spans="5:14" ht="14.1" customHeight="1">
      <c r="E1502" s="450"/>
      <c r="F1502" s="450"/>
      <c r="G1502" s="450"/>
      <c r="H1502" s="450"/>
      <c r="I1502" s="450"/>
      <c r="J1502" s="450"/>
      <c r="K1502" s="450"/>
      <c r="L1502" s="450"/>
      <c r="M1502" s="449"/>
      <c r="N1502" s="449"/>
    </row>
    <row r="1503" spans="5:14" ht="14.1" customHeight="1">
      <c r="E1503" s="446"/>
      <c r="F1503" s="446"/>
      <c r="G1503" s="446"/>
      <c r="H1503" s="446"/>
      <c r="I1503" s="446"/>
      <c r="J1503" s="447"/>
      <c r="K1503" s="447"/>
      <c r="L1503" s="448"/>
      <c r="M1503" s="449"/>
      <c r="N1503" s="450"/>
    </row>
    <row r="1504" spans="5:14" ht="14.1" customHeight="1">
      <c r="E1504" s="450"/>
      <c r="F1504" s="450"/>
      <c r="G1504" s="450"/>
      <c r="H1504" s="450"/>
      <c r="I1504" s="450"/>
      <c r="J1504" s="450"/>
      <c r="K1504" s="450"/>
      <c r="L1504" s="450"/>
      <c r="M1504" s="449"/>
      <c r="N1504" s="449"/>
    </row>
    <row r="1505" spans="5:14" ht="14.1" customHeight="1">
      <c r="E1505" s="446"/>
      <c r="F1505" s="446"/>
      <c r="G1505" s="446"/>
      <c r="H1505" s="446"/>
      <c r="I1505" s="446"/>
      <c r="J1505" s="447"/>
      <c r="K1505" s="447"/>
      <c r="L1505" s="448"/>
      <c r="M1505" s="449"/>
      <c r="N1505" s="450"/>
    </row>
    <row r="1506" spans="5:14" ht="14.1" customHeight="1">
      <c r="E1506" s="446"/>
      <c r="F1506" s="446"/>
      <c r="G1506" s="446"/>
      <c r="H1506" s="446"/>
      <c r="I1506" s="446"/>
      <c r="J1506" s="447"/>
      <c r="K1506" s="447"/>
      <c r="L1506" s="448"/>
      <c r="M1506" s="449"/>
      <c r="N1506" s="450"/>
    </row>
    <row r="1507" spans="5:14" ht="14.1" customHeight="1">
      <c r="E1507" s="450"/>
      <c r="F1507" s="450"/>
      <c r="G1507" s="450"/>
      <c r="H1507" s="450"/>
      <c r="I1507" s="450"/>
      <c r="J1507" s="450"/>
      <c r="K1507" s="450"/>
      <c r="L1507" s="450"/>
      <c r="M1507" s="449"/>
      <c r="N1507" s="449"/>
    </row>
    <row r="1508" spans="5:14" ht="14.1" customHeight="1">
      <c r="E1508" s="450"/>
      <c r="F1508" s="450"/>
      <c r="G1508" s="450"/>
      <c r="H1508" s="450"/>
      <c r="I1508" s="450"/>
      <c r="J1508" s="450"/>
      <c r="K1508" s="450"/>
      <c r="L1508" s="450"/>
      <c r="M1508" s="449"/>
      <c r="N1508" s="449"/>
    </row>
    <row r="1509" spans="5:14" ht="14.1" customHeight="1">
      <c r="E1509" s="446"/>
      <c r="F1509" s="446"/>
      <c r="G1509" s="446"/>
      <c r="H1509" s="446"/>
      <c r="I1509" s="446"/>
      <c r="J1509" s="447"/>
      <c r="K1509" s="447"/>
      <c r="L1509" s="448"/>
      <c r="M1509" s="449"/>
      <c r="N1509" s="450"/>
    </row>
    <row r="1510" spans="5:14" ht="14.1" customHeight="1">
      <c r="E1510" s="450"/>
      <c r="F1510" s="450"/>
      <c r="G1510" s="450"/>
      <c r="H1510" s="450"/>
      <c r="I1510" s="450"/>
      <c r="J1510" s="450"/>
      <c r="K1510" s="450"/>
      <c r="L1510" s="450"/>
      <c r="M1510" s="449"/>
      <c r="N1510" s="449"/>
    </row>
    <row r="1511" spans="5:14" ht="14.1" customHeight="1">
      <c r="E1511" s="450"/>
      <c r="F1511" s="450"/>
      <c r="G1511" s="450"/>
      <c r="H1511" s="450"/>
      <c r="I1511" s="450"/>
      <c r="J1511" s="450"/>
      <c r="K1511" s="450"/>
      <c r="L1511" s="450"/>
      <c r="M1511" s="449"/>
      <c r="N1511" s="449"/>
    </row>
    <row r="1512" spans="5:14" ht="14.1" customHeight="1">
      <c r="E1512" s="446"/>
      <c r="F1512" s="446"/>
      <c r="G1512" s="446"/>
      <c r="H1512" s="446"/>
      <c r="I1512" s="446"/>
      <c r="J1512" s="447"/>
      <c r="K1512" s="447"/>
      <c r="L1512" s="448"/>
      <c r="M1512" s="449"/>
      <c r="N1512" s="450"/>
    </row>
    <row r="1513" spans="5:14" ht="14.1" customHeight="1">
      <c r="E1513" s="446"/>
      <c r="F1513" s="446"/>
      <c r="G1513" s="446"/>
      <c r="H1513" s="446"/>
      <c r="I1513" s="446"/>
      <c r="J1513" s="447"/>
      <c r="K1513" s="447"/>
      <c r="L1513" s="448"/>
      <c r="M1513" s="449"/>
      <c r="N1513" s="450"/>
    </row>
    <row r="1514" spans="5:14" ht="14.1" customHeight="1">
      <c r="E1514" s="450"/>
      <c r="F1514" s="450"/>
      <c r="G1514" s="450"/>
      <c r="H1514" s="450"/>
      <c r="I1514" s="450"/>
      <c r="J1514" s="450"/>
      <c r="K1514" s="450"/>
      <c r="L1514" s="450"/>
      <c r="M1514" s="449"/>
      <c r="N1514" s="449"/>
    </row>
    <row r="1515" spans="5:14" ht="14.1" customHeight="1">
      <c r="E1515" s="446"/>
      <c r="F1515" s="446"/>
      <c r="G1515" s="446"/>
      <c r="H1515" s="446"/>
      <c r="I1515" s="446"/>
      <c r="J1515" s="447"/>
      <c r="K1515" s="447"/>
      <c r="L1515" s="448"/>
      <c r="M1515" s="449"/>
      <c r="N1515" s="450"/>
    </row>
    <row r="1516" spans="5:14" ht="14.1" customHeight="1">
      <c r="E1516" s="446"/>
      <c r="F1516" s="446"/>
      <c r="G1516" s="446"/>
      <c r="H1516" s="446"/>
      <c r="I1516" s="446"/>
      <c r="J1516" s="447"/>
      <c r="K1516" s="447"/>
      <c r="L1516" s="448"/>
      <c r="M1516" s="449"/>
      <c r="N1516" s="450"/>
    </row>
    <row r="1517" spans="5:14" ht="14.1" customHeight="1">
      <c r="E1517" s="446"/>
      <c r="F1517" s="446"/>
      <c r="G1517" s="446"/>
      <c r="H1517" s="446"/>
      <c r="I1517" s="446"/>
      <c r="J1517" s="447"/>
      <c r="K1517" s="447"/>
      <c r="L1517" s="448"/>
      <c r="M1517" s="449"/>
      <c r="N1517" s="450"/>
    </row>
    <row r="1518" spans="5:14" ht="14.1" customHeight="1">
      <c r="E1518" s="450"/>
      <c r="F1518" s="450"/>
      <c r="G1518" s="450"/>
      <c r="H1518" s="450"/>
      <c r="I1518" s="450"/>
      <c r="J1518" s="450"/>
      <c r="K1518" s="450"/>
      <c r="L1518" s="450"/>
      <c r="M1518" s="449"/>
      <c r="N1518" s="449"/>
    </row>
    <row r="1519" spans="5:14" ht="14.1" customHeight="1">
      <c r="E1519" s="446"/>
      <c r="F1519" s="446"/>
      <c r="G1519" s="446"/>
      <c r="H1519" s="446"/>
      <c r="I1519" s="446"/>
      <c r="J1519" s="447"/>
      <c r="K1519" s="447"/>
      <c r="L1519" s="448"/>
      <c r="M1519" s="449"/>
      <c r="N1519" s="450"/>
    </row>
    <row r="1520" spans="5:14" ht="14.1" customHeight="1">
      <c r="E1520" s="446"/>
      <c r="F1520" s="446"/>
      <c r="G1520" s="446"/>
      <c r="H1520" s="446"/>
      <c r="I1520" s="446"/>
      <c r="J1520" s="447"/>
      <c r="K1520" s="447"/>
      <c r="L1520" s="448"/>
      <c r="M1520" s="449"/>
      <c r="N1520" s="450"/>
    </row>
    <row r="1521" spans="5:14" ht="14.1" customHeight="1">
      <c r="E1521" s="446"/>
      <c r="F1521" s="446"/>
      <c r="G1521" s="446"/>
      <c r="H1521" s="446"/>
      <c r="I1521" s="446"/>
      <c r="J1521" s="447"/>
      <c r="K1521" s="447"/>
      <c r="L1521" s="448"/>
      <c r="M1521" s="449"/>
      <c r="N1521" s="450"/>
    </row>
    <row r="1522" spans="5:14" ht="14.1" customHeight="1">
      <c r="E1522" s="450"/>
      <c r="F1522" s="450"/>
      <c r="G1522" s="450"/>
      <c r="H1522" s="450"/>
      <c r="I1522" s="450"/>
      <c r="J1522" s="450"/>
      <c r="K1522" s="450"/>
      <c r="L1522" s="450"/>
      <c r="M1522" s="449"/>
      <c r="N1522" s="449"/>
    </row>
    <row r="1523" spans="5:14" ht="14.1" customHeight="1">
      <c r="E1523" s="446"/>
      <c r="F1523" s="446"/>
      <c r="G1523" s="446"/>
      <c r="H1523" s="446"/>
      <c r="I1523" s="446"/>
      <c r="J1523" s="447"/>
      <c r="K1523" s="447"/>
      <c r="L1523" s="448"/>
      <c r="M1523" s="449"/>
      <c r="N1523" s="450"/>
    </row>
    <row r="1524" spans="5:14" ht="14.1" customHeight="1">
      <c r="E1524" s="446"/>
      <c r="F1524" s="446"/>
      <c r="G1524" s="446"/>
      <c r="H1524" s="446"/>
      <c r="I1524" s="446"/>
      <c r="J1524" s="447"/>
      <c r="K1524" s="447"/>
      <c r="L1524" s="448"/>
      <c r="M1524" s="449"/>
      <c r="N1524" s="450"/>
    </row>
    <row r="1525" spans="5:14" ht="14.1" customHeight="1">
      <c r="E1525" s="450"/>
      <c r="F1525" s="450"/>
      <c r="G1525" s="450"/>
      <c r="H1525" s="450"/>
      <c r="I1525" s="450"/>
      <c r="J1525" s="450"/>
      <c r="K1525" s="450"/>
      <c r="L1525" s="450"/>
      <c r="M1525" s="449"/>
      <c r="N1525" s="449"/>
    </row>
    <row r="1526" spans="5:14" ht="14.1" customHeight="1">
      <c r="E1526" s="450"/>
      <c r="F1526" s="450"/>
      <c r="G1526" s="450"/>
      <c r="H1526" s="450"/>
      <c r="I1526" s="450"/>
      <c r="J1526" s="450"/>
      <c r="K1526" s="450"/>
      <c r="L1526" s="450"/>
      <c r="M1526" s="450"/>
      <c r="N1526" s="450"/>
    </row>
    <row r="1527" spans="5:14" ht="14.1" customHeight="1">
      <c r="E1527" s="446"/>
      <c r="F1527" s="446"/>
      <c r="G1527" s="446"/>
      <c r="H1527" s="446"/>
      <c r="I1527" s="446"/>
      <c r="J1527" s="447"/>
      <c r="K1527" s="447"/>
      <c r="L1527" s="448"/>
      <c r="M1527" s="449"/>
      <c r="N1527" s="450"/>
    </row>
    <row r="1528" spans="5:14" ht="14.1" customHeight="1">
      <c r="E1528" s="446"/>
      <c r="F1528" s="446"/>
      <c r="G1528" s="446"/>
      <c r="H1528" s="446"/>
      <c r="I1528" s="446"/>
      <c r="J1528" s="447"/>
      <c r="K1528" s="447"/>
      <c r="L1528" s="448"/>
      <c r="M1528" s="449"/>
      <c r="N1528" s="450"/>
    </row>
    <row r="1529" spans="5:14" ht="14.1" customHeight="1">
      <c r="E1529" s="450"/>
      <c r="F1529" s="450"/>
      <c r="G1529" s="450"/>
      <c r="H1529" s="450"/>
      <c r="I1529" s="450"/>
      <c r="J1529" s="450"/>
      <c r="K1529" s="450"/>
      <c r="L1529" s="450"/>
      <c r="M1529" s="449"/>
      <c r="N1529" s="449"/>
    </row>
    <row r="1530" spans="5:14" ht="14.1" customHeight="1">
      <c r="E1530" s="450"/>
      <c r="F1530" s="450"/>
      <c r="G1530" s="450"/>
      <c r="H1530" s="450"/>
      <c r="I1530" s="450"/>
      <c r="J1530" s="450"/>
      <c r="K1530" s="450"/>
      <c r="L1530" s="450"/>
      <c r="M1530" s="449"/>
      <c r="N1530" s="449"/>
    </row>
    <row r="1531" spans="5:14" ht="14.1" customHeight="1">
      <c r="E1531" s="446"/>
      <c r="F1531" s="446"/>
      <c r="G1531" s="446"/>
      <c r="H1531" s="446"/>
      <c r="I1531" s="446"/>
      <c r="J1531" s="447"/>
      <c r="K1531" s="447"/>
      <c r="L1531" s="448"/>
      <c r="M1531" s="449"/>
      <c r="N1531" s="450"/>
    </row>
    <row r="1532" spans="5:14" ht="14.1" customHeight="1">
      <c r="E1532" s="450"/>
      <c r="F1532" s="450"/>
      <c r="G1532" s="450"/>
      <c r="H1532" s="450"/>
      <c r="I1532" s="450"/>
      <c r="J1532" s="450"/>
      <c r="K1532" s="450"/>
      <c r="L1532" s="450"/>
      <c r="M1532" s="449"/>
      <c r="N1532" s="449"/>
    </row>
    <row r="1533" spans="5:14" ht="14.1" customHeight="1">
      <c r="E1533" s="446"/>
      <c r="F1533" s="446"/>
      <c r="G1533" s="446"/>
      <c r="H1533" s="446"/>
      <c r="I1533" s="446"/>
      <c r="J1533" s="447"/>
      <c r="K1533" s="447"/>
      <c r="L1533" s="448"/>
      <c r="M1533" s="449"/>
      <c r="N1533" s="450"/>
    </row>
    <row r="1534" spans="5:14" ht="14.1" customHeight="1">
      <c r="E1534" s="446"/>
      <c r="F1534" s="446"/>
      <c r="G1534" s="446"/>
      <c r="H1534" s="446"/>
      <c r="I1534" s="446"/>
      <c r="J1534" s="447"/>
      <c r="K1534" s="447"/>
      <c r="L1534" s="448"/>
      <c r="M1534" s="449"/>
      <c r="N1534" s="450"/>
    </row>
    <row r="1535" spans="5:14" ht="14.1" customHeight="1">
      <c r="E1535" s="446"/>
      <c r="F1535" s="446"/>
      <c r="G1535" s="446"/>
      <c r="H1535" s="446"/>
      <c r="I1535" s="446"/>
      <c r="J1535" s="447"/>
      <c r="K1535" s="447"/>
      <c r="L1535" s="448"/>
      <c r="M1535" s="449"/>
      <c r="N1535" s="450"/>
    </row>
    <row r="1536" spans="5:14" ht="14.1" customHeight="1">
      <c r="E1536" s="446"/>
      <c r="F1536" s="446"/>
      <c r="G1536" s="446"/>
      <c r="H1536" s="446"/>
      <c r="I1536" s="446"/>
      <c r="J1536" s="447"/>
      <c r="K1536" s="447"/>
      <c r="L1536" s="448"/>
      <c r="M1536" s="449"/>
      <c r="N1536" s="450"/>
    </row>
    <row r="1537" spans="5:14" ht="14.1" customHeight="1">
      <c r="E1537" s="450"/>
      <c r="F1537" s="450"/>
      <c r="G1537" s="450"/>
      <c r="H1537" s="450"/>
      <c r="I1537" s="450"/>
      <c r="J1537" s="450"/>
      <c r="K1537" s="450"/>
      <c r="L1537" s="450"/>
      <c r="M1537" s="449"/>
      <c r="N1537" s="449"/>
    </row>
    <row r="1538" spans="5:14" ht="14.1" customHeight="1">
      <c r="E1538" s="446"/>
      <c r="F1538" s="446"/>
      <c r="G1538" s="446"/>
      <c r="H1538" s="446"/>
      <c r="I1538" s="446"/>
      <c r="J1538" s="447"/>
      <c r="K1538" s="447"/>
      <c r="L1538" s="448"/>
      <c r="M1538" s="449"/>
      <c r="N1538" s="450"/>
    </row>
    <row r="1539" spans="5:14" ht="14.1" customHeight="1">
      <c r="E1539" s="446"/>
      <c r="F1539" s="446"/>
      <c r="G1539" s="446"/>
      <c r="H1539" s="446"/>
      <c r="I1539" s="446"/>
      <c r="J1539" s="447"/>
      <c r="K1539" s="447"/>
      <c r="L1539" s="448"/>
      <c r="M1539" s="449"/>
      <c r="N1539" s="450"/>
    </row>
    <row r="1540" spans="5:14" ht="14.1" customHeight="1">
      <c r="E1540" s="450"/>
      <c r="F1540" s="450"/>
      <c r="G1540" s="450"/>
      <c r="H1540" s="450"/>
      <c r="I1540" s="450"/>
      <c r="J1540" s="450"/>
      <c r="K1540" s="450"/>
      <c r="L1540" s="450"/>
      <c r="M1540" s="449"/>
      <c r="N1540" s="449"/>
    </row>
    <row r="1541" spans="5:14" ht="14.1" customHeight="1">
      <c r="E1541" s="446"/>
      <c r="F1541" s="446"/>
      <c r="G1541" s="446"/>
      <c r="H1541" s="446"/>
      <c r="I1541" s="446"/>
      <c r="J1541" s="447"/>
      <c r="K1541" s="447"/>
      <c r="L1541" s="448"/>
      <c r="M1541" s="449"/>
      <c r="N1541" s="450"/>
    </row>
    <row r="1542" spans="5:14" ht="14.1" customHeight="1">
      <c r="E1542" s="450"/>
      <c r="F1542" s="450"/>
      <c r="G1542" s="450"/>
      <c r="H1542" s="450"/>
      <c r="I1542" s="450"/>
      <c r="J1542" s="450"/>
      <c r="K1542" s="450"/>
      <c r="L1542" s="450"/>
      <c r="M1542" s="449"/>
      <c r="N1542" s="449"/>
    </row>
    <row r="1543" spans="5:14" ht="14.1" customHeight="1">
      <c r="E1543" s="446"/>
      <c r="F1543" s="446"/>
      <c r="G1543" s="446"/>
      <c r="H1543" s="446"/>
      <c r="I1543" s="446"/>
      <c r="J1543" s="447"/>
      <c r="K1543" s="447"/>
      <c r="L1543" s="448"/>
      <c r="M1543" s="449"/>
      <c r="N1543" s="450"/>
    </row>
    <row r="1544" spans="5:14" ht="14.1" customHeight="1">
      <c r="E1544" s="450"/>
      <c r="F1544" s="450"/>
      <c r="G1544" s="450"/>
      <c r="H1544" s="450"/>
      <c r="I1544" s="450"/>
      <c r="J1544" s="450"/>
      <c r="K1544" s="450"/>
      <c r="L1544" s="450"/>
      <c r="M1544" s="449"/>
      <c r="N1544" s="449"/>
    </row>
    <row r="1545" spans="5:14" ht="14.1" customHeight="1">
      <c r="E1545" s="446"/>
      <c r="F1545" s="446"/>
      <c r="G1545" s="446"/>
      <c r="H1545" s="446"/>
      <c r="I1545" s="446"/>
      <c r="J1545" s="447"/>
      <c r="K1545" s="447"/>
      <c r="L1545" s="448"/>
      <c r="M1545" s="449"/>
      <c r="N1545" s="450"/>
    </row>
    <row r="1546" spans="5:14" ht="14.1" customHeight="1">
      <c r="E1546" s="450"/>
      <c r="F1546" s="450"/>
      <c r="G1546" s="450"/>
      <c r="H1546" s="450"/>
      <c r="I1546" s="450"/>
      <c r="J1546" s="450"/>
      <c r="K1546" s="450"/>
      <c r="L1546" s="450"/>
      <c r="M1546" s="449"/>
      <c r="N1546" s="449"/>
    </row>
    <row r="1547" spans="5:14" ht="14.1" customHeight="1">
      <c r="E1547" s="446"/>
      <c r="F1547" s="446"/>
      <c r="G1547" s="446"/>
      <c r="H1547" s="446"/>
      <c r="I1547" s="446"/>
      <c r="J1547" s="447"/>
      <c r="K1547" s="447"/>
      <c r="L1547" s="448"/>
      <c r="M1547" s="449"/>
      <c r="N1547" s="450"/>
    </row>
    <row r="1548" spans="5:14" ht="14.1" customHeight="1">
      <c r="E1548" s="450"/>
      <c r="F1548" s="450"/>
      <c r="G1548" s="450"/>
      <c r="H1548" s="450"/>
      <c r="I1548" s="450"/>
      <c r="J1548" s="450"/>
      <c r="K1548" s="450"/>
      <c r="L1548" s="450"/>
      <c r="M1548" s="449"/>
      <c r="N1548" s="449"/>
    </row>
    <row r="1549" spans="5:14" ht="14.1" customHeight="1">
      <c r="E1549" s="446"/>
      <c r="F1549" s="446"/>
      <c r="G1549" s="446"/>
      <c r="H1549" s="446"/>
      <c r="I1549" s="446"/>
      <c r="J1549" s="447"/>
      <c r="K1549" s="447"/>
      <c r="L1549" s="448"/>
      <c r="M1549" s="449"/>
      <c r="N1549" s="450"/>
    </row>
    <row r="1550" spans="5:14" ht="14.1" customHeight="1">
      <c r="E1550" s="446"/>
      <c r="F1550" s="446"/>
      <c r="G1550" s="446"/>
      <c r="H1550" s="446"/>
      <c r="I1550" s="446"/>
      <c r="J1550" s="447"/>
      <c r="K1550" s="447"/>
      <c r="L1550" s="448"/>
      <c r="M1550" s="449"/>
      <c r="N1550" s="450"/>
    </row>
    <row r="1551" spans="5:14" ht="14.1" customHeight="1">
      <c r="E1551" s="450"/>
      <c r="F1551" s="450"/>
      <c r="G1551" s="450"/>
      <c r="H1551" s="450"/>
      <c r="I1551" s="450"/>
      <c r="J1551" s="450"/>
      <c r="K1551" s="450"/>
      <c r="L1551" s="450"/>
      <c r="M1551" s="449"/>
      <c r="N1551" s="449"/>
    </row>
    <row r="1552" spans="5:14" ht="14.1" customHeight="1">
      <c r="E1552" s="446"/>
      <c r="F1552" s="446"/>
      <c r="G1552" s="446"/>
      <c r="H1552" s="446"/>
      <c r="I1552" s="446"/>
      <c r="J1552" s="447"/>
      <c r="K1552" s="447"/>
      <c r="L1552" s="448"/>
      <c r="M1552" s="449"/>
      <c r="N1552" s="450"/>
    </row>
    <row r="1553" spans="5:14" ht="14.1" customHeight="1">
      <c r="E1553" s="450"/>
      <c r="F1553" s="450"/>
      <c r="G1553" s="450"/>
      <c r="H1553" s="450"/>
      <c r="I1553" s="450"/>
      <c r="J1553" s="450"/>
      <c r="K1553" s="450"/>
      <c r="L1553" s="450"/>
      <c r="M1553" s="449"/>
      <c r="N1553" s="449"/>
    </row>
    <row r="1554" spans="5:14" ht="14.1" customHeight="1">
      <c r="E1554" s="446"/>
      <c r="F1554" s="446"/>
      <c r="G1554" s="446"/>
      <c r="H1554" s="446"/>
      <c r="I1554" s="446"/>
      <c r="J1554" s="447"/>
      <c r="K1554" s="447"/>
      <c r="L1554" s="448"/>
      <c r="M1554" s="449"/>
      <c r="N1554" s="450"/>
    </row>
    <row r="1555" spans="5:14" ht="14.1" customHeight="1">
      <c r="E1555" s="446"/>
      <c r="F1555" s="446"/>
      <c r="G1555" s="446"/>
      <c r="H1555" s="446"/>
      <c r="I1555" s="446"/>
      <c r="J1555" s="447"/>
      <c r="K1555" s="447"/>
      <c r="L1555" s="448"/>
      <c r="M1555" s="449"/>
      <c r="N1555" s="450"/>
    </row>
    <row r="1556" spans="5:14" ht="14.1" customHeight="1">
      <c r="E1556" s="446"/>
      <c r="F1556" s="446"/>
      <c r="G1556" s="446"/>
      <c r="H1556" s="446"/>
      <c r="I1556" s="446"/>
      <c r="J1556" s="447"/>
      <c r="K1556" s="447"/>
      <c r="L1556" s="448"/>
      <c r="M1556" s="449"/>
      <c r="N1556" s="450"/>
    </row>
    <row r="1557" spans="5:14" ht="14.1" customHeight="1">
      <c r="E1557" s="446"/>
      <c r="F1557" s="446"/>
      <c r="G1557" s="446"/>
      <c r="H1557" s="446"/>
      <c r="I1557" s="446"/>
      <c r="J1557" s="447"/>
      <c r="K1557" s="447"/>
      <c r="L1557" s="448"/>
      <c r="M1557" s="449"/>
      <c r="N1557" s="450"/>
    </row>
    <row r="1558" spans="5:14" ht="14.1" customHeight="1">
      <c r="E1558" s="450"/>
      <c r="F1558" s="450"/>
      <c r="G1558" s="450"/>
      <c r="H1558" s="450"/>
      <c r="I1558" s="450"/>
      <c r="J1558" s="450"/>
      <c r="K1558" s="450"/>
      <c r="L1558" s="450"/>
      <c r="M1558" s="449"/>
      <c r="N1558" s="449"/>
    </row>
    <row r="1559" spans="5:14" ht="14.1" customHeight="1">
      <c r="E1559" s="446"/>
      <c r="F1559" s="446"/>
      <c r="G1559" s="446"/>
      <c r="H1559" s="446"/>
      <c r="I1559" s="446"/>
      <c r="J1559" s="447"/>
      <c r="K1559" s="447"/>
      <c r="L1559" s="448"/>
      <c r="M1559" s="449"/>
      <c r="N1559" s="450"/>
    </row>
    <row r="1560" spans="5:14" ht="14.1" customHeight="1">
      <c r="E1560" s="446"/>
      <c r="F1560" s="446"/>
      <c r="G1560" s="446"/>
      <c r="H1560" s="446"/>
      <c r="I1560" s="446"/>
      <c r="J1560" s="447"/>
      <c r="K1560" s="447"/>
      <c r="L1560" s="448"/>
      <c r="M1560" s="449"/>
      <c r="N1560" s="450"/>
    </row>
    <row r="1561" spans="5:14" ht="14.1" customHeight="1">
      <c r="E1561" s="450"/>
      <c r="F1561" s="450"/>
      <c r="G1561" s="450"/>
      <c r="H1561" s="450"/>
      <c r="I1561" s="450"/>
      <c r="J1561" s="450"/>
      <c r="K1561" s="450"/>
      <c r="L1561" s="450"/>
      <c r="M1561" s="449"/>
      <c r="N1561" s="449"/>
    </row>
    <row r="1562" spans="5:14" ht="14.1" customHeight="1">
      <c r="E1562" s="450"/>
      <c r="F1562" s="450"/>
      <c r="G1562" s="450"/>
      <c r="H1562" s="450"/>
      <c r="I1562" s="450"/>
      <c r="J1562" s="450"/>
      <c r="K1562" s="450"/>
      <c r="L1562" s="450"/>
      <c r="M1562" s="449"/>
      <c r="N1562" s="449"/>
    </row>
    <row r="1563" spans="5:14" ht="14.1" customHeight="1">
      <c r="E1563" s="446"/>
      <c r="F1563" s="446"/>
      <c r="G1563" s="446"/>
      <c r="H1563" s="446"/>
      <c r="I1563" s="446"/>
      <c r="J1563" s="447"/>
      <c r="K1563" s="447"/>
      <c r="L1563" s="448"/>
      <c r="M1563" s="449"/>
      <c r="N1563" s="450"/>
    </row>
    <row r="1564" spans="5:14" ht="14.1" customHeight="1">
      <c r="E1564" s="450"/>
      <c r="F1564" s="450"/>
      <c r="G1564" s="450"/>
      <c r="H1564" s="450"/>
      <c r="I1564" s="450"/>
      <c r="J1564" s="450"/>
      <c r="K1564" s="450"/>
      <c r="L1564" s="450"/>
      <c r="M1564" s="449"/>
      <c r="N1564" s="449"/>
    </row>
    <row r="1565" spans="5:14" ht="14.1" customHeight="1">
      <c r="E1565" s="450"/>
      <c r="F1565" s="450"/>
      <c r="G1565" s="450"/>
      <c r="H1565" s="450"/>
      <c r="I1565" s="450"/>
      <c r="J1565" s="450"/>
      <c r="K1565" s="450"/>
      <c r="L1565" s="450"/>
      <c r="M1565" s="449"/>
      <c r="N1565" s="449"/>
    </row>
    <row r="1566" spans="5:14" ht="14.1" customHeight="1">
      <c r="E1566" s="446"/>
      <c r="F1566" s="446"/>
      <c r="G1566" s="446"/>
      <c r="H1566" s="446"/>
      <c r="I1566" s="446"/>
      <c r="J1566" s="447"/>
      <c r="K1566" s="447"/>
      <c r="L1566" s="448"/>
      <c r="M1566" s="449"/>
      <c r="N1566" s="450"/>
    </row>
    <row r="1567" spans="5:14" ht="14.1" customHeight="1">
      <c r="E1567" s="446"/>
      <c r="F1567" s="446"/>
      <c r="G1567" s="446"/>
      <c r="H1567" s="446"/>
      <c r="I1567" s="446"/>
      <c r="J1567" s="447"/>
      <c r="K1567" s="447"/>
      <c r="L1567" s="448"/>
      <c r="M1567" s="449"/>
      <c r="N1567" s="450"/>
    </row>
    <row r="1568" spans="5:14" ht="14.1" customHeight="1">
      <c r="E1568" s="446"/>
      <c r="F1568" s="446"/>
      <c r="G1568" s="446"/>
      <c r="H1568" s="446"/>
      <c r="I1568" s="446"/>
      <c r="J1568" s="447"/>
      <c r="K1568" s="447"/>
      <c r="L1568" s="448"/>
      <c r="M1568" s="449"/>
      <c r="N1568" s="450"/>
    </row>
    <row r="1569" spans="5:14" ht="14.1" customHeight="1">
      <c r="E1569" s="446"/>
      <c r="F1569" s="446"/>
      <c r="G1569" s="446"/>
      <c r="H1569" s="446"/>
      <c r="I1569" s="446"/>
      <c r="J1569" s="447"/>
      <c r="K1569" s="447"/>
      <c r="L1569" s="448"/>
      <c r="M1569" s="449"/>
      <c r="N1569" s="450"/>
    </row>
    <row r="1570" spans="5:14" ht="14.1" customHeight="1">
      <c r="E1570" s="446"/>
      <c r="F1570" s="446"/>
      <c r="G1570" s="446"/>
      <c r="H1570" s="446"/>
      <c r="I1570" s="446"/>
      <c r="J1570" s="447"/>
      <c r="K1570" s="447"/>
      <c r="L1570" s="448"/>
      <c r="M1570" s="449"/>
      <c r="N1570" s="450"/>
    </row>
    <row r="1571" spans="5:14" ht="14.1" customHeight="1">
      <c r="E1571" s="446"/>
      <c r="F1571" s="446"/>
      <c r="G1571" s="446"/>
      <c r="H1571" s="446"/>
      <c r="I1571" s="446"/>
      <c r="J1571" s="447"/>
      <c r="K1571" s="447"/>
      <c r="L1571" s="448"/>
      <c r="M1571" s="449"/>
      <c r="N1571" s="450"/>
    </row>
    <row r="1572" spans="5:14" ht="14.1" customHeight="1">
      <c r="E1572" s="446"/>
      <c r="F1572" s="446"/>
      <c r="G1572" s="446"/>
      <c r="H1572" s="446"/>
      <c r="I1572" s="446"/>
      <c r="J1572" s="447"/>
      <c r="K1572" s="447"/>
      <c r="L1572" s="448"/>
      <c r="M1572" s="449"/>
      <c r="N1572" s="450"/>
    </row>
    <row r="1573" spans="5:14" ht="14.1" customHeight="1">
      <c r="E1573" s="450"/>
      <c r="F1573" s="450"/>
      <c r="G1573" s="450"/>
      <c r="H1573" s="450"/>
      <c r="I1573" s="450"/>
      <c r="J1573" s="450"/>
      <c r="K1573" s="450"/>
      <c r="L1573" s="450"/>
      <c r="M1573" s="450"/>
      <c r="N1573" s="450"/>
    </row>
    <row r="1574" spans="5:14" ht="14.1" customHeight="1">
      <c r="E1574" s="446"/>
      <c r="F1574" s="446"/>
      <c r="G1574" s="446"/>
      <c r="H1574" s="446"/>
      <c r="I1574" s="446"/>
      <c r="J1574" s="447"/>
      <c r="K1574" s="447"/>
      <c r="L1574" s="448"/>
      <c r="M1574" s="449"/>
      <c r="N1574" s="450"/>
    </row>
    <row r="1575" spans="5:14" ht="14.1" customHeight="1">
      <c r="E1575" s="446"/>
      <c r="F1575" s="446"/>
      <c r="G1575" s="446"/>
      <c r="H1575" s="446"/>
      <c r="I1575" s="446"/>
      <c r="J1575" s="447"/>
      <c r="K1575" s="447"/>
      <c r="L1575" s="448"/>
      <c r="M1575" s="449"/>
      <c r="N1575" s="450"/>
    </row>
    <row r="1576" spans="5:14" ht="14.1" customHeight="1">
      <c r="E1576" s="446"/>
      <c r="F1576" s="446"/>
      <c r="G1576" s="446"/>
      <c r="H1576" s="446"/>
      <c r="I1576" s="446"/>
      <c r="J1576" s="447"/>
      <c r="K1576" s="447"/>
      <c r="L1576" s="448"/>
      <c r="M1576" s="449"/>
      <c r="N1576" s="450"/>
    </row>
    <row r="1577" spans="5:14" ht="14.1" customHeight="1">
      <c r="E1577" s="446"/>
      <c r="F1577" s="446"/>
      <c r="G1577" s="446"/>
      <c r="H1577" s="446"/>
      <c r="I1577" s="446"/>
      <c r="J1577" s="447"/>
      <c r="K1577" s="447"/>
      <c r="L1577" s="448"/>
      <c r="M1577" s="449"/>
      <c r="N1577" s="450"/>
    </row>
    <row r="1578" spans="5:14" ht="14.1" customHeight="1">
      <c r="E1578" s="446"/>
      <c r="F1578" s="446"/>
      <c r="G1578" s="446"/>
      <c r="H1578" s="446"/>
      <c r="I1578" s="446"/>
      <c r="J1578" s="447"/>
      <c r="K1578" s="447"/>
      <c r="L1578" s="448"/>
      <c r="M1578" s="449"/>
      <c r="N1578" s="450"/>
    </row>
    <row r="1579" spans="5:14" ht="14.1" customHeight="1">
      <c r="E1579" s="446"/>
      <c r="F1579" s="446"/>
      <c r="G1579" s="446"/>
      <c r="H1579" s="446"/>
      <c r="I1579" s="446"/>
      <c r="J1579" s="447"/>
      <c r="K1579" s="447"/>
      <c r="L1579" s="448"/>
      <c r="M1579" s="449"/>
      <c r="N1579" s="450"/>
    </row>
    <row r="1580" spans="5:14" ht="14.1" customHeight="1">
      <c r="E1580" s="446"/>
      <c r="F1580" s="446"/>
      <c r="G1580" s="446"/>
      <c r="H1580" s="446"/>
      <c r="I1580" s="446"/>
      <c r="J1580" s="447"/>
      <c r="K1580" s="447"/>
      <c r="L1580" s="448"/>
      <c r="M1580" s="449"/>
      <c r="N1580" s="450"/>
    </row>
    <row r="1581" spans="5:14" ht="14.1" customHeight="1">
      <c r="E1581" s="446"/>
      <c r="F1581" s="446"/>
      <c r="G1581" s="446"/>
      <c r="H1581" s="446"/>
      <c r="I1581" s="446"/>
      <c r="J1581" s="447"/>
      <c r="K1581" s="447"/>
      <c r="L1581" s="448"/>
      <c r="M1581" s="449"/>
      <c r="N1581" s="450"/>
    </row>
    <row r="1582" spans="5:14" ht="14.1" customHeight="1">
      <c r="E1582" s="446"/>
      <c r="F1582" s="446"/>
      <c r="G1582" s="446"/>
      <c r="H1582" s="446"/>
      <c r="I1582" s="446"/>
      <c r="J1582" s="447"/>
      <c r="K1582" s="447"/>
      <c r="L1582" s="448"/>
      <c r="M1582" s="449"/>
      <c r="N1582" s="450"/>
    </row>
    <row r="1583" spans="5:14" ht="14.1" customHeight="1">
      <c r="E1583" s="446"/>
      <c r="F1583" s="446"/>
      <c r="G1583" s="446"/>
      <c r="H1583" s="446"/>
      <c r="I1583" s="446"/>
      <c r="J1583" s="447"/>
      <c r="K1583" s="447"/>
      <c r="L1583" s="448"/>
      <c r="M1583" s="449"/>
      <c r="N1583" s="450"/>
    </row>
    <row r="1584" spans="5:14" ht="14.1" customHeight="1">
      <c r="E1584" s="446"/>
      <c r="F1584" s="446"/>
      <c r="G1584" s="446"/>
      <c r="H1584" s="446"/>
      <c r="I1584" s="446"/>
      <c r="J1584" s="447"/>
      <c r="K1584" s="447"/>
      <c r="L1584" s="448"/>
      <c r="M1584" s="449"/>
      <c r="N1584" s="450"/>
    </row>
    <row r="1585" spans="5:14" ht="14.1" customHeight="1">
      <c r="E1585" s="450"/>
      <c r="F1585" s="450"/>
      <c r="G1585" s="450"/>
      <c r="H1585" s="450"/>
      <c r="I1585" s="450"/>
      <c r="J1585" s="450"/>
      <c r="K1585" s="450"/>
      <c r="L1585" s="450"/>
      <c r="M1585" s="449"/>
      <c r="N1585" s="449"/>
    </row>
    <row r="1586" spans="5:14" ht="14.1" customHeight="1">
      <c r="E1586" s="446"/>
      <c r="F1586" s="446"/>
      <c r="G1586" s="446"/>
      <c r="H1586" s="446"/>
      <c r="I1586" s="446"/>
      <c r="J1586" s="447"/>
      <c r="K1586" s="447"/>
      <c r="L1586" s="448"/>
      <c r="M1586" s="449"/>
      <c r="N1586" s="450"/>
    </row>
    <row r="1587" spans="5:14" ht="14.1" customHeight="1">
      <c r="E1587" s="450"/>
      <c r="F1587" s="450"/>
      <c r="G1587" s="450"/>
      <c r="H1587" s="450"/>
      <c r="I1587" s="450"/>
      <c r="J1587" s="450"/>
      <c r="K1587" s="450"/>
      <c r="L1587" s="450"/>
      <c r="M1587" s="449"/>
      <c r="N1587" s="449"/>
    </row>
    <row r="1588" spans="5:14" ht="14.1" customHeight="1">
      <c r="E1588" s="446"/>
      <c r="F1588" s="446"/>
      <c r="G1588" s="446"/>
      <c r="H1588" s="446"/>
      <c r="I1588" s="446"/>
      <c r="J1588" s="447"/>
      <c r="K1588" s="447"/>
      <c r="L1588" s="448"/>
      <c r="M1588" s="449"/>
      <c r="N1588" s="450"/>
    </row>
    <row r="1589" spans="5:14" ht="14.1" customHeight="1">
      <c r="E1589" s="446"/>
      <c r="F1589" s="446"/>
      <c r="G1589" s="446"/>
      <c r="H1589" s="446"/>
      <c r="I1589" s="446"/>
      <c r="J1589" s="447"/>
      <c r="K1589" s="447"/>
      <c r="L1589" s="448"/>
      <c r="M1589" s="449"/>
      <c r="N1589" s="450"/>
    </row>
    <row r="1590" spans="5:14" ht="14.1" customHeight="1">
      <c r="E1590" s="450"/>
      <c r="F1590" s="450"/>
      <c r="G1590" s="450"/>
      <c r="H1590" s="450"/>
      <c r="I1590" s="450"/>
      <c r="J1590" s="450"/>
      <c r="K1590" s="450"/>
      <c r="L1590" s="450"/>
      <c r="M1590" s="449"/>
      <c r="N1590" s="449"/>
    </row>
    <row r="1591" spans="5:14" ht="14.1" customHeight="1">
      <c r="E1591" s="446"/>
      <c r="F1591" s="446"/>
      <c r="G1591" s="446"/>
      <c r="H1591" s="446"/>
      <c r="I1591" s="446"/>
      <c r="J1591" s="447"/>
      <c r="K1591" s="447"/>
      <c r="L1591" s="448"/>
      <c r="M1591" s="449"/>
      <c r="N1591" s="450"/>
    </row>
    <row r="1592" spans="5:14" ht="14.1" customHeight="1">
      <c r="E1592" s="450"/>
      <c r="F1592" s="450"/>
      <c r="G1592" s="450"/>
      <c r="H1592" s="450"/>
      <c r="I1592" s="450"/>
      <c r="J1592" s="450"/>
      <c r="K1592" s="450"/>
      <c r="L1592" s="450"/>
      <c r="M1592" s="449"/>
      <c r="N1592" s="449"/>
    </row>
    <row r="1593" spans="5:14" ht="14.1" customHeight="1">
      <c r="E1593" s="446"/>
      <c r="F1593" s="446"/>
      <c r="G1593" s="446"/>
      <c r="H1593" s="446"/>
      <c r="I1593" s="446"/>
      <c r="J1593" s="447"/>
      <c r="K1593" s="447"/>
      <c r="L1593" s="448"/>
      <c r="M1593" s="449"/>
      <c r="N1593" s="450"/>
    </row>
    <row r="1594" spans="5:14" ht="14.1" customHeight="1">
      <c r="E1594" s="450"/>
      <c r="F1594" s="450"/>
      <c r="G1594" s="450"/>
      <c r="H1594" s="450"/>
      <c r="I1594" s="450"/>
      <c r="J1594" s="450"/>
      <c r="K1594" s="450"/>
      <c r="L1594" s="450"/>
      <c r="M1594" s="449"/>
      <c r="N1594" s="449"/>
    </row>
    <row r="1595" spans="5:14" ht="14.1" customHeight="1">
      <c r="E1595" s="446"/>
      <c r="F1595" s="446"/>
      <c r="G1595" s="446"/>
      <c r="H1595" s="446"/>
      <c r="I1595" s="446"/>
      <c r="J1595" s="447"/>
      <c r="K1595" s="447"/>
      <c r="L1595" s="448"/>
      <c r="M1595" s="449"/>
      <c r="N1595" s="450"/>
    </row>
    <row r="1596" spans="5:14" ht="14.1" customHeight="1">
      <c r="E1596" s="446"/>
      <c r="F1596" s="446"/>
      <c r="G1596" s="446"/>
      <c r="H1596" s="446"/>
      <c r="I1596" s="446"/>
      <c r="J1596" s="447"/>
      <c r="K1596" s="447"/>
      <c r="L1596" s="448"/>
      <c r="M1596" s="449"/>
      <c r="N1596" s="450"/>
    </row>
    <row r="1597" spans="5:14" ht="14.1" customHeight="1">
      <c r="E1597" s="446"/>
      <c r="F1597" s="446"/>
      <c r="G1597" s="446"/>
      <c r="H1597" s="446"/>
      <c r="I1597" s="446"/>
      <c r="J1597" s="447"/>
      <c r="K1597" s="447"/>
      <c r="L1597" s="448"/>
      <c r="M1597" s="449"/>
      <c r="N1597" s="450"/>
    </row>
    <row r="1598" spans="5:14" ht="14.1" customHeight="1">
      <c r="E1598" s="446"/>
      <c r="F1598" s="446"/>
      <c r="G1598" s="446"/>
      <c r="H1598" s="446"/>
      <c r="I1598" s="446"/>
      <c r="J1598" s="447"/>
      <c r="K1598" s="447"/>
      <c r="L1598" s="448"/>
      <c r="M1598" s="449"/>
      <c r="N1598" s="450"/>
    </row>
    <row r="1599" spans="5:14" ht="14.1" customHeight="1">
      <c r="E1599" s="450"/>
      <c r="F1599" s="450"/>
      <c r="G1599" s="450"/>
      <c r="H1599" s="450"/>
      <c r="I1599" s="450"/>
      <c r="J1599" s="450"/>
      <c r="K1599" s="450"/>
      <c r="L1599" s="450"/>
      <c r="M1599" s="449"/>
      <c r="N1599" s="449"/>
    </row>
    <row r="1600" spans="5:14" ht="14.1" customHeight="1">
      <c r="E1600" s="446"/>
      <c r="F1600" s="446"/>
      <c r="G1600" s="446"/>
      <c r="H1600" s="446"/>
      <c r="I1600" s="446"/>
      <c r="J1600" s="447"/>
      <c r="K1600" s="447"/>
      <c r="L1600" s="448"/>
      <c r="M1600" s="449"/>
      <c r="N1600" s="450"/>
    </row>
    <row r="1601" spans="5:14" ht="14.1" customHeight="1">
      <c r="E1601" s="450"/>
      <c r="F1601" s="450"/>
      <c r="G1601" s="450"/>
      <c r="H1601" s="450"/>
      <c r="I1601" s="450"/>
      <c r="J1601" s="450"/>
      <c r="K1601" s="450"/>
      <c r="L1601" s="450"/>
      <c r="M1601" s="449"/>
      <c r="N1601" s="449"/>
    </row>
    <row r="1602" spans="5:14" ht="14.1" customHeight="1">
      <c r="E1602" s="446"/>
      <c r="F1602" s="446"/>
      <c r="G1602" s="446"/>
      <c r="H1602" s="446"/>
      <c r="I1602" s="446"/>
      <c r="J1602" s="447"/>
      <c r="K1602" s="447"/>
      <c r="L1602" s="448"/>
      <c r="M1602" s="449"/>
      <c r="N1602" s="450"/>
    </row>
    <row r="1603" spans="5:14" ht="14.1" customHeight="1">
      <c r="E1603" s="446"/>
      <c r="F1603" s="446"/>
      <c r="G1603" s="446"/>
      <c r="H1603" s="446"/>
      <c r="I1603" s="446"/>
      <c r="J1603" s="447"/>
      <c r="K1603" s="447"/>
      <c r="L1603" s="448"/>
      <c r="M1603" s="449"/>
      <c r="N1603" s="450"/>
    </row>
    <row r="1604" spans="5:14" ht="14.1" customHeight="1">
      <c r="E1604" s="450"/>
      <c r="F1604" s="450"/>
      <c r="G1604" s="450"/>
      <c r="H1604" s="450"/>
      <c r="I1604" s="450"/>
      <c r="J1604" s="450"/>
      <c r="K1604" s="450"/>
      <c r="L1604" s="450"/>
      <c r="M1604" s="449"/>
      <c r="N1604" s="449"/>
    </row>
    <row r="1605" spans="5:14" ht="14.1" customHeight="1">
      <c r="E1605" s="446"/>
      <c r="F1605" s="446"/>
      <c r="G1605" s="446"/>
      <c r="H1605" s="446"/>
      <c r="I1605" s="446"/>
      <c r="J1605" s="447"/>
      <c r="K1605" s="447"/>
      <c r="L1605" s="448"/>
      <c r="M1605" s="449"/>
      <c r="N1605" s="450"/>
    </row>
    <row r="1606" spans="5:14" ht="14.1" customHeight="1">
      <c r="E1606" s="446"/>
      <c r="F1606" s="446"/>
      <c r="G1606" s="446"/>
      <c r="H1606" s="446"/>
      <c r="I1606" s="446"/>
      <c r="J1606" s="447"/>
      <c r="K1606" s="447"/>
      <c r="L1606" s="448"/>
      <c r="M1606" s="449"/>
      <c r="N1606" s="450"/>
    </row>
    <row r="1607" spans="5:14" ht="14.1" customHeight="1">
      <c r="E1607" s="446"/>
      <c r="F1607" s="446"/>
      <c r="G1607" s="446"/>
      <c r="H1607" s="446"/>
      <c r="I1607" s="446"/>
      <c r="J1607" s="447"/>
      <c r="K1607" s="447"/>
      <c r="L1607" s="448"/>
      <c r="M1607" s="449"/>
      <c r="N1607" s="450"/>
    </row>
    <row r="1608" spans="5:14" ht="14.1" customHeight="1">
      <c r="E1608" s="446"/>
      <c r="F1608" s="446"/>
      <c r="G1608" s="446"/>
      <c r="H1608" s="446"/>
      <c r="I1608" s="446"/>
      <c r="J1608" s="447"/>
      <c r="K1608" s="447"/>
      <c r="L1608" s="448"/>
      <c r="M1608" s="449"/>
      <c r="N1608" s="450"/>
    </row>
    <row r="1609" spans="5:14" ht="14.1" customHeight="1">
      <c r="E1609" s="446"/>
      <c r="F1609" s="446"/>
      <c r="G1609" s="446"/>
      <c r="H1609" s="446"/>
      <c r="I1609" s="446"/>
      <c r="J1609" s="447"/>
      <c r="K1609" s="447"/>
      <c r="L1609" s="448"/>
      <c r="M1609" s="449"/>
      <c r="N1609" s="450"/>
    </row>
    <row r="1610" spans="5:14" ht="14.1" customHeight="1">
      <c r="E1610" s="446"/>
      <c r="F1610" s="446"/>
      <c r="G1610" s="446"/>
      <c r="H1610" s="446"/>
      <c r="I1610" s="446"/>
      <c r="J1610" s="447"/>
      <c r="K1610" s="447"/>
      <c r="L1610" s="448"/>
      <c r="M1610" s="449"/>
      <c r="N1610" s="450"/>
    </row>
    <row r="1611" spans="5:14" ht="14.1" customHeight="1">
      <c r="E1611" s="446"/>
      <c r="F1611" s="446"/>
      <c r="G1611" s="446"/>
      <c r="H1611" s="446"/>
      <c r="I1611" s="446"/>
      <c r="J1611" s="447"/>
      <c r="K1611" s="447"/>
      <c r="L1611" s="448"/>
      <c r="M1611" s="449"/>
      <c r="N1611" s="450"/>
    </row>
    <row r="1612" spans="5:14" ht="14.1" customHeight="1">
      <c r="E1612" s="446"/>
      <c r="F1612" s="446"/>
      <c r="G1612" s="446"/>
      <c r="H1612" s="446"/>
      <c r="I1612" s="446"/>
      <c r="J1612" s="447"/>
      <c r="K1612" s="447"/>
      <c r="L1612" s="448"/>
      <c r="M1612" s="449"/>
      <c r="N1612" s="450"/>
    </row>
    <row r="1613" spans="5:14" ht="14.1" customHeight="1">
      <c r="E1613" s="446"/>
      <c r="F1613" s="446"/>
      <c r="G1613" s="446"/>
      <c r="H1613" s="446"/>
      <c r="I1613" s="446"/>
      <c r="J1613" s="447"/>
      <c r="K1613" s="447"/>
      <c r="L1613" s="448"/>
      <c r="M1613" s="449"/>
      <c r="N1613" s="450"/>
    </row>
    <row r="1614" spans="5:14" ht="14.1" customHeight="1">
      <c r="E1614" s="446"/>
      <c r="F1614" s="446"/>
      <c r="G1614" s="446"/>
      <c r="H1614" s="446"/>
      <c r="I1614" s="446"/>
      <c r="J1614" s="447"/>
      <c r="K1614" s="447"/>
      <c r="L1614" s="448"/>
      <c r="M1614" s="449"/>
      <c r="N1614" s="450"/>
    </row>
    <row r="1615" spans="5:14" ht="14.1" customHeight="1">
      <c r="E1615" s="446"/>
      <c r="F1615" s="446"/>
      <c r="G1615" s="446"/>
      <c r="H1615" s="446"/>
      <c r="I1615" s="446"/>
      <c r="J1615" s="447"/>
      <c r="K1615" s="447"/>
      <c r="L1615" s="448"/>
      <c r="M1615" s="449"/>
      <c r="N1615" s="450"/>
    </row>
    <row r="1616" spans="5:14" ht="14.1" customHeight="1">
      <c r="E1616" s="450"/>
      <c r="F1616" s="450"/>
      <c r="G1616" s="450"/>
      <c r="H1616" s="450"/>
      <c r="I1616" s="450"/>
      <c r="J1616" s="450"/>
      <c r="K1616" s="450"/>
      <c r="L1616" s="450"/>
      <c r="M1616" s="449"/>
      <c r="N1616" s="449"/>
    </row>
    <row r="1617" spans="5:14" ht="14.1" customHeight="1">
      <c r="E1617" s="450"/>
      <c r="F1617" s="450"/>
      <c r="G1617" s="450"/>
      <c r="H1617" s="450"/>
      <c r="I1617" s="450"/>
      <c r="J1617" s="450"/>
      <c r="K1617" s="450"/>
      <c r="L1617" s="450"/>
      <c r="M1617" s="449"/>
      <c r="N1617" s="449"/>
    </row>
    <row r="1618" spans="5:14" ht="14.1" customHeight="1">
      <c r="E1618" s="446"/>
      <c r="F1618" s="446"/>
      <c r="G1618" s="446"/>
      <c r="H1618" s="446"/>
      <c r="I1618" s="446"/>
      <c r="J1618" s="447"/>
      <c r="K1618" s="447"/>
      <c r="L1618" s="448"/>
      <c r="M1618" s="449"/>
      <c r="N1618" s="450"/>
    </row>
    <row r="1619" spans="5:14" ht="14.1" customHeight="1">
      <c r="E1619" s="446"/>
      <c r="F1619" s="446"/>
      <c r="G1619" s="446"/>
      <c r="H1619" s="446"/>
      <c r="I1619" s="446"/>
      <c r="J1619" s="447"/>
      <c r="K1619" s="447"/>
      <c r="L1619" s="448"/>
      <c r="M1619" s="449"/>
      <c r="N1619" s="450"/>
    </row>
    <row r="1620" spans="5:14" ht="14.1" customHeight="1">
      <c r="E1620" s="446"/>
      <c r="F1620" s="446"/>
      <c r="G1620" s="446"/>
      <c r="H1620" s="446"/>
      <c r="I1620" s="446"/>
      <c r="J1620" s="447"/>
      <c r="K1620" s="447"/>
      <c r="L1620" s="448"/>
      <c r="M1620" s="449"/>
      <c r="N1620" s="450"/>
    </row>
    <row r="1621" spans="5:14" ht="14.1" customHeight="1">
      <c r="E1621" s="446"/>
      <c r="F1621" s="446"/>
      <c r="G1621" s="446"/>
      <c r="H1621" s="446"/>
      <c r="I1621" s="446"/>
      <c r="J1621" s="447"/>
      <c r="K1621" s="447"/>
      <c r="L1621" s="448"/>
      <c r="M1621" s="449"/>
      <c r="N1621" s="450"/>
    </row>
    <row r="1622" spans="5:14" ht="14.1" customHeight="1">
      <c r="E1622" s="450"/>
      <c r="F1622" s="450"/>
      <c r="G1622" s="450"/>
      <c r="H1622" s="450"/>
      <c r="I1622" s="450"/>
      <c r="J1622" s="450"/>
      <c r="K1622" s="450"/>
      <c r="L1622" s="450"/>
      <c r="M1622" s="450"/>
      <c r="N1622" s="450"/>
    </row>
    <row r="1623" spans="5:14" ht="14.1" customHeight="1">
      <c r="E1623" s="450"/>
      <c r="F1623" s="450"/>
      <c r="G1623" s="450"/>
      <c r="H1623" s="450"/>
      <c r="I1623" s="450"/>
      <c r="J1623" s="450"/>
      <c r="K1623" s="450"/>
      <c r="L1623" s="450"/>
      <c r="M1623" s="449"/>
      <c r="N1623" s="449"/>
    </row>
    <row r="1624" spans="5:14" ht="14.1" customHeight="1">
      <c r="E1624" s="446"/>
      <c r="F1624" s="446"/>
      <c r="G1624" s="446"/>
      <c r="H1624" s="446"/>
      <c r="I1624" s="446"/>
      <c r="J1624" s="447"/>
      <c r="K1624" s="447"/>
      <c r="L1624" s="448"/>
      <c r="M1624" s="449"/>
      <c r="N1624" s="450"/>
    </row>
    <row r="1625" spans="5:14" ht="14.1" customHeight="1">
      <c r="E1625" s="446"/>
      <c r="F1625" s="446"/>
      <c r="G1625" s="446"/>
      <c r="H1625" s="446"/>
      <c r="I1625" s="446"/>
      <c r="J1625" s="447"/>
      <c r="K1625" s="447"/>
      <c r="L1625" s="448"/>
      <c r="M1625" s="449"/>
      <c r="N1625" s="450"/>
    </row>
    <row r="1626" spans="5:14" ht="14.1" customHeight="1">
      <c r="E1626" s="450"/>
      <c r="F1626" s="450"/>
      <c r="G1626" s="450"/>
      <c r="H1626" s="450"/>
      <c r="I1626" s="450"/>
      <c r="J1626" s="450"/>
      <c r="K1626" s="450"/>
      <c r="L1626" s="450"/>
      <c r="M1626" s="449"/>
      <c r="N1626" s="449"/>
    </row>
    <row r="1627" spans="5:14" ht="14.1" customHeight="1">
      <c r="E1627" s="446"/>
      <c r="F1627" s="446"/>
      <c r="G1627" s="446"/>
      <c r="H1627" s="446"/>
      <c r="I1627" s="446"/>
      <c r="J1627" s="447"/>
      <c r="K1627" s="447"/>
      <c r="L1627" s="448"/>
      <c r="M1627" s="449"/>
      <c r="N1627" s="450"/>
    </row>
    <row r="1628" spans="5:14" ht="14.1" customHeight="1">
      <c r="E1628" s="446"/>
      <c r="F1628" s="446"/>
      <c r="G1628" s="446"/>
      <c r="H1628" s="446"/>
      <c r="I1628" s="446"/>
      <c r="J1628" s="447"/>
      <c r="K1628" s="447"/>
      <c r="L1628" s="448"/>
      <c r="M1628" s="449"/>
      <c r="N1628" s="450"/>
    </row>
    <row r="1629" spans="5:14" ht="14.1" customHeight="1">
      <c r="E1629" s="450"/>
      <c r="F1629" s="450"/>
      <c r="G1629" s="450"/>
      <c r="H1629" s="450"/>
      <c r="I1629" s="450"/>
      <c r="J1629" s="450"/>
      <c r="K1629" s="450"/>
      <c r="L1629" s="450"/>
      <c r="M1629" s="449"/>
      <c r="N1629" s="449"/>
    </row>
    <row r="1630" spans="5:14" ht="14.1" customHeight="1">
      <c r="E1630" s="446"/>
      <c r="F1630" s="446"/>
      <c r="G1630" s="446"/>
      <c r="H1630" s="446"/>
      <c r="I1630" s="446"/>
      <c r="J1630" s="447"/>
      <c r="K1630" s="447"/>
      <c r="L1630" s="448"/>
      <c r="M1630" s="449"/>
      <c r="N1630" s="450"/>
    </row>
    <row r="1631" spans="5:14" ht="14.1" customHeight="1">
      <c r="E1631" s="450"/>
      <c r="F1631" s="450"/>
      <c r="G1631" s="450"/>
      <c r="H1631" s="450"/>
      <c r="I1631" s="450"/>
      <c r="J1631" s="450"/>
      <c r="K1631" s="450"/>
      <c r="L1631" s="450"/>
      <c r="M1631" s="449"/>
      <c r="N1631" s="449"/>
    </row>
    <row r="1632" spans="5:14" ht="14.1" customHeight="1">
      <c r="E1632" s="446"/>
      <c r="F1632" s="446"/>
      <c r="G1632" s="446"/>
      <c r="H1632" s="446"/>
      <c r="I1632" s="446"/>
      <c r="J1632" s="447"/>
      <c r="K1632" s="447"/>
      <c r="L1632" s="448"/>
      <c r="M1632" s="449"/>
      <c r="N1632" s="450"/>
    </row>
    <row r="1633" spans="5:14" ht="14.1" customHeight="1">
      <c r="E1633" s="446"/>
      <c r="F1633" s="446"/>
      <c r="G1633" s="446"/>
      <c r="H1633" s="446"/>
      <c r="I1633" s="446"/>
      <c r="J1633" s="447"/>
      <c r="K1633" s="447"/>
      <c r="L1633" s="448"/>
      <c r="M1633" s="449"/>
      <c r="N1633" s="450"/>
    </row>
    <row r="1634" spans="5:14" ht="14.1" customHeight="1">
      <c r="E1634" s="446"/>
      <c r="F1634" s="446"/>
      <c r="G1634" s="446"/>
      <c r="H1634" s="446"/>
      <c r="I1634" s="446"/>
      <c r="J1634" s="447"/>
      <c r="K1634" s="447"/>
      <c r="L1634" s="448"/>
      <c r="M1634" s="449"/>
      <c r="N1634" s="450"/>
    </row>
    <row r="1635" spans="5:14" ht="14.1" customHeight="1">
      <c r="E1635" s="450"/>
      <c r="F1635" s="450"/>
      <c r="G1635" s="450"/>
      <c r="H1635" s="450"/>
      <c r="I1635" s="450"/>
      <c r="J1635" s="450"/>
      <c r="K1635" s="450"/>
      <c r="L1635" s="450"/>
      <c r="M1635" s="449"/>
      <c r="N1635" s="449"/>
    </row>
    <row r="1636" spans="5:14" ht="14.1" customHeight="1">
      <c r="E1636" s="446"/>
      <c r="F1636" s="446"/>
      <c r="G1636" s="446"/>
      <c r="H1636" s="446"/>
      <c r="I1636" s="446"/>
      <c r="J1636" s="447"/>
      <c r="K1636" s="447"/>
      <c r="L1636" s="448"/>
      <c r="M1636" s="449"/>
      <c r="N1636" s="450"/>
    </row>
    <row r="1637" spans="5:14" ht="14.1" customHeight="1">
      <c r="E1637" s="450"/>
      <c r="F1637" s="450"/>
      <c r="G1637" s="450"/>
      <c r="H1637" s="450"/>
      <c r="I1637" s="450"/>
      <c r="J1637" s="450"/>
      <c r="K1637" s="450"/>
      <c r="L1637" s="450"/>
      <c r="M1637" s="449"/>
      <c r="N1637" s="449"/>
    </row>
    <row r="1638" spans="5:14" ht="14.1" customHeight="1">
      <c r="E1638" s="446"/>
      <c r="F1638" s="446"/>
      <c r="G1638" s="446"/>
      <c r="H1638" s="446"/>
      <c r="I1638" s="446"/>
      <c r="J1638" s="447"/>
      <c r="K1638" s="447"/>
      <c r="L1638" s="448"/>
      <c r="M1638" s="449"/>
      <c r="N1638" s="450"/>
    </row>
    <row r="1639" spans="5:14" ht="14.1" customHeight="1">
      <c r="E1639" s="446"/>
      <c r="F1639" s="446"/>
      <c r="G1639" s="446"/>
      <c r="H1639" s="446"/>
      <c r="I1639" s="446"/>
      <c r="J1639" s="447"/>
      <c r="K1639" s="447"/>
      <c r="L1639" s="448"/>
      <c r="M1639" s="449"/>
      <c r="N1639" s="450"/>
    </row>
    <row r="1640" spans="5:14" ht="14.1" customHeight="1">
      <c r="E1640" s="450"/>
      <c r="F1640" s="450"/>
      <c r="G1640" s="450"/>
      <c r="H1640" s="450"/>
      <c r="I1640" s="450"/>
      <c r="J1640" s="450"/>
      <c r="K1640" s="450"/>
      <c r="L1640" s="450"/>
      <c r="M1640" s="449"/>
      <c r="N1640" s="449"/>
    </row>
    <row r="1641" spans="5:14" ht="14.1" customHeight="1">
      <c r="E1641" s="450"/>
      <c r="F1641" s="450"/>
      <c r="G1641" s="450"/>
      <c r="H1641" s="450"/>
      <c r="I1641" s="450"/>
      <c r="J1641" s="450"/>
      <c r="K1641" s="450"/>
      <c r="L1641" s="450"/>
      <c r="M1641" s="449"/>
      <c r="N1641" s="449"/>
    </row>
    <row r="1642" spans="5:14" ht="14.1" customHeight="1">
      <c r="E1642" s="446"/>
      <c r="F1642" s="446"/>
      <c r="G1642" s="446"/>
      <c r="H1642" s="446"/>
      <c r="I1642" s="446"/>
      <c r="J1642" s="447"/>
      <c r="K1642" s="447"/>
      <c r="L1642" s="448"/>
      <c r="M1642" s="449"/>
      <c r="N1642" s="450"/>
    </row>
    <row r="1643" spans="5:14" ht="14.1" customHeight="1">
      <c r="E1643" s="446"/>
      <c r="F1643" s="446"/>
      <c r="G1643" s="446"/>
      <c r="H1643" s="446"/>
      <c r="I1643" s="446"/>
      <c r="J1643" s="447"/>
      <c r="K1643" s="447"/>
      <c r="L1643" s="448"/>
      <c r="M1643" s="449"/>
      <c r="N1643" s="450"/>
    </row>
    <row r="1644" spans="5:14" ht="14.1" customHeight="1">
      <c r="E1644" s="446"/>
      <c r="F1644" s="446"/>
      <c r="G1644" s="446"/>
      <c r="H1644" s="446"/>
      <c r="I1644" s="446"/>
      <c r="J1644" s="447"/>
      <c r="K1644" s="447"/>
      <c r="L1644" s="448"/>
      <c r="M1644" s="449"/>
      <c r="N1644" s="450"/>
    </row>
    <row r="1645" spans="5:14" ht="14.1" customHeight="1">
      <c r="E1645" s="450"/>
      <c r="F1645" s="450"/>
      <c r="G1645" s="450"/>
      <c r="H1645" s="450"/>
      <c r="I1645" s="450"/>
      <c r="J1645" s="450"/>
      <c r="K1645" s="450"/>
      <c r="L1645" s="450"/>
      <c r="M1645" s="449"/>
      <c r="N1645" s="449"/>
    </row>
    <row r="1646" spans="5:14" ht="14.1" customHeight="1">
      <c r="E1646" s="446"/>
      <c r="F1646" s="446"/>
      <c r="G1646" s="446"/>
      <c r="H1646" s="446"/>
      <c r="I1646" s="446"/>
      <c r="J1646" s="447"/>
      <c r="K1646" s="447"/>
      <c r="L1646" s="448"/>
      <c r="M1646" s="449"/>
      <c r="N1646" s="450"/>
    </row>
    <row r="1647" spans="5:14" ht="14.1" customHeight="1">
      <c r="E1647" s="446"/>
      <c r="F1647" s="446"/>
      <c r="G1647" s="446"/>
      <c r="H1647" s="446"/>
      <c r="I1647" s="446"/>
      <c r="J1647" s="447"/>
      <c r="K1647" s="447"/>
      <c r="L1647" s="448"/>
      <c r="M1647" s="449"/>
      <c r="N1647" s="450"/>
    </row>
    <row r="1648" spans="5:14" ht="14.1" customHeight="1">
      <c r="E1648" s="450"/>
      <c r="F1648" s="450"/>
      <c r="G1648" s="450"/>
      <c r="H1648" s="450"/>
      <c r="I1648" s="450"/>
      <c r="J1648" s="450"/>
      <c r="K1648" s="450"/>
      <c r="L1648" s="450"/>
      <c r="M1648" s="449"/>
      <c r="N1648" s="449"/>
    </row>
    <row r="1649" spans="5:14" ht="14.1" customHeight="1">
      <c r="E1649" s="446"/>
      <c r="F1649" s="446"/>
      <c r="G1649" s="446"/>
      <c r="H1649" s="446"/>
      <c r="I1649" s="446"/>
      <c r="J1649" s="447"/>
      <c r="K1649" s="447"/>
      <c r="L1649" s="448"/>
      <c r="M1649" s="449"/>
      <c r="N1649" s="450"/>
    </row>
    <row r="1650" spans="5:14" ht="14.1" customHeight="1">
      <c r="E1650" s="446"/>
      <c r="F1650" s="446"/>
      <c r="G1650" s="446"/>
      <c r="H1650" s="446"/>
      <c r="I1650" s="446"/>
      <c r="J1650" s="447"/>
      <c r="K1650" s="447"/>
      <c r="L1650" s="448"/>
      <c r="M1650" s="449"/>
      <c r="N1650" s="450"/>
    </row>
    <row r="1651" spans="5:14" ht="14.1" customHeight="1">
      <c r="E1651" s="450"/>
      <c r="F1651" s="450"/>
      <c r="G1651" s="450"/>
      <c r="H1651" s="450"/>
      <c r="I1651" s="450"/>
      <c r="J1651" s="450"/>
      <c r="K1651" s="450"/>
      <c r="L1651" s="450"/>
      <c r="M1651" s="449"/>
      <c r="N1651" s="449"/>
    </row>
    <row r="1652" spans="5:14" ht="14.1" customHeight="1">
      <c r="E1652" s="446"/>
      <c r="F1652" s="446"/>
      <c r="G1652" s="446"/>
      <c r="H1652" s="446"/>
      <c r="I1652" s="446"/>
      <c r="J1652" s="447"/>
      <c r="K1652" s="447"/>
      <c r="L1652" s="448"/>
      <c r="M1652" s="449"/>
      <c r="N1652" s="450"/>
    </row>
    <row r="1653" spans="5:14" ht="14.1" customHeight="1">
      <c r="E1653" s="446"/>
      <c r="F1653" s="446"/>
      <c r="G1653" s="446"/>
      <c r="H1653" s="446"/>
      <c r="I1653" s="446"/>
      <c r="J1653" s="447"/>
      <c r="K1653" s="447"/>
      <c r="L1653" s="448"/>
      <c r="M1653" s="449"/>
      <c r="N1653" s="450"/>
    </row>
    <row r="1654" spans="5:14" ht="14.1" customHeight="1">
      <c r="E1654" s="446"/>
      <c r="F1654" s="446"/>
      <c r="G1654" s="446"/>
      <c r="H1654" s="446"/>
      <c r="I1654" s="446"/>
      <c r="J1654" s="447"/>
      <c r="K1654" s="447"/>
      <c r="L1654" s="448"/>
      <c r="M1654" s="449"/>
      <c r="N1654" s="450"/>
    </row>
    <row r="1655" spans="5:14" ht="14.1" customHeight="1">
      <c r="E1655" s="446"/>
      <c r="F1655" s="446"/>
      <c r="G1655" s="446"/>
      <c r="H1655" s="446"/>
      <c r="I1655" s="446"/>
      <c r="J1655" s="447"/>
      <c r="K1655" s="447"/>
      <c r="L1655" s="448"/>
      <c r="M1655" s="449"/>
      <c r="N1655" s="450"/>
    </row>
    <row r="1656" spans="5:14" ht="14.1" customHeight="1">
      <c r="E1656" s="450"/>
      <c r="F1656" s="450"/>
      <c r="G1656" s="450"/>
      <c r="H1656" s="450"/>
      <c r="I1656" s="450"/>
      <c r="J1656" s="450"/>
      <c r="K1656" s="450"/>
      <c r="L1656" s="450"/>
      <c r="M1656" s="449"/>
      <c r="N1656" s="449"/>
    </row>
    <row r="1657" spans="5:14" ht="14.1" customHeight="1">
      <c r="E1657" s="446"/>
      <c r="F1657" s="446"/>
      <c r="G1657" s="446"/>
      <c r="H1657" s="446"/>
      <c r="I1657" s="446"/>
      <c r="J1657" s="447"/>
      <c r="K1657" s="447"/>
      <c r="L1657" s="448"/>
      <c r="M1657" s="449"/>
      <c r="N1657" s="450"/>
    </row>
    <row r="1658" spans="5:14" ht="14.1" customHeight="1">
      <c r="E1658" s="450"/>
      <c r="F1658" s="450"/>
      <c r="G1658" s="450"/>
      <c r="H1658" s="450"/>
      <c r="I1658" s="450"/>
      <c r="J1658" s="450"/>
      <c r="K1658" s="450"/>
      <c r="L1658" s="450"/>
      <c r="M1658" s="449"/>
      <c r="N1658" s="449"/>
    </row>
    <row r="1659" spans="5:14" ht="14.1" customHeight="1">
      <c r="E1659" s="446"/>
      <c r="F1659" s="446"/>
      <c r="G1659" s="446"/>
      <c r="H1659" s="446"/>
      <c r="I1659" s="446"/>
      <c r="J1659" s="447"/>
      <c r="K1659" s="447"/>
      <c r="L1659" s="448"/>
      <c r="M1659" s="449"/>
      <c r="N1659" s="450"/>
    </row>
    <row r="1660" spans="5:14" ht="14.1" customHeight="1">
      <c r="E1660" s="446"/>
      <c r="F1660" s="446"/>
      <c r="G1660" s="446"/>
      <c r="H1660" s="446"/>
      <c r="I1660" s="446"/>
      <c r="J1660" s="447"/>
      <c r="K1660" s="447"/>
      <c r="L1660" s="448"/>
      <c r="M1660" s="449"/>
      <c r="N1660" s="450"/>
    </row>
    <row r="1661" spans="5:14" ht="14.1" customHeight="1">
      <c r="E1661" s="446"/>
      <c r="F1661" s="446"/>
      <c r="G1661" s="446"/>
      <c r="H1661" s="446"/>
      <c r="I1661" s="446"/>
      <c r="J1661" s="447"/>
      <c r="K1661" s="447"/>
      <c r="L1661" s="448"/>
      <c r="M1661" s="449"/>
      <c r="N1661" s="450"/>
    </row>
    <row r="1662" spans="5:14" ht="14.1" customHeight="1">
      <c r="E1662" s="450"/>
      <c r="F1662" s="450"/>
      <c r="G1662" s="450"/>
      <c r="H1662" s="450"/>
      <c r="I1662" s="450"/>
      <c r="J1662" s="450"/>
      <c r="K1662" s="450"/>
      <c r="L1662" s="450"/>
      <c r="M1662" s="449"/>
      <c r="N1662" s="449"/>
    </row>
    <row r="1663" spans="5:14" ht="14.1" customHeight="1">
      <c r="E1663" s="446"/>
      <c r="F1663" s="446"/>
      <c r="G1663" s="446"/>
      <c r="H1663" s="446"/>
      <c r="I1663" s="446"/>
      <c r="J1663" s="447"/>
      <c r="K1663" s="447"/>
      <c r="L1663" s="448"/>
      <c r="M1663" s="449"/>
      <c r="N1663" s="450"/>
    </row>
    <row r="1664" spans="5:14" ht="14.1" customHeight="1">
      <c r="E1664" s="446"/>
      <c r="F1664" s="446"/>
      <c r="G1664" s="446"/>
      <c r="H1664" s="446"/>
      <c r="I1664" s="446"/>
      <c r="J1664" s="447"/>
      <c r="K1664" s="447"/>
      <c r="L1664" s="448"/>
      <c r="M1664" s="449"/>
      <c r="N1664" s="450"/>
    </row>
    <row r="1665" spans="5:14" ht="14.1" customHeight="1">
      <c r="E1665" s="450"/>
      <c r="F1665" s="450"/>
      <c r="G1665" s="450"/>
      <c r="H1665" s="450"/>
      <c r="I1665" s="450"/>
      <c r="J1665" s="450"/>
      <c r="K1665" s="450"/>
      <c r="L1665" s="450"/>
      <c r="M1665" s="449"/>
      <c r="N1665" s="449"/>
    </row>
    <row r="1666" spans="5:14" ht="14.1" customHeight="1">
      <c r="E1666" s="446"/>
      <c r="F1666" s="446"/>
      <c r="G1666" s="446"/>
      <c r="H1666" s="446"/>
      <c r="I1666" s="446"/>
      <c r="J1666" s="447"/>
      <c r="K1666" s="447"/>
      <c r="L1666" s="448"/>
      <c r="M1666" s="449"/>
      <c r="N1666" s="450"/>
    </row>
    <row r="1667" spans="5:14" ht="14.1" customHeight="1">
      <c r="E1667" s="446"/>
      <c r="F1667" s="446"/>
      <c r="G1667" s="446"/>
      <c r="H1667" s="446"/>
      <c r="I1667" s="446"/>
      <c r="J1667" s="447"/>
      <c r="K1667" s="447"/>
      <c r="L1667" s="448"/>
      <c r="M1667" s="449"/>
      <c r="N1667" s="450"/>
    </row>
    <row r="1668" spans="5:14" ht="14.1" customHeight="1">
      <c r="E1668" s="446"/>
      <c r="F1668" s="446"/>
      <c r="G1668" s="446"/>
      <c r="H1668" s="446"/>
      <c r="I1668" s="446"/>
      <c r="J1668" s="447"/>
      <c r="K1668" s="447"/>
      <c r="L1668" s="448"/>
      <c r="M1668" s="449"/>
      <c r="N1668" s="450"/>
    </row>
    <row r="1669" spans="5:14" ht="14.1" customHeight="1">
      <c r="E1669" s="450"/>
      <c r="F1669" s="450"/>
      <c r="G1669" s="450"/>
      <c r="H1669" s="450"/>
      <c r="I1669" s="450"/>
      <c r="J1669" s="450"/>
      <c r="K1669" s="450"/>
      <c r="L1669" s="450"/>
      <c r="M1669" s="450"/>
      <c r="N1669" s="450"/>
    </row>
    <row r="1670" spans="5:14" ht="14.1" customHeight="1">
      <c r="E1670" s="446"/>
      <c r="F1670" s="446"/>
      <c r="G1670" s="446"/>
      <c r="H1670" s="446"/>
      <c r="I1670" s="446"/>
      <c r="J1670" s="447"/>
      <c r="K1670" s="447"/>
      <c r="L1670" s="448"/>
      <c r="M1670" s="449"/>
      <c r="N1670" s="450"/>
    </row>
    <row r="1671" spans="5:14" ht="14.1" customHeight="1">
      <c r="E1671" s="446"/>
      <c r="F1671" s="446"/>
      <c r="G1671" s="446"/>
      <c r="H1671" s="446"/>
      <c r="I1671" s="446"/>
      <c r="J1671" s="447"/>
      <c r="K1671" s="447"/>
      <c r="L1671" s="448"/>
      <c r="M1671" s="449"/>
      <c r="N1671" s="450"/>
    </row>
    <row r="1672" spans="5:14" ht="14.1" customHeight="1">
      <c r="E1672" s="446"/>
      <c r="F1672" s="446"/>
      <c r="G1672" s="446"/>
      <c r="H1672" s="446"/>
      <c r="I1672" s="446"/>
      <c r="J1672" s="447"/>
      <c r="K1672" s="447"/>
      <c r="L1672" s="448"/>
      <c r="M1672" s="449"/>
      <c r="N1672" s="450"/>
    </row>
    <row r="1673" spans="5:14" ht="14.1" customHeight="1">
      <c r="E1673" s="446"/>
      <c r="F1673" s="446"/>
      <c r="G1673" s="446"/>
      <c r="H1673" s="446"/>
      <c r="I1673" s="446"/>
      <c r="J1673" s="447"/>
      <c r="K1673" s="447"/>
      <c r="L1673" s="448"/>
      <c r="M1673" s="449"/>
      <c r="N1673" s="450"/>
    </row>
    <row r="1674" spans="5:14" ht="14.1" customHeight="1">
      <c r="E1674" s="446"/>
      <c r="F1674" s="446"/>
      <c r="G1674" s="446"/>
      <c r="H1674" s="446"/>
      <c r="I1674" s="446"/>
      <c r="J1674" s="447"/>
      <c r="K1674" s="447"/>
      <c r="L1674" s="448"/>
      <c r="M1674" s="449"/>
      <c r="N1674" s="450"/>
    </row>
    <row r="1675" spans="5:14" ht="14.1" customHeight="1">
      <c r="E1675" s="450"/>
      <c r="F1675" s="450"/>
      <c r="G1675" s="450"/>
      <c r="H1675" s="450"/>
      <c r="I1675" s="450"/>
      <c r="J1675" s="450"/>
      <c r="K1675" s="450"/>
      <c r="L1675" s="450"/>
      <c r="M1675" s="449"/>
      <c r="N1675" s="449"/>
    </row>
    <row r="1676" spans="5:14" ht="14.1" customHeight="1">
      <c r="E1676" s="446"/>
      <c r="F1676" s="446"/>
      <c r="G1676" s="446"/>
      <c r="H1676" s="446"/>
      <c r="I1676" s="446"/>
      <c r="J1676" s="447"/>
      <c r="K1676" s="447"/>
      <c r="L1676" s="448"/>
      <c r="M1676" s="449"/>
      <c r="N1676" s="450"/>
    </row>
    <row r="1677" spans="5:14" ht="14.1" customHeight="1">
      <c r="E1677" s="446"/>
      <c r="F1677" s="446"/>
      <c r="G1677" s="446"/>
      <c r="H1677" s="446"/>
      <c r="I1677" s="446"/>
      <c r="J1677" s="447"/>
      <c r="K1677" s="447"/>
      <c r="L1677" s="448"/>
      <c r="M1677" s="449"/>
      <c r="N1677" s="450"/>
    </row>
    <row r="1678" spans="5:14" ht="14.1" customHeight="1">
      <c r="E1678" s="446"/>
      <c r="F1678" s="446"/>
      <c r="G1678" s="446"/>
      <c r="H1678" s="446"/>
      <c r="I1678" s="446"/>
      <c r="J1678" s="447"/>
      <c r="K1678" s="447"/>
      <c r="L1678" s="448"/>
      <c r="M1678" s="449"/>
      <c r="N1678" s="450"/>
    </row>
    <row r="1679" spans="5:14" ht="14.1" customHeight="1">
      <c r="E1679" s="450"/>
      <c r="F1679" s="450"/>
      <c r="G1679" s="450"/>
      <c r="H1679" s="450"/>
      <c r="I1679" s="450"/>
      <c r="J1679" s="450"/>
      <c r="K1679" s="450"/>
      <c r="L1679" s="450"/>
      <c r="M1679" s="449"/>
      <c r="N1679" s="449"/>
    </row>
    <row r="1680" spans="5:14" ht="14.1" customHeight="1">
      <c r="E1680" s="450"/>
      <c r="F1680" s="450"/>
      <c r="G1680" s="450"/>
      <c r="H1680" s="450"/>
      <c r="I1680" s="450"/>
      <c r="J1680" s="450"/>
      <c r="K1680" s="450"/>
      <c r="L1680" s="450"/>
      <c r="M1680" s="449"/>
      <c r="N1680" s="449"/>
    </row>
    <row r="1681" spans="5:14" ht="14.1" customHeight="1">
      <c r="E1681" s="446"/>
      <c r="F1681" s="446"/>
      <c r="G1681" s="446"/>
      <c r="H1681" s="446"/>
      <c r="I1681" s="446"/>
      <c r="J1681" s="447"/>
      <c r="K1681" s="447"/>
      <c r="L1681" s="448"/>
      <c r="M1681" s="449"/>
      <c r="N1681" s="450"/>
    </row>
    <row r="1682" spans="5:14" ht="14.1" customHeight="1">
      <c r="E1682" s="446"/>
      <c r="F1682" s="446"/>
      <c r="G1682" s="446"/>
      <c r="H1682" s="446"/>
      <c r="I1682" s="446"/>
      <c r="J1682" s="447"/>
      <c r="K1682" s="447"/>
      <c r="L1682" s="448"/>
      <c r="M1682" s="449"/>
      <c r="N1682" s="450"/>
    </row>
    <row r="1683" spans="5:14" ht="14.1" customHeight="1">
      <c r="E1683" s="446"/>
      <c r="F1683" s="446"/>
      <c r="G1683" s="446"/>
      <c r="H1683" s="446"/>
      <c r="I1683" s="446"/>
      <c r="J1683" s="447"/>
      <c r="K1683" s="447"/>
      <c r="L1683" s="448"/>
      <c r="M1683" s="449"/>
      <c r="N1683" s="450"/>
    </row>
    <row r="1684" spans="5:14" ht="14.1" customHeight="1">
      <c r="E1684" s="446"/>
      <c r="F1684" s="446"/>
      <c r="G1684" s="446"/>
      <c r="H1684" s="446"/>
      <c r="I1684" s="446"/>
      <c r="J1684" s="447"/>
      <c r="K1684" s="447"/>
      <c r="L1684" s="448"/>
      <c r="M1684" s="449"/>
      <c r="N1684" s="450"/>
    </row>
    <row r="1685" spans="5:14" ht="14.1" customHeight="1">
      <c r="E1685" s="446"/>
      <c r="F1685" s="446"/>
      <c r="G1685" s="446"/>
      <c r="H1685" s="446"/>
      <c r="I1685" s="446"/>
      <c r="J1685" s="447"/>
      <c r="K1685" s="447"/>
      <c r="L1685" s="448"/>
      <c r="M1685" s="449"/>
      <c r="N1685" s="450"/>
    </row>
    <row r="1686" spans="5:14" ht="14.1" customHeight="1">
      <c r="E1686" s="450"/>
      <c r="F1686" s="450"/>
      <c r="G1686" s="450"/>
      <c r="H1686" s="450"/>
      <c r="I1686" s="450"/>
      <c r="J1686" s="450"/>
      <c r="K1686" s="450"/>
      <c r="L1686" s="450"/>
      <c r="M1686" s="449"/>
      <c r="N1686" s="449"/>
    </row>
    <row r="1687" spans="5:14" ht="14.1" customHeight="1">
      <c r="E1687" s="446"/>
      <c r="F1687" s="446"/>
      <c r="G1687" s="446"/>
      <c r="H1687" s="446"/>
      <c r="I1687" s="446"/>
      <c r="J1687" s="447"/>
      <c r="K1687" s="447"/>
      <c r="L1687" s="448"/>
      <c r="M1687" s="449"/>
      <c r="N1687" s="450"/>
    </row>
    <row r="1688" spans="5:14" ht="14.1" customHeight="1">
      <c r="E1688" s="450"/>
      <c r="F1688" s="450"/>
      <c r="G1688" s="450"/>
      <c r="H1688" s="450"/>
      <c r="I1688" s="450"/>
      <c r="J1688" s="450"/>
      <c r="K1688" s="450"/>
      <c r="L1688" s="450"/>
      <c r="M1688" s="449"/>
      <c r="N1688" s="449"/>
    </row>
    <row r="1689" spans="5:14" ht="14.1" customHeight="1">
      <c r="E1689" s="446"/>
      <c r="F1689" s="446"/>
      <c r="G1689" s="446"/>
      <c r="H1689" s="446"/>
      <c r="I1689" s="446"/>
      <c r="J1689" s="447"/>
      <c r="K1689" s="447"/>
      <c r="L1689" s="448"/>
      <c r="M1689" s="449"/>
      <c r="N1689" s="450"/>
    </row>
    <row r="1690" spans="5:14" ht="14.1" customHeight="1">
      <c r="E1690" s="450"/>
      <c r="F1690" s="450"/>
      <c r="G1690" s="450"/>
      <c r="H1690" s="450"/>
      <c r="I1690" s="450"/>
      <c r="J1690" s="450"/>
      <c r="K1690" s="450"/>
      <c r="L1690" s="450"/>
      <c r="M1690" s="449"/>
      <c r="N1690" s="449"/>
    </row>
    <row r="1691" spans="5:14" ht="14.1" customHeight="1">
      <c r="E1691" s="446"/>
      <c r="F1691" s="446"/>
      <c r="G1691" s="446"/>
      <c r="H1691" s="446"/>
      <c r="I1691" s="446"/>
      <c r="J1691" s="447"/>
      <c r="K1691" s="447"/>
      <c r="L1691" s="448"/>
      <c r="M1691" s="449"/>
      <c r="N1691" s="450"/>
    </row>
    <row r="1692" spans="5:14" ht="14.1" customHeight="1">
      <c r="E1692" s="450"/>
      <c r="F1692" s="450"/>
      <c r="G1692" s="450"/>
      <c r="H1692" s="450"/>
      <c r="I1692" s="450"/>
      <c r="J1692" s="450"/>
      <c r="K1692" s="450"/>
      <c r="L1692" s="450"/>
      <c r="M1692" s="449"/>
      <c r="N1692" s="449"/>
    </row>
    <row r="1693" spans="5:14" ht="14.1" customHeight="1">
      <c r="E1693" s="446"/>
      <c r="F1693" s="446"/>
      <c r="G1693" s="446"/>
      <c r="H1693" s="446"/>
      <c r="I1693" s="446"/>
      <c r="J1693" s="447"/>
      <c r="K1693" s="447"/>
      <c r="L1693" s="448"/>
      <c r="M1693" s="449"/>
      <c r="N1693" s="450"/>
    </row>
    <row r="1694" spans="5:14" ht="14.1" customHeight="1">
      <c r="E1694" s="450"/>
      <c r="F1694" s="450"/>
      <c r="G1694" s="450"/>
      <c r="H1694" s="450"/>
      <c r="I1694" s="450"/>
      <c r="J1694" s="450"/>
      <c r="K1694" s="450"/>
      <c r="L1694" s="450"/>
      <c r="M1694" s="449"/>
      <c r="N1694" s="449"/>
    </row>
    <row r="1695" spans="5:14" ht="14.1" customHeight="1">
      <c r="E1695" s="446"/>
      <c r="F1695" s="446"/>
      <c r="G1695" s="446"/>
      <c r="H1695" s="446"/>
      <c r="I1695" s="446"/>
      <c r="J1695" s="447"/>
      <c r="K1695" s="447"/>
      <c r="L1695" s="448"/>
      <c r="M1695" s="449"/>
      <c r="N1695" s="450"/>
    </row>
    <row r="1696" spans="5:14" ht="14.1" customHeight="1">
      <c r="E1696" s="446"/>
      <c r="F1696" s="446"/>
      <c r="G1696" s="446"/>
      <c r="H1696" s="446"/>
      <c r="I1696" s="446"/>
      <c r="J1696" s="447"/>
      <c r="K1696" s="447"/>
      <c r="L1696" s="448"/>
      <c r="M1696" s="449"/>
      <c r="N1696" s="450"/>
    </row>
    <row r="1697" spans="5:14" ht="14.1" customHeight="1">
      <c r="E1697" s="446"/>
      <c r="F1697" s="446"/>
      <c r="G1697" s="446"/>
      <c r="H1697" s="446"/>
      <c r="I1697" s="446"/>
      <c r="J1697" s="447"/>
      <c r="K1697" s="447"/>
      <c r="L1697" s="448"/>
      <c r="M1697" s="449"/>
      <c r="N1697" s="450"/>
    </row>
    <row r="1698" spans="5:14" ht="14.1" customHeight="1">
      <c r="E1698" s="446"/>
      <c r="F1698" s="446"/>
      <c r="G1698" s="446"/>
      <c r="H1698" s="446"/>
      <c r="I1698" s="446"/>
      <c r="J1698" s="447"/>
      <c r="K1698" s="447"/>
      <c r="L1698" s="448"/>
      <c r="M1698" s="449"/>
      <c r="N1698" s="450"/>
    </row>
    <row r="1699" spans="5:14" ht="14.1" customHeight="1">
      <c r="E1699" s="450"/>
      <c r="F1699" s="450"/>
      <c r="G1699" s="450"/>
      <c r="H1699" s="450"/>
      <c r="I1699" s="450"/>
      <c r="J1699" s="450"/>
      <c r="K1699" s="450"/>
      <c r="L1699" s="450"/>
      <c r="M1699" s="449"/>
      <c r="N1699" s="449"/>
    </row>
    <row r="1700" spans="5:14" ht="14.1" customHeight="1">
      <c r="E1700" s="446"/>
      <c r="F1700" s="446"/>
      <c r="G1700" s="446"/>
      <c r="H1700" s="446"/>
      <c r="I1700" s="446"/>
      <c r="J1700" s="447"/>
      <c r="K1700" s="447"/>
      <c r="L1700" s="448"/>
      <c r="M1700" s="449"/>
      <c r="N1700" s="450"/>
    </row>
    <row r="1701" spans="5:14" ht="14.1" customHeight="1">
      <c r="E1701" s="450"/>
      <c r="F1701" s="450"/>
      <c r="G1701" s="450"/>
      <c r="H1701" s="450"/>
      <c r="I1701" s="450"/>
      <c r="J1701" s="450"/>
      <c r="K1701" s="450"/>
      <c r="L1701" s="450"/>
      <c r="M1701" s="449"/>
      <c r="N1701" s="449"/>
    </row>
    <row r="1702" spans="5:14" ht="14.1" customHeight="1">
      <c r="E1702" s="446"/>
      <c r="F1702" s="446"/>
      <c r="G1702" s="446"/>
      <c r="H1702" s="446"/>
      <c r="I1702" s="446"/>
      <c r="J1702" s="447"/>
      <c r="K1702" s="447"/>
      <c r="L1702" s="448"/>
      <c r="M1702" s="449"/>
      <c r="N1702" s="450"/>
    </row>
    <row r="1703" spans="5:14" ht="14.1" customHeight="1">
      <c r="E1703" s="446"/>
      <c r="F1703" s="446"/>
      <c r="G1703" s="446"/>
      <c r="H1703" s="446"/>
      <c r="I1703" s="446"/>
      <c r="J1703" s="447"/>
      <c r="K1703" s="447"/>
      <c r="L1703" s="448"/>
      <c r="M1703" s="449"/>
      <c r="N1703" s="450"/>
    </row>
    <row r="1704" spans="5:14" ht="14.1" customHeight="1">
      <c r="E1704" s="446"/>
      <c r="F1704" s="446"/>
      <c r="G1704" s="446"/>
      <c r="H1704" s="446"/>
      <c r="I1704" s="446"/>
      <c r="J1704" s="447"/>
      <c r="K1704" s="447"/>
      <c r="L1704" s="448"/>
      <c r="M1704" s="449"/>
      <c r="N1704" s="451"/>
    </row>
    <row r="1705" spans="5:14" ht="14.1" customHeight="1">
      <c r="E1705" s="446"/>
      <c r="F1705" s="446"/>
      <c r="G1705" s="446"/>
      <c r="H1705" s="446"/>
      <c r="I1705" s="446"/>
      <c r="J1705" s="447"/>
      <c r="K1705" s="447"/>
      <c r="L1705" s="448"/>
      <c r="M1705" s="449"/>
      <c r="N1705" s="451"/>
    </row>
    <row r="1706" spans="5:14" ht="14.1" customHeight="1">
      <c r="E1706" s="446"/>
      <c r="F1706" s="446"/>
      <c r="G1706" s="446"/>
      <c r="H1706" s="446"/>
      <c r="I1706" s="446"/>
      <c r="J1706" s="447"/>
      <c r="K1706" s="447"/>
      <c r="L1706" s="448"/>
      <c r="M1706" s="449"/>
      <c r="N1706" s="451"/>
    </row>
    <row r="1707" spans="5:14" ht="14.1" customHeight="1">
      <c r="E1707" s="446"/>
      <c r="F1707" s="446"/>
      <c r="G1707" s="446"/>
      <c r="H1707" s="446"/>
      <c r="I1707" s="446"/>
      <c r="J1707" s="447"/>
      <c r="K1707" s="447"/>
      <c r="L1707" s="448"/>
      <c r="M1707" s="449"/>
      <c r="N1707" s="451"/>
    </row>
    <row r="1708" spans="5:14" ht="14.1" customHeight="1">
      <c r="E1708" s="446"/>
      <c r="F1708" s="446"/>
      <c r="G1708" s="446"/>
      <c r="H1708" s="446"/>
      <c r="I1708" s="446"/>
      <c r="J1708" s="447"/>
      <c r="K1708" s="447"/>
      <c r="L1708" s="448"/>
      <c r="M1708" s="449"/>
      <c r="N1708" s="451"/>
    </row>
    <row r="1709" spans="5:14" ht="14.1" customHeight="1">
      <c r="E1709" s="446"/>
      <c r="F1709" s="446"/>
      <c r="G1709" s="446"/>
      <c r="H1709" s="446"/>
      <c r="I1709" s="446"/>
      <c r="J1709" s="447"/>
      <c r="K1709" s="447"/>
      <c r="L1709" s="448"/>
      <c r="M1709" s="449"/>
      <c r="N1709" s="451"/>
    </row>
    <row r="1710" spans="5:14" ht="14.1" customHeight="1">
      <c r="E1710" s="446"/>
      <c r="F1710" s="446"/>
      <c r="G1710" s="446"/>
      <c r="H1710" s="446"/>
      <c r="I1710" s="446"/>
      <c r="J1710" s="447"/>
      <c r="K1710" s="447"/>
      <c r="L1710" s="448"/>
      <c r="M1710" s="449"/>
      <c r="N1710" s="451"/>
    </row>
    <row r="1711" spans="5:14" ht="14.1" customHeight="1">
      <c r="E1711" s="446"/>
      <c r="F1711" s="446"/>
      <c r="G1711" s="446"/>
      <c r="H1711" s="446"/>
      <c r="I1711" s="446"/>
      <c r="J1711" s="447"/>
      <c r="K1711" s="447"/>
      <c r="L1711" s="448"/>
      <c r="M1711" s="449"/>
      <c r="N1711" s="451"/>
    </row>
    <row r="1712" spans="5:14" ht="14.1" customHeight="1">
      <c r="E1712" s="446"/>
      <c r="F1712" s="446"/>
      <c r="G1712" s="446"/>
      <c r="H1712" s="446"/>
      <c r="I1712" s="446"/>
      <c r="J1712" s="447"/>
      <c r="K1712" s="447"/>
      <c r="L1712" s="448"/>
      <c r="M1712" s="449"/>
      <c r="N1712" s="451"/>
    </row>
    <row r="1713" spans="5:14" ht="14.1" customHeight="1">
      <c r="E1713" s="446"/>
      <c r="F1713" s="446"/>
      <c r="G1713" s="446"/>
      <c r="H1713" s="446"/>
      <c r="I1713" s="446"/>
      <c r="J1713" s="447"/>
      <c r="K1713" s="447"/>
      <c r="L1713" s="448"/>
      <c r="M1713" s="449"/>
      <c r="N1713" s="451"/>
    </row>
    <row r="1714" spans="5:14" ht="14.1" customHeight="1">
      <c r="E1714" s="446"/>
      <c r="F1714" s="446"/>
      <c r="G1714" s="446"/>
      <c r="H1714" s="446"/>
      <c r="I1714" s="446"/>
      <c r="J1714" s="447"/>
      <c r="K1714" s="447"/>
      <c r="L1714" s="448"/>
      <c r="M1714" s="449"/>
      <c r="N1714" s="451"/>
    </row>
    <row r="1715" spans="5:14" ht="14.1" customHeight="1">
      <c r="E1715" s="446"/>
      <c r="F1715" s="446"/>
      <c r="G1715" s="446"/>
      <c r="H1715" s="446"/>
      <c r="I1715" s="446"/>
      <c r="J1715" s="447"/>
      <c r="K1715" s="447"/>
      <c r="L1715" s="448"/>
      <c r="M1715" s="449"/>
      <c r="N1715" s="451"/>
    </row>
    <row r="1716" spans="5:14" ht="14.1" customHeight="1">
      <c r="E1716" s="446"/>
      <c r="F1716" s="446"/>
      <c r="G1716" s="446"/>
      <c r="H1716" s="446"/>
      <c r="I1716" s="446"/>
      <c r="J1716" s="447"/>
      <c r="K1716" s="447"/>
      <c r="L1716" s="448"/>
      <c r="M1716" s="449"/>
      <c r="N1716" s="451"/>
    </row>
    <row r="1717" spans="5:14" ht="14.1" customHeight="1">
      <c r="E1717" s="446"/>
      <c r="F1717" s="446"/>
      <c r="G1717" s="446"/>
      <c r="H1717" s="446"/>
      <c r="I1717" s="446"/>
      <c r="J1717" s="447"/>
      <c r="K1717" s="447"/>
      <c r="L1717" s="448"/>
      <c r="M1717" s="449"/>
      <c r="N1717" s="451"/>
    </row>
    <row r="1718" spans="5:14" ht="14.1" customHeight="1">
      <c r="E1718" s="450"/>
      <c r="F1718" s="450"/>
      <c r="G1718" s="450"/>
      <c r="H1718" s="450"/>
      <c r="I1718" s="450"/>
      <c r="J1718" s="450"/>
      <c r="K1718" s="450"/>
      <c r="L1718" s="450"/>
      <c r="M1718" s="450"/>
      <c r="N1718" s="451"/>
    </row>
    <row r="1719" spans="5:14" ht="14.1" customHeight="1">
      <c r="E1719" s="446"/>
      <c r="F1719" s="446"/>
      <c r="G1719" s="446"/>
      <c r="H1719" s="446"/>
      <c r="I1719" s="446"/>
      <c r="J1719" s="447"/>
      <c r="K1719" s="447"/>
      <c r="L1719" s="448"/>
      <c r="M1719" s="449"/>
      <c r="N1719" s="451"/>
    </row>
    <row r="1720" spans="5:14" ht="14.1" customHeight="1">
      <c r="E1720" s="446"/>
      <c r="F1720" s="446"/>
      <c r="G1720" s="446"/>
      <c r="H1720" s="446"/>
      <c r="I1720" s="446"/>
      <c r="J1720" s="447"/>
      <c r="K1720" s="447"/>
      <c r="L1720" s="448"/>
      <c r="M1720" s="449"/>
      <c r="N1720" s="450"/>
    </row>
    <row r="1721" spans="5:14" ht="14.1" customHeight="1">
      <c r="E1721" s="446"/>
      <c r="F1721" s="446"/>
      <c r="G1721" s="446"/>
      <c r="H1721" s="446"/>
      <c r="I1721" s="446"/>
      <c r="J1721" s="447"/>
      <c r="K1721" s="447"/>
      <c r="L1721" s="448"/>
      <c r="M1721" s="449"/>
      <c r="N1721" s="450"/>
    </row>
    <row r="1722" spans="5:14" ht="14.1" customHeight="1">
      <c r="E1722" s="446"/>
      <c r="F1722" s="446"/>
      <c r="G1722" s="446"/>
      <c r="H1722" s="446"/>
      <c r="I1722" s="446"/>
      <c r="J1722" s="447"/>
      <c r="K1722" s="447"/>
      <c r="L1722" s="448"/>
      <c r="M1722" s="449"/>
      <c r="N1722" s="450"/>
    </row>
    <row r="1723" spans="5:14" ht="14.1" customHeight="1">
      <c r="E1723" s="446"/>
      <c r="F1723" s="446"/>
      <c r="G1723" s="446"/>
      <c r="H1723" s="446"/>
      <c r="I1723" s="446"/>
      <c r="J1723" s="447"/>
      <c r="K1723" s="447"/>
      <c r="L1723" s="448"/>
      <c r="M1723" s="449"/>
      <c r="N1723" s="450"/>
    </row>
    <row r="1724" spans="5:14" ht="14.1" customHeight="1">
      <c r="E1724" s="446"/>
      <c r="F1724" s="446"/>
      <c r="G1724" s="446"/>
      <c r="H1724" s="446"/>
      <c r="I1724" s="446"/>
      <c r="J1724" s="447"/>
      <c r="K1724" s="447"/>
      <c r="L1724" s="448"/>
      <c r="M1724" s="449"/>
      <c r="N1724" s="450"/>
    </row>
    <row r="1725" spans="5:14" ht="14.1" customHeight="1">
      <c r="E1725" s="446"/>
      <c r="F1725" s="446"/>
      <c r="G1725" s="446"/>
      <c r="H1725" s="446"/>
      <c r="I1725" s="446"/>
      <c r="J1725" s="447"/>
      <c r="K1725" s="447"/>
      <c r="L1725" s="448"/>
      <c r="M1725" s="449"/>
      <c r="N1725" s="450"/>
    </row>
    <row r="1726" spans="5:14" ht="14.1" customHeight="1">
      <c r="E1726" s="446"/>
      <c r="F1726" s="446"/>
      <c r="G1726" s="446"/>
      <c r="H1726" s="446"/>
      <c r="I1726" s="446"/>
      <c r="J1726" s="447"/>
      <c r="K1726" s="447"/>
      <c r="L1726" s="448"/>
      <c r="M1726" s="449"/>
      <c r="N1726" s="450"/>
    </row>
    <row r="1727" spans="5:14" ht="14.1" customHeight="1">
      <c r="E1727" s="446"/>
      <c r="F1727" s="446"/>
      <c r="G1727" s="446"/>
      <c r="H1727" s="446"/>
      <c r="I1727" s="446"/>
      <c r="J1727" s="447"/>
      <c r="K1727" s="447"/>
      <c r="L1727" s="448"/>
      <c r="M1727" s="449"/>
      <c r="N1727" s="450"/>
    </row>
    <row r="1728" spans="5:14" ht="14.1" customHeight="1">
      <c r="E1728" s="446"/>
      <c r="F1728" s="446"/>
      <c r="G1728" s="446"/>
      <c r="H1728" s="446"/>
      <c r="I1728" s="446"/>
      <c r="J1728" s="447"/>
      <c r="K1728" s="447"/>
      <c r="L1728" s="448"/>
      <c r="M1728" s="449"/>
      <c r="N1728" s="450"/>
    </row>
    <row r="1729" spans="5:14" ht="14.1" customHeight="1">
      <c r="E1729" s="446"/>
      <c r="F1729" s="446"/>
      <c r="G1729" s="446"/>
      <c r="H1729" s="446"/>
      <c r="I1729" s="446"/>
      <c r="J1729" s="447"/>
      <c r="K1729" s="447"/>
      <c r="L1729" s="448"/>
      <c r="M1729" s="449"/>
      <c r="N1729" s="450"/>
    </row>
    <row r="1730" spans="5:14" ht="14.1" customHeight="1">
      <c r="E1730" s="446"/>
      <c r="F1730" s="446"/>
      <c r="G1730" s="446"/>
      <c r="H1730" s="446"/>
      <c r="I1730" s="446"/>
      <c r="J1730" s="447"/>
      <c r="K1730" s="447"/>
      <c r="L1730" s="448"/>
      <c r="M1730" s="449"/>
      <c r="N1730" s="450"/>
    </row>
    <row r="1731" spans="5:14" ht="14.1" customHeight="1">
      <c r="E1731" s="450"/>
      <c r="F1731" s="450"/>
      <c r="G1731" s="450"/>
      <c r="H1731" s="450"/>
      <c r="I1731" s="450"/>
      <c r="J1731" s="450"/>
      <c r="K1731" s="450"/>
      <c r="L1731" s="450"/>
      <c r="M1731" s="449"/>
      <c r="N1731" s="449"/>
    </row>
    <row r="1732" spans="5:14" ht="14.1" customHeight="1">
      <c r="E1732" s="446"/>
      <c r="F1732" s="446"/>
      <c r="G1732" s="446"/>
      <c r="H1732" s="446"/>
      <c r="I1732" s="446"/>
      <c r="J1732" s="447"/>
      <c r="K1732" s="447"/>
      <c r="L1732" s="448"/>
      <c r="M1732" s="449"/>
      <c r="N1732" s="450"/>
    </row>
    <row r="1733" spans="5:14" ht="14.1" customHeight="1">
      <c r="E1733" s="446"/>
      <c r="F1733" s="446"/>
      <c r="G1733" s="446"/>
      <c r="H1733" s="446"/>
      <c r="I1733" s="446"/>
      <c r="J1733" s="447"/>
      <c r="K1733" s="447"/>
      <c r="L1733" s="448"/>
      <c r="M1733" s="449"/>
      <c r="N1733" s="450"/>
    </row>
    <row r="1734" spans="5:14" ht="14.1" customHeight="1">
      <c r="E1734" s="446"/>
      <c r="F1734" s="446"/>
      <c r="G1734" s="446"/>
      <c r="H1734" s="446"/>
      <c r="I1734" s="446"/>
      <c r="J1734" s="447"/>
      <c r="K1734" s="447"/>
      <c r="L1734" s="448"/>
      <c r="M1734" s="449"/>
      <c r="N1734" s="450"/>
    </row>
    <row r="1735" spans="5:14" ht="14.1" customHeight="1">
      <c r="E1735" s="450"/>
      <c r="F1735" s="450"/>
      <c r="G1735" s="450"/>
      <c r="H1735" s="450"/>
      <c r="I1735" s="450"/>
      <c r="J1735" s="450"/>
      <c r="K1735" s="450"/>
      <c r="L1735" s="450"/>
      <c r="M1735" s="449"/>
      <c r="N1735" s="449"/>
    </row>
    <row r="1736" spans="5:14" ht="14.1" customHeight="1">
      <c r="E1736" s="450"/>
      <c r="F1736" s="450"/>
      <c r="G1736" s="450"/>
      <c r="H1736" s="450"/>
      <c r="I1736" s="450"/>
      <c r="J1736" s="450"/>
      <c r="K1736" s="450"/>
      <c r="L1736" s="450"/>
      <c r="M1736" s="449"/>
      <c r="N1736" s="449"/>
    </row>
    <row r="1737" spans="5:14" ht="14.1" customHeight="1">
      <c r="E1737" s="446"/>
      <c r="F1737" s="446"/>
      <c r="G1737" s="446"/>
      <c r="H1737" s="446"/>
      <c r="I1737" s="446"/>
      <c r="J1737" s="447"/>
      <c r="K1737" s="447"/>
      <c r="L1737" s="448"/>
      <c r="M1737" s="449"/>
      <c r="N1737" s="450"/>
    </row>
    <row r="1738" spans="5:14" ht="14.1" customHeight="1">
      <c r="E1738" s="450"/>
      <c r="F1738" s="450"/>
      <c r="G1738" s="450"/>
      <c r="H1738" s="450"/>
      <c r="I1738" s="450"/>
      <c r="J1738" s="450"/>
      <c r="K1738" s="450"/>
      <c r="L1738" s="450"/>
      <c r="M1738" s="449"/>
      <c r="N1738" s="449"/>
    </row>
    <row r="1739" spans="5:14" ht="14.1" customHeight="1">
      <c r="E1739" s="446"/>
      <c r="F1739" s="446"/>
      <c r="G1739" s="446"/>
      <c r="H1739" s="446"/>
      <c r="I1739" s="446"/>
      <c r="J1739" s="447"/>
      <c r="K1739" s="447"/>
      <c r="L1739" s="448"/>
      <c r="M1739" s="449"/>
      <c r="N1739" s="450"/>
    </row>
    <row r="1740" spans="5:14" ht="14.1" customHeight="1">
      <c r="E1740" s="450"/>
      <c r="F1740" s="450"/>
      <c r="G1740" s="450"/>
      <c r="H1740" s="450"/>
      <c r="I1740" s="450"/>
      <c r="J1740" s="450"/>
      <c r="K1740" s="450"/>
      <c r="L1740" s="450"/>
      <c r="M1740" s="449"/>
      <c r="N1740" s="449"/>
    </row>
    <row r="1741" spans="5:14" ht="14.1" customHeight="1">
      <c r="E1741" s="446"/>
      <c r="F1741" s="446"/>
      <c r="G1741" s="446"/>
      <c r="H1741" s="446"/>
      <c r="I1741" s="446"/>
      <c r="J1741" s="447"/>
      <c r="K1741" s="447"/>
      <c r="L1741" s="448"/>
      <c r="M1741" s="449"/>
      <c r="N1741" s="450"/>
    </row>
    <row r="1742" spans="5:14" ht="14.1" customHeight="1">
      <c r="E1742" s="446"/>
      <c r="F1742" s="446"/>
      <c r="G1742" s="446"/>
      <c r="H1742" s="446"/>
      <c r="I1742" s="446"/>
      <c r="J1742" s="447"/>
      <c r="K1742" s="447"/>
      <c r="L1742" s="448"/>
      <c r="M1742" s="449"/>
      <c r="N1742" s="450"/>
    </row>
    <row r="1743" spans="5:14" ht="14.1" customHeight="1">
      <c r="E1743" s="446"/>
      <c r="F1743" s="446"/>
      <c r="G1743" s="446"/>
      <c r="H1743" s="446"/>
      <c r="I1743" s="446"/>
      <c r="J1743" s="447"/>
      <c r="K1743" s="447"/>
      <c r="L1743" s="448"/>
      <c r="M1743" s="449"/>
      <c r="N1743" s="450"/>
    </row>
    <row r="1744" spans="5:14" ht="14.1" customHeight="1">
      <c r="E1744" s="450"/>
      <c r="F1744" s="450"/>
      <c r="G1744" s="450"/>
      <c r="H1744" s="450"/>
      <c r="I1744" s="450"/>
      <c r="J1744" s="450"/>
      <c r="K1744" s="450"/>
      <c r="L1744" s="450"/>
      <c r="M1744" s="449"/>
      <c r="N1744" s="449"/>
    </row>
    <row r="1745" spans="5:14" ht="14.1" customHeight="1">
      <c r="E1745" s="446"/>
      <c r="F1745" s="446"/>
      <c r="G1745" s="446"/>
      <c r="H1745" s="446"/>
      <c r="I1745" s="446"/>
      <c r="J1745" s="447"/>
      <c r="K1745" s="447"/>
      <c r="L1745" s="448"/>
      <c r="M1745" s="449"/>
      <c r="N1745" s="450"/>
    </row>
    <row r="1746" spans="5:14" ht="14.1" customHeight="1">
      <c r="E1746" s="450"/>
      <c r="F1746" s="450"/>
      <c r="G1746" s="450"/>
      <c r="H1746" s="450"/>
      <c r="I1746" s="450"/>
      <c r="J1746" s="450"/>
      <c r="K1746" s="450"/>
      <c r="L1746" s="450"/>
      <c r="M1746" s="449"/>
      <c r="N1746" s="449"/>
    </row>
    <row r="1747" spans="5:14" ht="14.1" customHeight="1">
      <c r="E1747" s="446"/>
      <c r="F1747" s="446"/>
      <c r="G1747" s="446"/>
      <c r="H1747" s="446"/>
      <c r="I1747" s="446"/>
      <c r="J1747" s="447"/>
      <c r="K1747" s="447"/>
      <c r="L1747" s="448"/>
      <c r="M1747" s="449"/>
      <c r="N1747" s="450"/>
    </row>
    <row r="1748" spans="5:14" ht="14.1" customHeight="1">
      <c r="E1748" s="446"/>
      <c r="F1748" s="446"/>
      <c r="G1748" s="446"/>
      <c r="H1748" s="446"/>
      <c r="I1748" s="446"/>
      <c r="J1748" s="447"/>
      <c r="K1748" s="447"/>
      <c r="L1748" s="448"/>
      <c r="M1748" s="449"/>
      <c r="N1748" s="450"/>
    </row>
    <row r="1749" spans="5:14" ht="14.1" customHeight="1">
      <c r="E1749" s="450"/>
      <c r="F1749" s="450"/>
      <c r="G1749" s="450"/>
      <c r="H1749" s="450"/>
      <c r="I1749" s="450"/>
      <c r="J1749" s="450"/>
      <c r="K1749" s="450"/>
      <c r="L1749" s="450"/>
      <c r="M1749" s="449"/>
      <c r="N1749" s="449"/>
    </row>
    <row r="1750" spans="5:14" ht="14.1" customHeight="1">
      <c r="E1750" s="446"/>
      <c r="F1750" s="446"/>
      <c r="G1750" s="446"/>
      <c r="H1750" s="446"/>
      <c r="I1750" s="446"/>
      <c r="J1750" s="447"/>
      <c r="K1750" s="447"/>
      <c r="L1750" s="448"/>
      <c r="M1750" s="449"/>
      <c r="N1750" s="450"/>
    </row>
    <row r="1751" spans="5:14" ht="14.1" customHeight="1">
      <c r="E1751" s="446"/>
      <c r="F1751" s="446"/>
      <c r="G1751" s="446"/>
      <c r="H1751" s="446"/>
      <c r="I1751" s="446"/>
      <c r="J1751" s="447"/>
      <c r="K1751" s="447"/>
      <c r="L1751" s="448"/>
      <c r="M1751" s="449"/>
      <c r="N1751" s="450"/>
    </row>
    <row r="1752" spans="5:14" ht="14.1" customHeight="1">
      <c r="E1752" s="450"/>
      <c r="F1752" s="450"/>
      <c r="G1752" s="450"/>
      <c r="H1752" s="450"/>
      <c r="I1752" s="450"/>
      <c r="J1752" s="450"/>
      <c r="K1752" s="450"/>
      <c r="L1752" s="450"/>
      <c r="M1752" s="449"/>
      <c r="N1752" s="449"/>
    </row>
    <row r="1753" spans="5:14" ht="14.1" customHeight="1">
      <c r="E1753" s="446"/>
      <c r="F1753" s="446"/>
      <c r="G1753" s="446"/>
      <c r="H1753" s="446"/>
      <c r="I1753" s="446"/>
      <c r="J1753" s="447"/>
      <c r="K1753" s="447"/>
      <c r="L1753" s="448"/>
      <c r="M1753" s="449"/>
      <c r="N1753" s="450"/>
    </row>
    <row r="1754" spans="5:14" ht="14.1" customHeight="1">
      <c r="E1754" s="450"/>
      <c r="F1754" s="450"/>
      <c r="G1754" s="450"/>
      <c r="H1754" s="450"/>
      <c r="I1754" s="450"/>
      <c r="J1754" s="450"/>
      <c r="K1754" s="450"/>
      <c r="L1754" s="450"/>
      <c r="M1754" s="449"/>
      <c r="N1754" s="449"/>
    </row>
    <row r="1755" spans="5:14" ht="14.1" customHeight="1">
      <c r="E1755" s="446"/>
      <c r="F1755" s="446"/>
      <c r="G1755" s="446"/>
      <c r="H1755" s="446"/>
      <c r="I1755" s="446"/>
      <c r="J1755" s="447"/>
      <c r="K1755" s="447"/>
      <c r="L1755" s="448"/>
      <c r="M1755" s="449"/>
      <c r="N1755" s="450"/>
    </row>
    <row r="1756" spans="5:14" ht="14.1" customHeight="1">
      <c r="E1756" s="450"/>
      <c r="F1756" s="450"/>
      <c r="G1756" s="450"/>
      <c r="H1756" s="450"/>
      <c r="I1756" s="450"/>
      <c r="J1756" s="450"/>
      <c r="K1756" s="450"/>
      <c r="L1756" s="450"/>
      <c r="M1756" s="449"/>
      <c r="N1756" s="449"/>
    </row>
    <row r="1757" spans="5:14" ht="14.1" customHeight="1">
      <c r="E1757" s="450"/>
      <c r="F1757" s="450"/>
      <c r="G1757" s="450"/>
      <c r="H1757" s="450"/>
      <c r="I1757" s="450"/>
      <c r="J1757" s="450"/>
      <c r="K1757" s="450"/>
      <c r="L1757" s="450"/>
      <c r="M1757" s="449"/>
      <c r="N1757" s="449"/>
    </row>
    <row r="1758" spans="5:14" ht="14.1" customHeight="1">
      <c r="E1758" s="446"/>
      <c r="F1758" s="446"/>
      <c r="G1758" s="446"/>
      <c r="H1758" s="446"/>
      <c r="I1758" s="446"/>
      <c r="J1758" s="447"/>
      <c r="K1758" s="447"/>
      <c r="L1758" s="448"/>
      <c r="M1758" s="449"/>
      <c r="N1758" s="450"/>
    </row>
    <row r="1759" spans="5:14" ht="14.1" customHeight="1">
      <c r="E1759" s="446"/>
      <c r="F1759" s="446"/>
      <c r="G1759" s="446"/>
      <c r="H1759" s="446"/>
      <c r="I1759" s="446"/>
      <c r="J1759" s="447"/>
      <c r="K1759" s="447"/>
      <c r="L1759" s="448"/>
      <c r="M1759" s="449"/>
      <c r="N1759" s="450"/>
    </row>
    <row r="1760" spans="5:14" ht="14.1" customHeight="1">
      <c r="E1760" s="446"/>
      <c r="F1760" s="446"/>
      <c r="G1760" s="446"/>
      <c r="H1760" s="446"/>
      <c r="I1760" s="446"/>
      <c r="J1760" s="447"/>
      <c r="K1760" s="447"/>
      <c r="L1760" s="448"/>
      <c r="M1760" s="449"/>
      <c r="N1760" s="450"/>
    </row>
    <row r="1761" spans="5:14" ht="14.1" customHeight="1">
      <c r="E1761" s="446"/>
      <c r="F1761" s="446"/>
      <c r="G1761" s="446"/>
      <c r="H1761" s="446"/>
      <c r="I1761" s="446"/>
      <c r="J1761" s="447"/>
      <c r="K1761" s="447"/>
      <c r="L1761" s="448"/>
      <c r="M1761" s="449"/>
      <c r="N1761" s="450"/>
    </row>
    <row r="1762" spans="5:14" ht="14.1" customHeight="1">
      <c r="E1762" s="446"/>
      <c r="F1762" s="446"/>
      <c r="G1762" s="446"/>
      <c r="H1762" s="446"/>
      <c r="I1762" s="446"/>
      <c r="J1762" s="447"/>
      <c r="K1762" s="447"/>
      <c r="L1762" s="448"/>
      <c r="M1762" s="449"/>
      <c r="N1762" s="450"/>
    </row>
    <row r="1763" spans="5:14" ht="14.1" customHeight="1">
      <c r="E1763" s="446"/>
      <c r="F1763" s="446"/>
      <c r="G1763" s="446"/>
      <c r="H1763" s="446"/>
      <c r="I1763" s="446"/>
      <c r="J1763" s="447"/>
      <c r="K1763" s="447"/>
      <c r="L1763" s="448"/>
      <c r="M1763" s="449"/>
      <c r="N1763" s="450"/>
    </row>
    <row r="1764" spans="5:14" ht="14.1" customHeight="1">
      <c r="E1764" s="450"/>
      <c r="F1764" s="450"/>
      <c r="G1764" s="450"/>
      <c r="H1764" s="450"/>
      <c r="I1764" s="450"/>
      <c r="J1764" s="450"/>
      <c r="K1764" s="450"/>
      <c r="L1764" s="450"/>
      <c r="M1764" s="449"/>
      <c r="N1764" s="449"/>
    </row>
    <row r="1765" spans="5:14" ht="14.1" customHeight="1">
      <c r="E1765" s="446"/>
      <c r="F1765" s="446"/>
      <c r="G1765" s="446"/>
      <c r="H1765" s="446"/>
      <c r="I1765" s="446"/>
      <c r="J1765" s="447"/>
      <c r="K1765" s="447"/>
      <c r="L1765" s="448"/>
      <c r="M1765" s="449"/>
      <c r="N1765" s="450"/>
    </row>
    <row r="1766" spans="5:14" ht="14.1" customHeight="1">
      <c r="E1766" s="450"/>
      <c r="F1766" s="450"/>
      <c r="G1766" s="450"/>
      <c r="H1766" s="450"/>
      <c r="I1766" s="450"/>
      <c r="J1766" s="450"/>
      <c r="K1766" s="450"/>
      <c r="L1766" s="450"/>
      <c r="M1766" s="450"/>
      <c r="N1766" s="450"/>
    </row>
    <row r="1767" spans="5:14" ht="14.1" customHeight="1">
      <c r="E1767" s="446"/>
      <c r="F1767" s="446"/>
      <c r="G1767" s="446"/>
      <c r="H1767" s="446"/>
      <c r="I1767" s="446"/>
      <c r="J1767" s="447"/>
      <c r="K1767" s="447"/>
      <c r="L1767" s="448"/>
      <c r="M1767" s="449"/>
      <c r="N1767" s="450"/>
    </row>
    <row r="1768" spans="5:14" ht="14.1" customHeight="1">
      <c r="E1768" s="446"/>
      <c r="F1768" s="446"/>
      <c r="G1768" s="446"/>
      <c r="H1768" s="446"/>
      <c r="I1768" s="446"/>
      <c r="J1768" s="447"/>
      <c r="K1768" s="447"/>
      <c r="L1768" s="448"/>
      <c r="M1768" s="449"/>
      <c r="N1768" s="450"/>
    </row>
    <row r="1769" spans="5:14" ht="14.1" customHeight="1">
      <c r="E1769" s="450"/>
      <c r="F1769" s="450"/>
      <c r="G1769" s="450"/>
      <c r="H1769" s="450"/>
      <c r="I1769" s="450"/>
      <c r="J1769" s="450"/>
      <c r="K1769" s="450"/>
      <c r="L1769" s="450"/>
      <c r="M1769" s="449"/>
      <c r="N1769" s="449"/>
    </row>
    <row r="1770" spans="5:14" ht="14.1" customHeight="1">
      <c r="E1770" s="446"/>
      <c r="F1770" s="446"/>
      <c r="G1770" s="446"/>
      <c r="H1770" s="446"/>
      <c r="I1770" s="446"/>
      <c r="J1770" s="447"/>
      <c r="K1770" s="447"/>
      <c r="L1770" s="448"/>
      <c r="M1770" s="449"/>
      <c r="N1770" s="450"/>
    </row>
    <row r="1771" spans="5:14" ht="14.1" customHeight="1">
      <c r="E1771" s="450"/>
      <c r="F1771" s="450"/>
      <c r="G1771" s="450"/>
      <c r="H1771" s="450"/>
      <c r="I1771" s="450"/>
      <c r="J1771" s="450"/>
      <c r="K1771" s="450"/>
      <c r="L1771" s="450"/>
      <c r="M1771" s="449"/>
      <c r="N1771" s="449"/>
    </row>
    <row r="1772" spans="5:14" ht="14.1" customHeight="1">
      <c r="E1772" s="446"/>
      <c r="F1772" s="446"/>
      <c r="G1772" s="446"/>
      <c r="H1772" s="446"/>
      <c r="I1772" s="446"/>
      <c r="J1772" s="447"/>
      <c r="K1772" s="447"/>
      <c r="L1772" s="448"/>
      <c r="M1772" s="449"/>
      <c r="N1772" s="450"/>
    </row>
    <row r="1773" spans="5:14" ht="14.1" customHeight="1">
      <c r="E1773" s="446"/>
      <c r="F1773" s="446"/>
      <c r="G1773" s="446"/>
      <c r="H1773" s="446"/>
      <c r="I1773" s="446"/>
      <c r="J1773" s="447"/>
      <c r="K1773" s="447"/>
      <c r="L1773" s="448"/>
      <c r="M1773" s="449"/>
      <c r="N1773" s="450"/>
    </row>
    <row r="1774" spans="5:14" ht="14.1" customHeight="1">
      <c r="E1774" s="446"/>
      <c r="F1774" s="446"/>
      <c r="G1774" s="446"/>
      <c r="H1774" s="446"/>
      <c r="I1774" s="446"/>
      <c r="J1774" s="447"/>
      <c r="K1774" s="447"/>
      <c r="L1774" s="448"/>
      <c r="M1774" s="449"/>
      <c r="N1774" s="450"/>
    </row>
    <row r="1775" spans="5:14" ht="14.1" customHeight="1">
      <c r="E1775" s="450"/>
      <c r="F1775" s="450"/>
      <c r="G1775" s="450"/>
      <c r="H1775" s="450"/>
      <c r="I1775" s="450"/>
      <c r="J1775" s="450"/>
      <c r="K1775" s="450"/>
      <c r="L1775" s="450"/>
      <c r="M1775" s="449"/>
      <c r="N1775" s="449"/>
    </row>
    <row r="1776" spans="5:14" ht="14.1" customHeight="1">
      <c r="E1776" s="446"/>
      <c r="F1776" s="446"/>
      <c r="G1776" s="446"/>
      <c r="H1776" s="446"/>
      <c r="I1776" s="446"/>
      <c r="J1776" s="447"/>
      <c r="K1776" s="447"/>
      <c r="L1776" s="448"/>
      <c r="M1776" s="449"/>
      <c r="N1776" s="450"/>
    </row>
    <row r="1777" spans="5:14" ht="14.1" customHeight="1">
      <c r="E1777" s="446"/>
      <c r="F1777" s="446"/>
      <c r="G1777" s="446"/>
      <c r="H1777" s="446"/>
      <c r="I1777" s="446"/>
      <c r="J1777" s="447"/>
      <c r="K1777" s="447"/>
      <c r="L1777" s="448"/>
      <c r="M1777" s="449"/>
      <c r="N1777" s="450"/>
    </row>
    <row r="1778" spans="5:14" ht="14.1" customHeight="1">
      <c r="E1778" s="450"/>
      <c r="F1778" s="450"/>
      <c r="G1778" s="450"/>
      <c r="H1778" s="450"/>
      <c r="I1778" s="450"/>
      <c r="J1778" s="450"/>
      <c r="K1778" s="450"/>
      <c r="L1778" s="450"/>
      <c r="M1778" s="449"/>
      <c r="N1778" s="449"/>
    </row>
    <row r="1779" spans="5:14" ht="14.1" customHeight="1">
      <c r="E1779" s="446"/>
      <c r="F1779" s="446"/>
      <c r="G1779" s="446"/>
      <c r="H1779" s="446"/>
      <c r="I1779" s="446"/>
      <c r="J1779" s="447"/>
      <c r="K1779" s="447"/>
      <c r="L1779" s="448"/>
      <c r="M1779" s="449"/>
      <c r="N1779" s="450"/>
    </row>
    <row r="1780" spans="5:14" ht="14.1" customHeight="1">
      <c r="E1780" s="446"/>
      <c r="F1780" s="446"/>
      <c r="G1780" s="446"/>
      <c r="H1780" s="446"/>
      <c r="I1780" s="446"/>
      <c r="J1780" s="447"/>
      <c r="K1780" s="447"/>
      <c r="L1780" s="448"/>
      <c r="M1780" s="449"/>
      <c r="N1780" s="450"/>
    </row>
    <row r="1781" spans="5:14" ht="14.1" customHeight="1">
      <c r="E1781" s="450"/>
      <c r="F1781" s="450"/>
      <c r="G1781" s="450"/>
      <c r="H1781" s="450"/>
      <c r="I1781" s="450"/>
      <c r="J1781" s="450"/>
      <c r="K1781" s="450"/>
      <c r="L1781" s="450"/>
      <c r="M1781" s="449"/>
      <c r="N1781" s="449"/>
    </row>
    <row r="1782" spans="5:14" ht="14.1" customHeight="1">
      <c r="E1782" s="446"/>
      <c r="F1782" s="446"/>
      <c r="G1782" s="446"/>
      <c r="H1782" s="446"/>
      <c r="I1782" s="446"/>
      <c r="J1782" s="447"/>
      <c r="K1782" s="447"/>
      <c r="L1782" s="448"/>
      <c r="M1782" s="449"/>
      <c r="N1782" s="450"/>
    </row>
    <row r="1783" spans="5:14" ht="14.1" customHeight="1">
      <c r="E1783" s="450"/>
      <c r="F1783" s="450"/>
      <c r="G1783" s="450"/>
      <c r="H1783" s="450"/>
      <c r="I1783" s="450"/>
      <c r="J1783" s="450"/>
      <c r="K1783" s="450"/>
      <c r="L1783" s="450"/>
      <c r="M1783" s="449"/>
      <c r="N1783" s="449"/>
    </row>
    <row r="1784" spans="5:14" ht="14.1" customHeight="1">
      <c r="E1784" s="446"/>
      <c r="F1784" s="446"/>
      <c r="G1784" s="446"/>
      <c r="H1784" s="446"/>
      <c r="I1784" s="446"/>
      <c r="J1784" s="447"/>
      <c r="K1784" s="447"/>
      <c r="L1784" s="448"/>
      <c r="M1784" s="449"/>
      <c r="N1784" s="450"/>
    </row>
    <row r="1785" spans="5:14" ht="14.1" customHeight="1">
      <c r="E1785" s="446"/>
      <c r="F1785" s="446"/>
      <c r="G1785" s="446"/>
      <c r="H1785" s="446"/>
      <c r="I1785" s="446"/>
      <c r="J1785" s="447"/>
      <c r="K1785" s="447"/>
      <c r="L1785" s="448"/>
      <c r="M1785" s="449"/>
      <c r="N1785" s="450"/>
    </row>
    <row r="1786" spans="5:14" ht="14.1" customHeight="1">
      <c r="E1786" s="446"/>
      <c r="F1786" s="446"/>
      <c r="G1786" s="446"/>
      <c r="H1786" s="446"/>
      <c r="I1786" s="446"/>
      <c r="J1786" s="447"/>
      <c r="K1786" s="447"/>
      <c r="L1786" s="448"/>
      <c r="M1786" s="449"/>
      <c r="N1786" s="450"/>
    </row>
    <row r="1787" spans="5:14" ht="14.1" customHeight="1">
      <c r="E1787" s="446"/>
      <c r="F1787" s="446"/>
      <c r="G1787" s="446"/>
      <c r="H1787" s="446"/>
      <c r="I1787" s="446"/>
      <c r="J1787" s="447"/>
      <c r="K1787" s="447"/>
      <c r="L1787" s="448"/>
      <c r="M1787" s="449"/>
      <c r="N1787" s="450"/>
    </row>
    <row r="1788" spans="5:14" ht="14.1" customHeight="1">
      <c r="E1788" s="446"/>
      <c r="F1788" s="446"/>
      <c r="G1788" s="446"/>
      <c r="H1788" s="446"/>
      <c r="I1788" s="446"/>
      <c r="J1788" s="447"/>
      <c r="K1788" s="447"/>
      <c r="L1788" s="448"/>
      <c r="M1788" s="449"/>
      <c r="N1788" s="450"/>
    </row>
    <row r="1789" spans="5:14" ht="14.1" customHeight="1">
      <c r="E1789" s="450"/>
      <c r="F1789" s="450"/>
      <c r="G1789" s="450"/>
      <c r="H1789" s="450"/>
      <c r="I1789" s="450"/>
      <c r="J1789" s="450"/>
      <c r="K1789" s="450"/>
      <c r="L1789" s="450"/>
      <c r="M1789" s="449"/>
      <c r="N1789" s="449"/>
    </row>
    <row r="1790" spans="5:14" ht="14.1" customHeight="1">
      <c r="E1790" s="446"/>
      <c r="F1790" s="446"/>
      <c r="G1790" s="446"/>
      <c r="H1790" s="446"/>
      <c r="I1790" s="446"/>
      <c r="J1790" s="447"/>
      <c r="K1790" s="447"/>
      <c r="L1790" s="448"/>
      <c r="M1790" s="449"/>
      <c r="N1790" s="450"/>
    </row>
    <row r="1791" spans="5:14" ht="14.1" customHeight="1">
      <c r="E1791" s="446"/>
      <c r="F1791" s="446"/>
      <c r="G1791" s="446"/>
      <c r="H1791" s="446"/>
      <c r="I1791" s="446"/>
      <c r="J1791" s="447"/>
      <c r="K1791" s="447"/>
      <c r="L1791" s="448"/>
      <c r="M1791" s="449"/>
      <c r="N1791" s="450"/>
    </row>
    <row r="1792" spans="5:14" ht="14.1" customHeight="1">
      <c r="E1792" s="446"/>
      <c r="F1792" s="446"/>
      <c r="G1792" s="446"/>
      <c r="H1792" s="446"/>
      <c r="I1792" s="446"/>
      <c r="J1792" s="447"/>
      <c r="K1792" s="447"/>
      <c r="L1792" s="448"/>
      <c r="M1792" s="449"/>
      <c r="N1792" s="450"/>
    </row>
    <row r="1793" spans="5:14" ht="14.1" customHeight="1">
      <c r="E1793" s="446"/>
      <c r="F1793" s="446"/>
      <c r="G1793" s="446"/>
      <c r="H1793" s="446"/>
      <c r="I1793" s="446"/>
      <c r="J1793" s="447"/>
      <c r="K1793" s="447"/>
      <c r="L1793" s="448"/>
      <c r="M1793" s="449"/>
      <c r="N1793" s="450"/>
    </row>
    <row r="1794" spans="5:14" ht="14.1" customHeight="1">
      <c r="E1794" s="446"/>
      <c r="F1794" s="446"/>
      <c r="G1794" s="446"/>
      <c r="H1794" s="446"/>
      <c r="I1794" s="446"/>
      <c r="J1794" s="447"/>
      <c r="K1794" s="447"/>
      <c r="L1794" s="448"/>
      <c r="M1794" s="449"/>
      <c r="N1794" s="450"/>
    </row>
    <row r="1795" spans="5:14" ht="14.1" customHeight="1">
      <c r="E1795" s="450"/>
      <c r="F1795" s="450"/>
      <c r="G1795" s="450"/>
      <c r="H1795" s="450"/>
      <c r="I1795" s="450"/>
      <c r="J1795" s="450"/>
      <c r="K1795" s="450"/>
      <c r="L1795" s="450"/>
      <c r="M1795" s="449"/>
      <c r="N1795" s="449"/>
    </row>
    <row r="1796" spans="5:14" ht="14.1" customHeight="1">
      <c r="E1796" s="450"/>
      <c r="F1796" s="450"/>
      <c r="G1796" s="450"/>
      <c r="H1796" s="450"/>
      <c r="I1796" s="450"/>
      <c r="J1796" s="450"/>
      <c r="K1796" s="450"/>
      <c r="L1796" s="450"/>
      <c r="M1796" s="449"/>
      <c r="N1796" s="449"/>
    </row>
    <row r="1797" spans="5:14" ht="14.1" customHeight="1">
      <c r="E1797" s="446"/>
      <c r="F1797" s="446"/>
      <c r="G1797" s="446"/>
      <c r="H1797" s="446"/>
      <c r="I1797" s="446"/>
      <c r="J1797" s="447"/>
      <c r="K1797" s="447"/>
      <c r="L1797" s="448"/>
      <c r="M1797" s="449"/>
      <c r="N1797" s="450"/>
    </row>
    <row r="1798" spans="5:14" ht="14.1" customHeight="1">
      <c r="E1798" s="446"/>
      <c r="F1798" s="446"/>
      <c r="G1798" s="446"/>
      <c r="H1798" s="446"/>
      <c r="I1798" s="446"/>
      <c r="J1798" s="447"/>
      <c r="K1798" s="447"/>
      <c r="L1798" s="448"/>
      <c r="M1798" s="449"/>
      <c r="N1798" s="450"/>
    </row>
    <row r="1799" spans="5:14" ht="14.1" customHeight="1">
      <c r="E1799" s="446"/>
      <c r="F1799" s="446"/>
      <c r="G1799" s="446"/>
      <c r="H1799" s="446"/>
      <c r="I1799" s="446"/>
      <c r="J1799" s="447"/>
      <c r="K1799" s="447"/>
      <c r="L1799" s="448"/>
      <c r="M1799" s="449"/>
      <c r="N1799" s="450"/>
    </row>
    <row r="1800" spans="5:14" ht="14.1" customHeight="1">
      <c r="E1800" s="446"/>
      <c r="F1800" s="446"/>
      <c r="G1800" s="446"/>
      <c r="H1800" s="446"/>
      <c r="I1800" s="446"/>
      <c r="J1800" s="447"/>
      <c r="K1800" s="447"/>
      <c r="L1800" s="448"/>
      <c r="M1800" s="449"/>
      <c r="N1800" s="450"/>
    </row>
    <row r="1801" spans="5:14" ht="14.1" customHeight="1">
      <c r="E1801" s="446"/>
      <c r="F1801" s="446"/>
      <c r="G1801" s="446"/>
      <c r="H1801" s="446"/>
      <c r="I1801" s="446"/>
      <c r="J1801" s="447"/>
      <c r="K1801" s="447"/>
      <c r="L1801" s="448"/>
      <c r="M1801" s="449"/>
      <c r="N1801" s="450"/>
    </row>
    <row r="1802" spans="5:14" ht="14.1" customHeight="1">
      <c r="E1802" s="446"/>
      <c r="F1802" s="446"/>
      <c r="G1802" s="446"/>
      <c r="H1802" s="446"/>
      <c r="I1802" s="446"/>
      <c r="J1802" s="447"/>
      <c r="K1802" s="447"/>
      <c r="L1802" s="448"/>
      <c r="M1802" s="449"/>
      <c r="N1802" s="450"/>
    </row>
    <row r="1803" spans="5:14" ht="14.1" customHeight="1">
      <c r="E1803" s="446"/>
      <c r="F1803" s="446"/>
      <c r="G1803" s="446"/>
      <c r="H1803" s="446"/>
      <c r="I1803" s="446"/>
      <c r="J1803" s="447"/>
      <c r="K1803" s="447"/>
      <c r="L1803" s="448"/>
      <c r="M1803" s="449"/>
      <c r="N1803" s="450"/>
    </row>
    <row r="1804" spans="5:14" ht="14.1" customHeight="1">
      <c r="E1804" s="446"/>
      <c r="F1804" s="446"/>
      <c r="G1804" s="446"/>
      <c r="H1804" s="446"/>
      <c r="I1804" s="446"/>
      <c r="J1804" s="447"/>
      <c r="K1804" s="447"/>
      <c r="L1804" s="448"/>
      <c r="M1804" s="449"/>
      <c r="N1804" s="450"/>
    </row>
    <row r="1805" spans="5:14" ht="14.1" customHeight="1">
      <c r="E1805" s="450"/>
      <c r="F1805" s="450"/>
      <c r="G1805" s="450"/>
      <c r="H1805" s="450"/>
      <c r="I1805" s="450"/>
      <c r="J1805" s="450"/>
      <c r="K1805" s="450"/>
      <c r="L1805" s="450"/>
      <c r="M1805" s="449"/>
      <c r="N1805" s="449"/>
    </row>
    <row r="1806" spans="5:14" ht="14.1" customHeight="1">
      <c r="E1806" s="446"/>
      <c r="F1806" s="446"/>
      <c r="G1806" s="446"/>
      <c r="H1806" s="446"/>
      <c r="I1806" s="446"/>
      <c r="J1806" s="447"/>
      <c r="K1806" s="447"/>
      <c r="L1806" s="448"/>
      <c r="M1806" s="449"/>
      <c r="N1806" s="450"/>
    </row>
    <row r="1807" spans="5:14" ht="14.1" customHeight="1">
      <c r="E1807" s="446"/>
      <c r="F1807" s="446"/>
      <c r="G1807" s="446"/>
      <c r="H1807" s="446"/>
      <c r="I1807" s="446"/>
      <c r="J1807" s="447"/>
      <c r="K1807" s="447"/>
      <c r="L1807" s="448"/>
      <c r="M1807" s="449"/>
      <c r="N1807" s="450"/>
    </row>
    <row r="1808" spans="5:14" ht="14.1" customHeight="1">
      <c r="E1808" s="446"/>
      <c r="F1808" s="446"/>
      <c r="G1808" s="446"/>
      <c r="H1808" s="446"/>
      <c r="I1808" s="446"/>
      <c r="J1808" s="447"/>
      <c r="K1808" s="447"/>
      <c r="L1808" s="448"/>
      <c r="M1808" s="449"/>
      <c r="N1808" s="450"/>
    </row>
    <row r="1809" spans="5:14" ht="14.1" customHeight="1">
      <c r="E1809" s="450"/>
      <c r="F1809" s="450"/>
      <c r="G1809" s="450"/>
      <c r="H1809" s="450"/>
      <c r="I1809" s="450"/>
      <c r="J1809" s="450"/>
      <c r="K1809" s="450"/>
      <c r="L1809" s="450"/>
      <c r="M1809" s="449"/>
      <c r="N1809" s="449"/>
    </row>
    <row r="1810" spans="5:14" ht="14.1" customHeight="1">
      <c r="E1810" s="446"/>
      <c r="F1810" s="446"/>
      <c r="G1810" s="446"/>
      <c r="H1810" s="446"/>
      <c r="I1810" s="446"/>
      <c r="J1810" s="447"/>
      <c r="K1810" s="447"/>
      <c r="L1810" s="448"/>
      <c r="M1810" s="449"/>
      <c r="N1810" s="450"/>
    </row>
    <row r="1811" spans="5:14" ht="14.1" customHeight="1">
      <c r="E1811" s="446"/>
      <c r="F1811" s="446"/>
      <c r="G1811" s="446"/>
      <c r="H1811" s="446"/>
      <c r="I1811" s="446"/>
      <c r="J1811" s="447"/>
      <c r="K1811" s="447"/>
      <c r="L1811" s="448"/>
      <c r="M1811" s="449"/>
      <c r="N1811" s="450"/>
    </row>
    <row r="1812" spans="5:14" ht="14.1" customHeight="1">
      <c r="E1812" s="446"/>
      <c r="F1812" s="446"/>
      <c r="G1812" s="446"/>
      <c r="H1812" s="446"/>
      <c r="I1812" s="446"/>
      <c r="J1812" s="447"/>
      <c r="K1812" s="447"/>
      <c r="L1812" s="448"/>
      <c r="M1812" s="449"/>
      <c r="N1812" s="450"/>
    </row>
    <row r="1813" spans="5:14" ht="14.1" customHeight="1">
      <c r="E1813" s="446"/>
      <c r="F1813" s="446"/>
      <c r="G1813" s="446"/>
      <c r="H1813" s="446"/>
      <c r="I1813" s="446"/>
      <c r="J1813" s="447"/>
      <c r="K1813" s="447"/>
      <c r="L1813" s="448"/>
      <c r="M1813" s="449"/>
      <c r="N1813" s="450"/>
    </row>
    <row r="1814" spans="5:14" ht="14.1" customHeight="1">
      <c r="E1814" s="450"/>
      <c r="F1814" s="450"/>
      <c r="G1814" s="450"/>
      <c r="H1814" s="450"/>
      <c r="I1814" s="450"/>
      <c r="J1814" s="450"/>
      <c r="K1814" s="450"/>
      <c r="L1814" s="450"/>
      <c r="M1814" s="450"/>
      <c r="N1814" s="450"/>
    </row>
    <row r="1815" spans="5:14" ht="14.1" customHeight="1">
      <c r="E1815" s="446"/>
      <c r="F1815" s="446"/>
      <c r="G1815" s="446"/>
      <c r="H1815" s="446"/>
      <c r="I1815" s="446"/>
      <c r="J1815" s="447"/>
      <c r="K1815" s="447"/>
      <c r="L1815" s="448"/>
      <c r="M1815" s="449"/>
      <c r="N1815" s="450"/>
    </row>
    <row r="1816" spans="5:14" ht="14.1" customHeight="1">
      <c r="E1816" s="450"/>
      <c r="F1816" s="450"/>
      <c r="G1816" s="450"/>
      <c r="H1816" s="450"/>
      <c r="I1816" s="450"/>
      <c r="J1816" s="450"/>
      <c r="K1816" s="450"/>
      <c r="L1816" s="450"/>
      <c r="M1816" s="449"/>
      <c r="N1816" s="449"/>
    </row>
    <row r="1817" spans="5:14" ht="14.1" customHeight="1">
      <c r="E1817" s="446"/>
      <c r="F1817" s="446"/>
      <c r="G1817" s="446"/>
      <c r="H1817" s="446"/>
      <c r="I1817" s="446"/>
      <c r="J1817" s="447"/>
      <c r="K1817" s="447"/>
      <c r="L1817" s="448"/>
      <c r="M1817" s="449"/>
      <c r="N1817" s="450"/>
    </row>
    <row r="1818" spans="5:14" ht="14.1" customHeight="1">
      <c r="E1818" s="446"/>
      <c r="F1818" s="446"/>
      <c r="G1818" s="446"/>
      <c r="H1818" s="446"/>
      <c r="I1818" s="446"/>
      <c r="J1818" s="447"/>
      <c r="K1818" s="447"/>
      <c r="L1818" s="448"/>
      <c r="M1818" s="449"/>
      <c r="N1818" s="450"/>
    </row>
    <row r="1819" spans="5:14" ht="14.1" customHeight="1">
      <c r="E1819" s="450"/>
      <c r="F1819" s="450"/>
      <c r="G1819" s="450"/>
      <c r="H1819" s="450"/>
      <c r="I1819" s="450"/>
      <c r="J1819" s="450"/>
      <c r="K1819" s="450"/>
      <c r="L1819" s="450"/>
      <c r="M1819" s="449"/>
      <c r="N1819" s="449"/>
    </row>
    <row r="1820" spans="5:14" ht="14.1" customHeight="1">
      <c r="E1820" s="446"/>
      <c r="F1820" s="446"/>
      <c r="G1820" s="446"/>
      <c r="H1820" s="446"/>
      <c r="I1820" s="446"/>
      <c r="J1820" s="447"/>
      <c r="K1820" s="447"/>
      <c r="L1820" s="448"/>
      <c r="M1820" s="449"/>
      <c r="N1820" s="450"/>
    </row>
    <row r="1821" spans="5:14" ht="14.1" customHeight="1">
      <c r="E1821" s="450"/>
      <c r="F1821" s="450"/>
      <c r="G1821" s="450"/>
      <c r="H1821" s="450"/>
      <c r="I1821" s="450"/>
      <c r="J1821" s="450"/>
      <c r="K1821" s="450"/>
      <c r="L1821" s="450"/>
      <c r="M1821" s="449"/>
      <c r="N1821" s="449"/>
    </row>
    <row r="1822" spans="5:14" ht="14.1" customHeight="1">
      <c r="E1822" s="446"/>
      <c r="F1822" s="446"/>
      <c r="G1822" s="446"/>
      <c r="H1822" s="446"/>
      <c r="I1822" s="446"/>
      <c r="J1822" s="447"/>
      <c r="K1822" s="447"/>
      <c r="L1822" s="448"/>
      <c r="M1822" s="449"/>
      <c r="N1822" s="450"/>
    </row>
    <row r="1823" spans="5:14" ht="14.1" customHeight="1">
      <c r="E1823" s="446"/>
      <c r="F1823" s="446"/>
      <c r="G1823" s="446"/>
      <c r="H1823" s="446"/>
      <c r="I1823" s="446"/>
      <c r="J1823" s="447"/>
      <c r="K1823" s="447"/>
      <c r="L1823" s="448"/>
      <c r="M1823" s="449"/>
      <c r="N1823" s="450"/>
    </row>
    <row r="1824" spans="5:14" ht="14.1" customHeight="1">
      <c r="E1824" s="446"/>
      <c r="F1824" s="446"/>
      <c r="G1824" s="446"/>
      <c r="H1824" s="446"/>
      <c r="I1824" s="446"/>
      <c r="J1824" s="447"/>
      <c r="K1824" s="447"/>
      <c r="L1824" s="448"/>
      <c r="M1824" s="449"/>
      <c r="N1824" s="450"/>
    </row>
    <row r="1825" spans="5:14" ht="14.1" customHeight="1">
      <c r="E1825" s="450"/>
      <c r="F1825" s="450"/>
      <c r="G1825" s="450"/>
      <c r="H1825" s="450"/>
      <c r="I1825" s="450"/>
      <c r="J1825" s="450"/>
      <c r="K1825" s="450"/>
      <c r="L1825" s="450"/>
      <c r="M1825" s="449"/>
      <c r="N1825" s="449"/>
    </row>
    <row r="1826" spans="5:14" ht="14.1" customHeight="1">
      <c r="E1826" s="446"/>
      <c r="F1826" s="446"/>
      <c r="G1826" s="446"/>
      <c r="H1826" s="446"/>
      <c r="I1826" s="446"/>
      <c r="J1826" s="447"/>
      <c r="K1826" s="447"/>
      <c r="L1826" s="448"/>
      <c r="M1826" s="449"/>
      <c r="N1826" s="450"/>
    </row>
    <row r="1827" spans="5:14" ht="14.1" customHeight="1">
      <c r="E1827" s="446"/>
      <c r="F1827" s="446"/>
      <c r="G1827" s="446"/>
      <c r="H1827" s="446"/>
      <c r="I1827" s="446"/>
      <c r="J1827" s="447"/>
      <c r="K1827" s="447"/>
      <c r="L1827" s="448"/>
      <c r="M1827" s="449"/>
      <c r="N1827" s="450"/>
    </row>
    <row r="1828" spans="5:14" ht="14.1" customHeight="1">
      <c r="E1828" s="450"/>
      <c r="F1828" s="450"/>
      <c r="G1828" s="450"/>
      <c r="H1828" s="450"/>
      <c r="I1828" s="450"/>
      <c r="J1828" s="450"/>
      <c r="K1828" s="450"/>
      <c r="L1828" s="450"/>
      <c r="M1828" s="449"/>
      <c r="N1828" s="449"/>
    </row>
    <row r="1829" spans="5:14" ht="14.1" customHeight="1">
      <c r="E1829" s="446"/>
      <c r="F1829" s="446"/>
      <c r="G1829" s="446"/>
      <c r="H1829" s="446"/>
      <c r="I1829" s="446"/>
      <c r="J1829" s="447"/>
      <c r="K1829" s="447"/>
      <c r="L1829" s="448"/>
      <c r="M1829" s="449"/>
      <c r="N1829" s="450"/>
    </row>
    <row r="1830" spans="5:14" ht="14.1" customHeight="1">
      <c r="E1830" s="450"/>
      <c r="F1830" s="450"/>
      <c r="G1830" s="450"/>
      <c r="H1830" s="450"/>
      <c r="I1830" s="450"/>
      <c r="J1830" s="450"/>
      <c r="K1830" s="450"/>
      <c r="L1830" s="450"/>
      <c r="M1830" s="449"/>
      <c r="N1830" s="449"/>
    </row>
    <row r="1831" spans="5:14" ht="14.1" customHeight="1">
      <c r="E1831" s="446"/>
      <c r="F1831" s="446"/>
      <c r="G1831" s="446"/>
      <c r="H1831" s="446"/>
      <c r="I1831" s="446"/>
      <c r="J1831" s="447"/>
      <c r="K1831" s="447"/>
      <c r="L1831" s="448"/>
      <c r="M1831" s="449"/>
      <c r="N1831" s="450"/>
    </row>
    <row r="1832" spans="5:14" ht="14.1" customHeight="1">
      <c r="E1832" s="450"/>
      <c r="F1832" s="450"/>
      <c r="G1832" s="450"/>
      <c r="H1832" s="450"/>
      <c r="I1832" s="450"/>
      <c r="J1832" s="450"/>
      <c r="K1832" s="450"/>
      <c r="L1832" s="450"/>
      <c r="M1832" s="449"/>
      <c r="N1832" s="449"/>
    </row>
    <row r="1833" spans="5:14" ht="14.1" customHeight="1">
      <c r="E1833" s="450"/>
      <c r="F1833" s="450"/>
      <c r="G1833" s="450"/>
      <c r="H1833" s="450"/>
      <c r="I1833" s="450"/>
      <c r="J1833" s="450"/>
      <c r="K1833" s="450"/>
      <c r="L1833" s="450"/>
      <c r="M1833" s="449"/>
      <c r="N1833" s="449"/>
    </row>
    <row r="1834" spans="5:14" ht="14.1" customHeight="1">
      <c r="E1834" s="446"/>
      <c r="F1834" s="446"/>
      <c r="G1834" s="446"/>
      <c r="H1834" s="446"/>
      <c r="I1834" s="446"/>
      <c r="J1834" s="447"/>
      <c r="K1834" s="447"/>
      <c r="L1834" s="448"/>
      <c r="M1834" s="449"/>
      <c r="N1834" s="450"/>
    </row>
    <row r="1835" spans="5:14" ht="14.1" customHeight="1">
      <c r="E1835" s="450"/>
      <c r="F1835" s="450"/>
      <c r="G1835" s="450"/>
      <c r="H1835" s="450"/>
      <c r="I1835" s="450"/>
      <c r="J1835" s="450"/>
      <c r="K1835" s="450"/>
      <c r="L1835" s="450"/>
      <c r="M1835" s="449"/>
      <c r="N1835" s="449"/>
    </row>
    <row r="1836" spans="5:14" ht="14.1" customHeight="1">
      <c r="E1836" s="446"/>
      <c r="F1836" s="446"/>
      <c r="G1836" s="446"/>
      <c r="H1836" s="446"/>
      <c r="I1836" s="446"/>
      <c r="J1836" s="447"/>
      <c r="K1836" s="447"/>
      <c r="L1836" s="448"/>
      <c r="M1836" s="449"/>
      <c r="N1836" s="450"/>
    </row>
    <row r="1837" spans="5:14" ht="14.1" customHeight="1">
      <c r="E1837" s="446"/>
      <c r="F1837" s="446"/>
      <c r="G1837" s="446"/>
      <c r="H1837" s="446"/>
      <c r="I1837" s="446"/>
      <c r="J1837" s="447"/>
      <c r="K1837" s="447"/>
      <c r="L1837" s="448"/>
      <c r="M1837" s="449"/>
      <c r="N1837" s="450"/>
    </row>
    <row r="1838" spans="5:14" ht="14.1" customHeight="1">
      <c r="E1838" s="450"/>
      <c r="F1838" s="450"/>
      <c r="G1838" s="450"/>
      <c r="H1838" s="450"/>
      <c r="I1838" s="450"/>
      <c r="J1838" s="450"/>
      <c r="K1838" s="450"/>
      <c r="L1838" s="450"/>
      <c r="M1838" s="449"/>
      <c r="N1838" s="449"/>
    </row>
    <row r="1839" spans="5:14" ht="14.1" customHeight="1">
      <c r="E1839" s="450"/>
      <c r="F1839" s="450"/>
      <c r="G1839" s="450"/>
      <c r="H1839" s="450"/>
      <c r="I1839" s="450"/>
      <c r="J1839" s="450"/>
      <c r="K1839" s="450"/>
      <c r="L1839" s="450"/>
      <c r="M1839" s="449"/>
      <c r="N1839" s="449"/>
    </row>
    <row r="1840" spans="5:14" ht="14.1" customHeight="1">
      <c r="E1840" s="446"/>
      <c r="F1840" s="446"/>
      <c r="G1840" s="446"/>
      <c r="H1840" s="446"/>
      <c r="I1840" s="446"/>
      <c r="J1840" s="447"/>
      <c r="K1840" s="447"/>
      <c r="L1840" s="448"/>
      <c r="M1840" s="449"/>
      <c r="N1840" s="450"/>
    </row>
    <row r="1841" spans="5:14" ht="14.1" customHeight="1">
      <c r="E1841" s="446"/>
      <c r="F1841" s="446"/>
      <c r="G1841" s="446"/>
      <c r="H1841" s="446"/>
      <c r="I1841" s="446"/>
      <c r="J1841" s="447"/>
      <c r="K1841" s="447"/>
      <c r="L1841" s="448"/>
      <c r="M1841" s="449"/>
      <c r="N1841" s="450"/>
    </row>
    <row r="1842" spans="5:14" ht="14.1" customHeight="1">
      <c r="E1842" s="446"/>
      <c r="F1842" s="446"/>
      <c r="G1842" s="446"/>
      <c r="H1842" s="446"/>
      <c r="I1842" s="446"/>
      <c r="J1842" s="447"/>
      <c r="K1842" s="447"/>
      <c r="L1842" s="448"/>
      <c r="M1842" s="449"/>
      <c r="N1842" s="450"/>
    </row>
    <row r="1843" spans="5:14" ht="14.1" customHeight="1">
      <c r="E1843" s="450"/>
      <c r="F1843" s="450"/>
      <c r="G1843" s="450"/>
      <c r="H1843" s="450"/>
      <c r="I1843" s="450"/>
      <c r="J1843" s="450"/>
      <c r="K1843" s="450"/>
      <c r="L1843" s="450"/>
      <c r="M1843" s="449"/>
      <c r="N1843" s="449"/>
    </row>
    <row r="1844" spans="5:14" ht="14.1" customHeight="1">
      <c r="E1844" s="446"/>
      <c r="F1844" s="446"/>
      <c r="G1844" s="446"/>
      <c r="H1844" s="446"/>
      <c r="I1844" s="446"/>
      <c r="J1844" s="447"/>
      <c r="K1844" s="447"/>
      <c r="L1844" s="448"/>
      <c r="M1844" s="449"/>
      <c r="N1844" s="450"/>
    </row>
    <row r="1845" spans="5:14" ht="14.1" customHeight="1">
      <c r="E1845" s="446"/>
      <c r="F1845" s="446"/>
      <c r="G1845" s="446"/>
      <c r="H1845" s="446"/>
      <c r="I1845" s="446"/>
      <c r="J1845" s="447"/>
      <c r="K1845" s="447"/>
      <c r="L1845" s="448"/>
      <c r="M1845" s="449"/>
      <c r="N1845" s="450"/>
    </row>
    <row r="1846" spans="5:14" ht="14.1" customHeight="1">
      <c r="E1846" s="446"/>
      <c r="F1846" s="446"/>
      <c r="G1846" s="446"/>
      <c r="H1846" s="446"/>
      <c r="I1846" s="446"/>
      <c r="J1846" s="447"/>
      <c r="K1846" s="447"/>
      <c r="L1846" s="448"/>
      <c r="M1846" s="449"/>
      <c r="N1846" s="450"/>
    </row>
    <row r="1847" spans="5:14" ht="14.1" customHeight="1">
      <c r="E1847" s="446"/>
      <c r="F1847" s="446"/>
      <c r="G1847" s="446"/>
      <c r="H1847" s="446"/>
      <c r="I1847" s="446"/>
      <c r="J1847" s="447"/>
      <c r="K1847" s="447"/>
      <c r="L1847" s="448"/>
      <c r="M1847" s="449"/>
      <c r="N1847" s="450"/>
    </row>
    <row r="1848" spans="5:14" ht="14.1" customHeight="1">
      <c r="E1848" s="446"/>
      <c r="F1848" s="446"/>
      <c r="G1848" s="446"/>
      <c r="H1848" s="446"/>
      <c r="I1848" s="446"/>
      <c r="J1848" s="447"/>
      <c r="K1848" s="447"/>
      <c r="L1848" s="448"/>
      <c r="M1848" s="449"/>
      <c r="N1848" s="450"/>
    </row>
    <row r="1849" spans="5:14" ht="14.1" customHeight="1">
      <c r="E1849" s="446"/>
      <c r="F1849" s="446"/>
      <c r="G1849" s="446"/>
      <c r="H1849" s="446"/>
      <c r="I1849" s="446"/>
      <c r="J1849" s="447"/>
      <c r="K1849" s="447"/>
      <c r="L1849" s="448"/>
      <c r="M1849" s="449"/>
      <c r="N1849" s="450"/>
    </row>
    <row r="1850" spans="5:14" ht="14.1" customHeight="1">
      <c r="E1850" s="446"/>
      <c r="F1850" s="446"/>
      <c r="G1850" s="446"/>
      <c r="H1850" s="446"/>
      <c r="I1850" s="446"/>
      <c r="J1850" s="447"/>
      <c r="K1850" s="447"/>
      <c r="L1850" s="448"/>
      <c r="M1850" s="449"/>
      <c r="N1850" s="450"/>
    </row>
    <row r="1851" spans="5:14" ht="14.1" customHeight="1">
      <c r="E1851" s="446"/>
      <c r="F1851" s="446"/>
      <c r="G1851" s="446"/>
      <c r="H1851" s="446"/>
      <c r="I1851" s="446"/>
      <c r="J1851" s="447"/>
      <c r="K1851" s="447"/>
      <c r="L1851" s="448"/>
      <c r="M1851" s="449"/>
      <c r="N1851" s="450"/>
    </row>
    <row r="1852" spans="5:14" ht="14.1" customHeight="1">
      <c r="E1852" s="446"/>
      <c r="F1852" s="446"/>
      <c r="G1852" s="446"/>
      <c r="H1852" s="446"/>
      <c r="I1852" s="446"/>
      <c r="J1852" s="447"/>
      <c r="K1852" s="447"/>
      <c r="L1852" s="448"/>
      <c r="M1852" s="449"/>
      <c r="N1852" s="450"/>
    </row>
    <row r="1853" spans="5:14" ht="14.1" customHeight="1">
      <c r="E1853" s="446"/>
      <c r="F1853" s="446"/>
      <c r="G1853" s="446"/>
      <c r="H1853" s="446"/>
      <c r="I1853" s="446"/>
      <c r="J1853" s="447"/>
      <c r="K1853" s="447"/>
      <c r="L1853" s="448"/>
      <c r="M1853" s="449"/>
      <c r="N1853" s="450"/>
    </row>
    <row r="1854" spans="5:14" ht="14.1" customHeight="1">
      <c r="E1854" s="446"/>
      <c r="F1854" s="446"/>
      <c r="G1854" s="446"/>
      <c r="H1854" s="446"/>
      <c r="I1854" s="446"/>
      <c r="J1854" s="447"/>
      <c r="K1854" s="447"/>
      <c r="L1854" s="448"/>
      <c r="M1854" s="449"/>
      <c r="N1854" s="450"/>
    </row>
    <row r="1855" spans="5:14" ht="14.1" customHeight="1">
      <c r="E1855" s="446"/>
      <c r="F1855" s="446"/>
      <c r="G1855" s="446"/>
      <c r="H1855" s="446"/>
      <c r="I1855" s="446"/>
      <c r="J1855" s="447"/>
      <c r="K1855" s="447"/>
      <c r="L1855" s="448"/>
      <c r="M1855" s="449"/>
      <c r="N1855" s="450"/>
    </row>
    <row r="1856" spans="5:14" ht="14.1" customHeight="1">
      <c r="E1856" s="446"/>
      <c r="F1856" s="446"/>
      <c r="G1856" s="446"/>
      <c r="H1856" s="446"/>
      <c r="I1856" s="446"/>
      <c r="J1856" s="447"/>
      <c r="K1856" s="447"/>
      <c r="L1856" s="448"/>
      <c r="M1856" s="449"/>
      <c r="N1856" s="450"/>
    </row>
    <row r="1857" spans="5:14" ht="14.1" customHeight="1">
      <c r="E1857" s="450"/>
      <c r="F1857" s="450"/>
      <c r="G1857" s="450"/>
      <c r="H1857" s="450"/>
      <c r="I1857" s="450"/>
      <c r="J1857" s="450"/>
      <c r="K1857" s="450"/>
      <c r="L1857" s="450"/>
      <c r="M1857" s="449"/>
      <c r="N1857" s="449"/>
    </row>
    <row r="1858" spans="5:14" ht="14.1" customHeight="1">
      <c r="E1858" s="446"/>
      <c r="F1858" s="446"/>
      <c r="G1858" s="446"/>
      <c r="H1858" s="446"/>
      <c r="I1858" s="446"/>
      <c r="J1858" s="447"/>
      <c r="K1858" s="447"/>
      <c r="L1858" s="448"/>
      <c r="M1858" s="449"/>
      <c r="N1858" s="450"/>
    </row>
    <row r="1859" spans="5:14" ht="14.1" customHeight="1">
      <c r="E1859" s="450"/>
      <c r="F1859" s="450"/>
      <c r="G1859" s="450"/>
      <c r="H1859" s="450"/>
      <c r="I1859" s="450"/>
      <c r="J1859" s="450"/>
      <c r="K1859" s="450"/>
      <c r="L1859" s="450"/>
      <c r="M1859" s="449"/>
      <c r="N1859" s="449"/>
    </row>
    <row r="1860" spans="5:14" ht="14.1" customHeight="1">
      <c r="E1860" s="446"/>
      <c r="F1860" s="446"/>
      <c r="G1860" s="446"/>
      <c r="H1860" s="446"/>
      <c r="I1860" s="446"/>
      <c r="J1860" s="447"/>
      <c r="K1860" s="447"/>
      <c r="L1860" s="448"/>
      <c r="M1860" s="449"/>
      <c r="N1860" s="450"/>
    </row>
    <row r="1861" spans="5:14" ht="14.1" customHeight="1">
      <c r="E1861" s="450"/>
      <c r="F1861" s="450"/>
      <c r="G1861" s="450"/>
      <c r="H1861" s="450"/>
      <c r="I1861" s="450"/>
      <c r="J1861" s="450"/>
      <c r="K1861" s="450"/>
      <c r="L1861" s="450"/>
      <c r="M1861" s="450"/>
      <c r="N1861" s="450"/>
    </row>
    <row r="1862" spans="5:14" ht="14.1" customHeight="1">
      <c r="E1862" s="446"/>
      <c r="F1862" s="446"/>
      <c r="G1862" s="446"/>
      <c r="H1862" s="446"/>
      <c r="I1862" s="446"/>
      <c r="J1862" s="447"/>
      <c r="K1862" s="447"/>
      <c r="L1862" s="448"/>
      <c r="M1862" s="449"/>
      <c r="N1862" s="450"/>
    </row>
    <row r="1863" spans="5:14" ht="14.1" customHeight="1">
      <c r="E1863" s="446"/>
      <c r="F1863" s="446"/>
      <c r="G1863" s="446"/>
      <c r="H1863" s="446"/>
      <c r="I1863" s="446"/>
      <c r="J1863" s="447"/>
      <c r="K1863" s="447"/>
      <c r="L1863" s="448"/>
      <c r="M1863" s="449"/>
      <c r="N1863" s="450"/>
    </row>
    <row r="1864" spans="5:14" ht="14.1" customHeight="1">
      <c r="E1864" s="446"/>
      <c r="F1864" s="446"/>
      <c r="G1864" s="446"/>
      <c r="H1864" s="446"/>
      <c r="I1864" s="446"/>
      <c r="J1864" s="447"/>
      <c r="K1864" s="447"/>
      <c r="L1864" s="448"/>
      <c r="M1864" s="449"/>
      <c r="N1864" s="450"/>
    </row>
    <row r="1865" spans="5:14" ht="14.1" customHeight="1">
      <c r="E1865" s="446"/>
      <c r="F1865" s="446"/>
      <c r="G1865" s="446"/>
      <c r="H1865" s="446"/>
      <c r="I1865" s="446"/>
      <c r="J1865" s="447"/>
      <c r="K1865" s="447"/>
      <c r="L1865" s="448"/>
      <c r="M1865" s="449"/>
      <c r="N1865" s="450"/>
    </row>
    <row r="1866" spans="5:14" ht="14.1" customHeight="1">
      <c r="E1866" s="446"/>
      <c r="F1866" s="446"/>
      <c r="G1866" s="446"/>
      <c r="H1866" s="446"/>
      <c r="I1866" s="446"/>
      <c r="J1866" s="447"/>
      <c r="K1866" s="447"/>
      <c r="L1866" s="448"/>
      <c r="M1866" s="449"/>
      <c r="N1866" s="450"/>
    </row>
    <row r="1867" spans="5:14" ht="14.1" customHeight="1">
      <c r="E1867" s="446"/>
      <c r="F1867" s="446"/>
      <c r="G1867" s="446"/>
      <c r="H1867" s="446"/>
      <c r="I1867" s="446"/>
      <c r="J1867" s="447"/>
      <c r="K1867" s="447"/>
      <c r="L1867" s="448"/>
      <c r="M1867" s="449"/>
      <c r="N1867" s="450"/>
    </row>
    <row r="1868" spans="5:14" ht="14.1" customHeight="1">
      <c r="E1868" s="446"/>
      <c r="F1868" s="446"/>
      <c r="G1868" s="446"/>
      <c r="H1868" s="446"/>
      <c r="I1868" s="446"/>
      <c r="J1868" s="447"/>
      <c r="K1868" s="447"/>
      <c r="L1868" s="448"/>
      <c r="M1868" s="449"/>
      <c r="N1868" s="450"/>
    </row>
    <row r="1869" spans="5:14" ht="14.1" customHeight="1">
      <c r="E1869" s="450"/>
      <c r="F1869" s="450"/>
      <c r="G1869" s="450"/>
      <c r="H1869" s="450"/>
      <c r="I1869" s="450"/>
      <c r="J1869" s="450"/>
      <c r="K1869" s="450"/>
      <c r="L1869" s="450"/>
      <c r="M1869" s="449"/>
      <c r="N1869" s="449"/>
    </row>
    <row r="1870" spans="5:14" ht="14.1" customHeight="1">
      <c r="E1870" s="446"/>
      <c r="F1870" s="446"/>
      <c r="G1870" s="446"/>
      <c r="H1870" s="446"/>
      <c r="I1870" s="446"/>
      <c r="J1870" s="447"/>
      <c r="K1870" s="447"/>
      <c r="L1870" s="448"/>
      <c r="M1870" s="449"/>
      <c r="N1870" s="450"/>
    </row>
    <row r="1871" spans="5:14" ht="14.1" customHeight="1">
      <c r="E1871" s="450"/>
      <c r="F1871" s="450"/>
      <c r="G1871" s="450"/>
      <c r="H1871" s="450"/>
      <c r="I1871" s="450"/>
      <c r="J1871" s="450"/>
      <c r="K1871" s="450"/>
      <c r="L1871" s="450"/>
      <c r="M1871" s="449"/>
      <c r="N1871" s="449"/>
    </row>
    <row r="1872" spans="5:14" ht="14.1" customHeight="1">
      <c r="E1872" s="446"/>
      <c r="F1872" s="446"/>
      <c r="G1872" s="446"/>
      <c r="H1872" s="446"/>
      <c r="I1872" s="446"/>
      <c r="J1872" s="447"/>
      <c r="K1872" s="447"/>
      <c r="L1872" s="448"/>
      <c r="M1872" s="449"/>
      <c r="N1872" s="450"/>
    </row>
    <row r="1873" spans="5:14" ht="14.1" customHeight="1">
      <c r="E1873" s="450"/>
      <c r="F1873" s="450"/>
      <c r="G1873" s="450"/>
      <c r="H1873" s="450"/>
      <c r="I1873" s="450"/>
      <c r="J1873" s="450"/>
      <c r="K1873" s="450"/>
      <c r="L1873" s="450"/>
      <c r="M1873" s="449"/>
      <c r="N1873" s="449"/>
    </row>
    <row r="1874" spans="5:14" ht="14.1" customHeight="1">
      <c r="E1874" s="446"/>
      <c r="F1874" s="446"/>
      <c r="G1874" s="446"/>
      <c r="H1874" s="446"/>
      <c r="I1874" s="446"/>
      <c r="J1874" s="447"/>
      <c r="K1874" s="447"/>
      <c r="L1874" s="448"/>
      <c r="M1874" s="449"/>
      <c r="N1874" s="450"/>
    </row>
    <row r="1875" spans="5:14" ht="14.1" customHeight="1">
      <c r="E1875" s="450"/>
      <c r="F1875" s="450"/>
      <c r="G1875" s="450"/>
      <c r="H1875" s="450"/>
      <c r="I1875" s="450"/>
      <c r="J1875" s="450"/>
      <c r="K1875" s="450"/>
      <c r="L1875" s="450"/>
      <c r="M1875" s="449"/>
      <c r="N1875" s="449"/>
    </row>
    <row r="1876" spans="5:14" ht="14.1" customHeight="1">
      <c r="E1876" s="446"/>
      <c r="F1876" s="446"/>
      <c r="G1876" s="446"/>
      <c r="H1876" s="446"/>
      <c r="I1876" s="446"/>
      <c r="J1876" s="447"/>
      <c r="K1876" s="447"/>
      <c r="L1876" s="448"/>
      <c r="M1876" s="449"/>
      <c r="N1876" s="450"/>
    </row>
    <row r="1877" spans="5:14" ht="14.1" customHeight="1">
      <c r="E1877" s="450"/>
      <c r="F1877" s="450"/>
      <c r="G1877" s="450"/>
      <c r="H1877" s="450"/>
      <c r="I1877" s="450"/>
      <c r="J1877" s="450"/>
      <c r="K1877" s="450"/>
      <c r="L1877" s="450"/>
      <c r="M1877" s="449"/>
      <c r="N1877" s="449"/>
    </row>
    <row r="1878" spans="5:14" ht="14.1" customHeight="1">
      <c r="E1878" s="446"/>
      <c r="F1878" s="446"/>
      <c r="G1878" s="446"/>
      <c r="H1878" s="446"/>
      <c r="I1878" s="446"/>
      <c r="J1878" s="447"/>
      <c r="K1878" s="447"/>
      <c r="L1878" s="448"/>
      <c r="M1878" s="449"/>
      <c r="N1878" s="450"/>
    </row>
    <row r="1879" spans="5:14" ht="14.1" customHeight="1">
      <c r="E1879" s="450"/>
      <c r="F1879" s="450"/>
      <c r="G1879" s="450"/>
      <c r="H1879" s="450"/>
      <c r="I1879" s="450"/>
      <c r="J1879" s="450"/>
      <c r="K1879" s="450"/>
      <c r="L1879" s="450"/>
      <c r="M1879" s="449"/>
      <c r="N1879" s="449"/>
    </row>
    <row r="1880" spans="5:14" ht="14.1" customHeight="1">
      <c r="E1880" s="446"/>
      <c r="F1880" s="446"/>
      <c r="G1880" s="446"/>
      <c r="H1880" s="446"/>
      <c r="I1880" s="446"/>
      <c r="J1880" s="447"/>
      <c r="K1880" s="447"/>
      <c r="L1880" s="448"/>
      <c r="M1880" s="449"/>
      <c r="N1880" s="450"/>
    </row>
    <row r="1881" spans="5:14" ht="14.1" customHeight="1">
      <c r="E1881" s="446"/>
      <c r="F1881" s="446"/>
      <c r="G1881" s="446"/>
      <c r="H1881" s="446"/>
      <c r="I1881" s="446"/>
      <c r="J1881" s="447"/>
      <c r="K1881" s="447"/>
      <c r="L1881" s="448"/>
      <c r="M1881" s="449"/>
      <c r="N1881" s="450"/>
    </row>
    <row r="1882" spans="5:14" ht="14.1" customHeight="1">
      <c r="E1882" s="446"/>
      <c r="F1882" s="446"/>
      <c r="G1882" s="446"/>
      <c r="H1882" s="446"/>
      <c r="I1882" s="446"/>
      <c r="J1882" s="447"/>
      <c r="K1882" s="447"/>
      <c r="L1882" s="448"/>
      <c r="M1882" s="449"/>
      <c r="N1882" s="450"/>
    </row>
    <row r="1883" spans="5:14" ht="14.1" customHeight="1">
      <c r="E1883" s="446"/>
      <c r="F1883" s="446"/>
      <c r="G1883" s="446"/>
      <c r="H1883" s="446"/>
      <c r="I1883" s="446"/>
      <c r="J1883" s="447"/>
      <c r="K1883" s="447"/>
      <c r="L1883" s="448"/>
      <c r="M1883" s="449"/>
      <c r="N1883" s="450"/>
    </row>
    <row r="1884" spans="5:14" ht="14.1" customHeight="1">
      <c r="E1884" s="446"/>
      <c r="F1884" s="446"/>
      <c r="G1884" s="446"/>
      <c r="H1884" s="446"/>
      <c r="I1884" s="446"/>
      <c r="J1884" s="447"/>
      <c r="K1884" s="447"/>
      <c r="L1884" s="448"/>
      <c r="M1884" s="449"/>
      <c r="N1884" s="450"/>
    </row>
    <row r="1885" spans="5:14" ht="14.1" customHeight="1">
      <c r="E1885" s="446"/>
      <c r="F1885" s="446"/>
      <c r="G1885" s="446"/>
      <c r="H1885" s="446"/>
      <c r="I1885" s="446"/>
      <c r="J1885" s="447"/>
      <c r="K1885" s="447"/>
      <c r="L1885" s="448"/>
      <c r="M1885" s="449"/>
      <c r="N1885" s="450"/>
    </row>
    <row r="1886" spans="5:14" ht="14.1" customHeight="1">
      <c r="E1886" s="446"/>
      <c r="F1886" s="446"/>
      <c r="G1886" s="446"/>
      <c r="H1886" s="446"/>
      <c r="I1886" s="446"/>
      <c r="J1886" s="447"/>
      <c r="K1886" s="447"/>
      <c r="L1886" s="448"/>
      <c r="M1886" s="449"/>
      <c r="N1886" s="450"/>
    </row>
    <row r="1887" spans="5:14" ht="14.1" customHeight="1">
      <c r="E1887" s="450"/>
      <c r="F1887" s="450"/>
      <c r="G1887" s="450"/>
      <c r="H1887" s="450"/>
      <c r="I1887" s="450"/>
      <c r="J1887" s="450"/>
      <c r="K1887" s="450"/>
      <c r="L1887" s="450"/>
      <c r="M1887" s="449"/>
      <c r="N1887" s="449"/>
    </row>
    <row r="1888" spans="5:14" ht="14.1" customHeight="1">
      <c r="E1888" s="450"/>
      <c r="F1888" s="450"/>
      <c r="G1888" s="450"/>
      <c r="H1888" s="450"/>
      <c r="I1888" s="450"/>
      <c r="J1888" s="450"/>
      <c r="K1888" s="450"/>
      <c r="L1888" s="450"/>
      <c r="M1888" s="449"/>
      <c r="N1888" s="449"/>
    </row>
    <row r="1889" spans="5:14" ht="14.1" customHeight="1">
      <c r="E1889" s="446"/>
      <c r="F1889" s="446"/>
      <c r="G1889" s="446"/>
      <c r="H1889" s="446"/>
      <c r="I1889" s="446"/>
      <c r="J1889" s="447"/>
      <c r="K1889" s="447"/>
      <c r="L1889" s="448"/>
      <c r="M1889" s="449"/>
      <c r="N1889" s="450"/>
    </row>
    <row r="1890" spans="5:14" ht="14.1" customHeight="1">
      <c r="E1890" s="446"/>
      <c r="F1890" s="446"/>
      <c r="G1890" s="446"/>
      <c r="H1890" s="446"/>
      <c r="I1890" s="446"/>
      <c r="J1890" s="447"/>
      <c r="K1890" s="447"/>
      <c r="L1890" s="448"/>
      <c r="M1890" s="449"/>
      <c r="N1890" s="450"/>
    </row>
    <row r="1891" spans="5:14" ht="14.1" customHeight="1">
      <c r="E1891" s="446"/>
      <c r="F1891" s="446"/>
      <c r="G1891" s="446"/>
      <c r="H1891" s="446"/>
      <c r="I1891" s="446"/>
      <c r="J1891" s="447"/>
      <c r="K1891" s="447"/>
      <c r="L1891" s="448"/>
      <c r="M1891" s="449"/>
      <c r="N1891" s="450"/>
    </row>
    <row r="1892" spans="5:14" ht="14.1" customHeight="1">
      <c r="E1892" s="446"/>
      <c r="F1892" s="446"/>
      <c r="G1892" s="446"/>
      <c r="H1892" s="446"/>
      <c r="I1892" s="446"/>
      <c r="J1892" s="447"/>
      <c r="K1892" s="447"/>
      <c r="L1892" s="448"/>
      <c r="M1892" s="449"/>
      <c r="N1892" s="450"/>
    </row>
    <row r="1893" spans="5:14" ht="14.1" customHeight="1">
      <c r="E1893" s="446"/>
      <c r="F1893" s="446"/>
      <c r="G1893" s="446"/>
      <c r="H1893" s="446"/>
      <c r="I1893" s="446"/>
      <c r="J1893" s="447"/>
      <c r="K1893" s="447"/>
      <c r="L1893" s="448"/>
      <c r="M1893" s="449"/>
      <c r="N1893" s="450"/>
    </row>
    <row r="1894" spans="5:14" ht="14.1" customHeight="1">
      <c r="E1894" s="446"/>
      <c r="F1894" s="446"/>
      <c r="G1894" s="446"/>
      <c r="H1894" s="446"/>
      <c r="I1894" s="446"/>
      <c r="J1894" s="447"/>
      <c r="K1894" s="447"/>
      <c r="L1894" s="448"/>
      <c r="M1894" s="449"/>
      <c r="N1894" s="450"/>
    </row>
    <row r="1895" spans="5:14" ht="14.1" customHeight="1">
      <c r="E1895" s="446"/>
      <c r="F1895" s="446"/>
      <c r="G1895" s="446"/>
      <c r="H1895" s="446"/>
      <c r="I1895" s="446"/>
      <c r="J1895" s="447"/>
      <c r="K1895" s="447"/>
      <c r="L1895" s="448"/>
      <c r="M1895" s="449"/>
      <c r="N1895" s="450"/>
    </row>
    <row r="1896" spans="5:14" ht="14.1" customHeight="1">
      <c r="E1896" s="446"/>
      <c r="F1896" s="446"/>
      <c r="G1896" s="446"/>
      <c r="H1896" s="446"/>
      <c r="I1896" s="446"/>
      <c r="J1896" s="447"/>
      <c r="K1896" s="447"/>
      <c r="L1896" s="448"/>
      <c r="M1896" s="449"/>
      <c r="N1896" s="450"/>
    </row>
    <row r="1897" spans="5:14" ht="14.1" customHeight="1">
      <c r="E1897" s="446"/>
      <c r="F1897" s="446"/>
      <c r="G1897" s="446"/>
      <c r="H1897" s="446"/>
      <c r="I1897" s="446"/>
      <c r="J1897" s="447"/>
      <c r="K1897" s="447"/>
      <c r="L1897" s="448"/>
      <c r="M1897" s="449"/>
      <c r="N1897" s="450"/>
    </row>
    <row r="1898" spans="5:14" ht="14.1" customHeight="1">
      <c r="E1898" s="446"/>
      <c r="F1898" s="446"/>
      <c r="G1898" s="446"/>
      <c r="H1898" s="446"/>
      <c r="I1898" s="446"/>
      <c r="J1898" s="447"/>
      <c r="K1898" s="447"/>
      <c r="L1898" s="448"/>
      <c r="M1898" s="449"/>
      <c r="N1898" s="450"/>
    </row>
    <row r="1899" spans="5:14" ht="14.1" customHeight="1">
      <c r="E1899" s="446"/>
      <c r="F1899" s="446"/>
      <c r="G1899" s="446"/>
      <c r="H1899" s="446"/>
      <c r="I1899" s="446"/>
      <c r="J1899" s="447"/>
      <c r="K1899" s="447"/>
      <c r="L1899" s="448"/>
      <c r="M1899" s="449"/>
      <c r="N1899" s="450"/>
    </row>
    <row r="1900" spans="5:14" ht="14.1" customHeight="1">
      <c r="E1900" s="446"/>
      <c r="F1900" s="446"/>
      <c r="G1900" s="446"/>
      <c r="H1900" s="446"/>
      <c r="I1900" s="446"/>
      <c r="J1900" s="447"/>
      <c r="K1900" s="447"/>
      <c r="L1900" s="448"/>
      <c r="M1900" s="449"/>
      <c r="N1900" s="450"/>
    </row>
    <row r="1901" spans="5:14" ht="14.1" customHeight="1">
      <c r="E1901" s="446"/>
      <c r="F1901" s="446"/>
      <c r="G1901" s="446"/>
      <c r="H1901" s="446"/>
      <c r="I1901" s="446"/>
      <c r="J1901" s="447"/>
      <c r="K1901" s="447"/>
      <c r="L1901" s="448"/>
      <c r="M1901" s="449"/>
      <c r="N1901" s="450"/>
    </row>
    <row r="1902" spans="5:14" ht="14.1" customHeight="1">
      <c r="E1902" s="446"/>
      <c r="F1902" s="446"/>
      <c r="G1902" s="446"/>
      <c r="H1902" s="446"/>
      <c r="I1902" s="446"/>
      <c r="J1902" s="447"/>
      <c r="K1902" s="447"/>
      <c r="L1902" s="448"/>
      <c r="M1902" s="449"/>
      <c r="N1902" s="450"/>
    </row>
    <row r="1903" spans="5:14" ht="14.1" customHeight="1">
      <c r="E1903" s="446"/>
      <c r="F1903" s="446"/>
      <c r="G1903" s="446"/>
      <c r="H1903" s="446"/>
      <c r="I1903" s="446"/>
      <c r="J1903" s="447"/>
      <c r="K1903" s="447"/>
      <c r="L1903" s="448"/>
      <c r="M1903" s="449"/>
      <c r="N1903" s="450"/>
    </row>
    <row r="1904" spans="5:14" ht="14.1" customHeight="1">
      <c r="E1904" s="446"/>
      <c r="F1904" s="446"/>
      <c r="G1904" s="446"/>
      <c r="H1904" s="446"/>
      <c r="I1904" s="446"/>
      <c r="J1904" s="447"/>
      <c r="K1904" s="447"/>
      <c r="L1904" s="448"/>
      <c r="M1904" s="449"/>
      <c r="N1904" s="450"/>
    </row>
    <row r="1905" spans="5:14" ht="14.1" customHeight="1">
      <c r="E1905" s="446"/>
      <c r="F1905" s="446"/>
      <c r="G1905" s="446"/>
      <c r="H1905" s="446"/>
      <c r="I1905" s="446"/>
      <c r="J1905" s="447"/>
      <c r="K1905" s="447"/>
      <c r="L1905" s="448"/>
      <c r="M1905" s="449"/>
      <c r="N1905" s="450"/>
    </row>
    <row r="1906" spans="5:14" ht="14.1" customHeight="1">
      <c r="E1906" s="446"/>
      <c r="F1906" s="446"/>
      <c r="G1906" s="446"/>
      <c r="H1906" s="446"/>
      <c r="I1906" s="446"/>
      <c r="J1906" s="447"/>
      <c r="K1906" s="447"/>
      <c r="L1906" s="448"/>
      <c r="M1906" s="449"/>
      <c r="N1906" s="450"/>
    </row>
    <row r="1907" spans="5:14" ht="14.1" customHeight="1">
      <c r="E1907" s="446"/>
      <c r="F1907" s="446"/>
      <c r="G1907" s="446"/>
      <c r="H1907" s="446"/>
      <c r="I1907" s="446"/>
      <c r="J1907" s="447"/>
      <c r="K1907" s="447"/>
      <c r="L1907" s="448"/>
      <c r="M1907" s="449"/>
      <c r="N1907" s="450"/>
    </row>
    <row r="1908" spans="5:14" ht="14.1" customHeight="1">
      <c r="E1908" s="450"/>
      <c r="F1908" s="450"/>
      <c r="G1908" s="450"/>
      <c r="H1908" s="450"/>
      <c r="I1908" s="450"/>
      <c r="J1908" s="450"/>
      <c r="K1908" s="450"/>
      <c r="L1908" s="450"/>
      <c r="M1908" s="449"/>
      <c r="N1908" s="449"/>
    </row>
    <row r="1909" spans="5:14" ht="14.1" customHeight="1">
      <c r="E1909" s="446"/>
      <c r="F1909" s="446"/>
      <c r="G1909" s="446"/>
      <c r="H1909" s="446"/>
      <c r="I1909" s="446"/>
      <c r="J1909" s="447"/>
      <c r="K1909" s="447"/>
      <c r="L1909" s="448"/>
      <c r="M1909" s="449"/>
      <c r="N1909" s="450"/>
    </row>
    <row r="1910" spans="5:14" ht="14.1" customHeight="1">
      <c r="E1910" s="450"/>
      <c r="F1910" s="450"/>
      <c r="G1910" s="450"/>
      <c r="H1910" s="450"/>
      <c r="I1910" s="450"/>
      <c r="J1910" s="450"/>
      <c r="K1910" s="450"/>
      <c r="L1910" s="450"/>
      <c r="M1910" s="450"/>
      <c r="N1910" s="450"/>
    </row>
    <row r="1911" spans="5:14" ht="14.1" customHeight="1">
      <c r="E1911" s="446"/>
      <c r="F1911" s="446"/>
      <c r="G1911" s="446"/>
      <c r="H1911" s="446"/>
      <c r="I1911" s="446"/>
      <c r="J1911" s="447"/>
      <c r="K1911" s="447"/>
      <c r="L1911" s="448"/>
      <c r="M1911" s="449"/>
      <c r="N1911" s="450"/>
    </row>
    <row r="1912" spans="5:14" ht="14.1" customHeight="1">
      <c r="E1912" s="446"/>
      <c r="F1912" s="446"/>
      <c r="G1912" s="446"/>
      <c r="H1912" s="446"/>
      <c r="I1912" s="446"/>
      <c r="J1912" s="447"/>
      <c r="K1912" s="447"/>
      <c r="L1912" s="448"/>
      <c r="M1912" s="449"/>
      <c r="N1912" s="450"/>
    </row>
    <row r="1913" spans="5:14" ht="14.1" customHeight="1">
      <c r="E1913" s="446"/>
      <c r="F1913" s="446"/>
      <c r="G1913" s="446"/>
      <c r="H1913" s="446"/>
      <c r="I1913" s="446"/>
      <c r="J1913" s="447"/>
      <c r="K1913" s="447"/>
      <c r="L1913" s="448"/>
      <c r="M1913" s="449"/>
      <c r="N1913" s="450"/>
    </row>
    <row r="1914" spans="5:14" ht="14.1" customHeight="1">
      <c r="E1914" s="446"/>
      <c r="F1914" s="446"/>
      <c r="G1914" s="446"/>
      <c r="H1914" s="446"/>
      <c r="I1914" s="446"/>
      <c r="J1914" s="447"/>
      <c r="K1914" s="447"/>
      <c r="L1914" s="448"/>
      <c r="M1914" s="449"/>
      <c r="N1914" s="450"/>
    </row>
    <row r="1915" spans="5:14" ht="14.1" customHeight="1">
      <c r="E1915" s="446"/>
      <c r="F1915" s="446"/>
      <c r="G1915" s="446"/>
      <c r="H1915" s="446"/>
      <c r="I1915" s="446"/>
      <c r="J1915" s="447"/>
      <c r="K1915" s="447"/>
      <c r="L1915" s="448"/>
      <c r="M1915" s="449"/>
      <c r="N1915" s="450"/>
    </row>
    <row r="1916" spans="5:14" ht="14.1" customHeight="1">
      <c r="E1916" s="446"/>
      <c r="F1916" s="446"/>
      <c r="G1916" s="446"/>
      <c r="H1916" s="446"/>
      <c r="I1916" s="446"/>
      <c r="J1916" s="447"/>
      <c r="K1916" s="447"/>
      <c r="L1916" s="448"/>
      <c r="M1916" s="449"/>
      <c r="N1916" s="450"/>
    </row>
    <row r="1917" spans="5:14" ht="14.1" customHeight="1">
      <c r="E1917" s="446"/>
      <c r="F1917" s="446"/>
      <c r="G1917" s="446"/>
      <c r="H1917" s="446"/>
      <c r="I1917" s="446"/>
      <c r="J1917" s="447"/>
      <c r="K1917" s="447"/>
      <c r="L1917" s="448"/>
      <c r="M1917" s="449"/>
      <c r="N1917" s="450"/>
    </row>
    <row r="1918" spans="5:14" ht="14.1" customHeight="1">
      <c r="E1918" s="446"/>
      <c r="F1918" s="446"/>
      <c r="G1918" s="446"/>
      <c r="H1918" s="446"/>
      <c r="I1918" s="446"/>
      <c r="J1918" s="447"/>
      <c r="K1918" s="447"/>
      <c r="L1918" s="448"/>
      <c r="M1918" s="449"/>
      <c r="N1918" s="450"/>
    </row>
    <row r="1919" spans="5:14" ht="14.1" customHeight="1">
      <c r="E1919" s="446"/>
      <c r="F1919" s="446"/>
      <c r="G1919" s="446"/>
      <c r="H1919" s="446"/>
      <c r="I1919" s="446"/>
      <c r="J1919" s="447"/>
      <c r="K1919" s="447"/>
      <c r="L1919" s="448"/>
      <c r="M1919" s="449"/>
      <c r="N1919" s="450"/>
    </row>
    <row r="1920" spans="5:14" ht="14.1" customHeight="1">
      <c r="E1920" s="446"/>
      <c r="F1920" s="446"/>
      <c r="G1920" s="446"/>
      <c r="H1920" s="446"/>
      <c r="I1920" s="446"/>
      <c r="J1920" s="447"/>
      <c r="K1920" s="447"/>
      <c r="L1920" s="448"/>
      <c r="M1920" s="449"/>
      <c r="N1920" s="450"/>
    </row>
    <row r="1921" spans="5:14" ht="14.1" customHeight="1">
      <c r="E1921" s="446"/>
      <c r="F1921" s="446"/>
      <c r="G1921" s="446"/>
      <c r="H1921" s="446"/>
      <c r="I1921" s="446"/>
      <c r="J1921" s="447"/>
      <c r="K1921" s="447"/>
      <c r="L1921" s="448"/>
      <c r="M1921" s="449"/>
      <c r="N1921" s="450"/>
    </row>
    <row r="1922" spans="5:14" ht="14.1" customHeight="1">
      <c r="E1922" s="446"/>
      <c r="F1922" s="446"/>
      <c r="G1922" s="446"/>
      <c r="H1922" s="446"/>
      <c r="I1922" s="446"/>
      <c r="J1922" s="447"/>
      <c r="K1922" s="447"/>
      <c r="L1922" s="448"/>
      <c r="M1922" s="449"/>
      <c r="N1922" s="450"/>
    </row>
    <row r="1923" spans="5:14" ht="14.1" customHeight="1">
      <c r="E1923" s="446"/>
      <c r="F1923" s="446"/>
      <c r="G1923" s="446"/>
      <c r="H1923" s="446"/>
      <c r="I1923" s="446"/>
      <c r="J1923" s="447"/>
      <c r="K1923" s="447"/>
      <c r="L1923" s="448"/>
      <c r="M1923" s="449"/>
      <c r="N1923" s="450"/>
    </row>
    <row r="1924" spans="5:14" ht="14.1" customHeight="1">
      <c r="E1924" s="446"/>
      <c r="F1924" s="446"/>
      <c r="G1924" s="446"/>
      <c r="H1924" s="446"/>
      <c r="I1924" s="446"/>
      <c r="J1924" s="447"/>
      <c r="K1924" s="447"/>
      <c r="L1924" s="448"/>
      <c r="M1924" s="449"/>
      <c r="N1924" s="450"/>
    </row>
    <row r="1925" spans="5:14" ht="14.1" customHeight="1">
      <c r="E1925" s="446"/>
      <c r="F1925" s="446"/>
      <c r="G1925" s="446"/>
      <c r="H1925" s="446"/>
      <c r="I1925" s="446"/>
      <c r="J1925" s="447"/>
      <c r="K1925" s="447"/>
      <c r="L1925" s="448"/>
      <c r="M1925" s="449"/>
      <c r="N1925" s="450"/>
    </row>
    <row r="1926" spans="5:14" ht="14.1" customHeight="1">
      <c r="E1926" s="450"/>
      <c r="F1926" s="450"/>
      <c r="G1926" s="450"/>
      <c r="H1926" s="450"/>
      <c r="I1926" s="450"/>
      <c r="J1926" s="450"/>
      <c r="K1926" s="450"/>
      <c r="L1926" s="450"/>
      <c r="M1926" s="449"/>
      <c r="N1926" s="449"/>
    </row>
    <row r="1927" spans="5:14" ht="14.1" customHeight="1">
      <c r="E1927" s="446"/>
      <c r="F1927" s="446"/>
      <c r="G1927" s="446"/>
      <c r="H1927" s="446"/>
      <c r="I1927" s="446"/>
      <c r="J1927" s="447"/>
      <c r="K1927" s="447"/>
      <c r="L1927" s="448"/>
      <c r="M1927" s="449"/>
      <c r="N1927" s="450"/>
    </row>
    <row r="1928" spans="5:14" ht="14.1" customHeight="1">
      <c r="E1928" s="450"/>
      <c r="F1928" s="450"/>
      <c r="G1928" s="450"/>
      <c r="H1928" s="450"/>
      <c r="I1928" s="450"/>
      <c r="J1928" s="450"/>
      <c r="K1928" s="450"/>
      <c r="L1928" s="450"/>
      <c r="M1928" s="449"/>
      <c r="N1928" s="449"/>
    </row>
    <row r="1929" spans="5:14" ht="14.1" customHeight="1">
      <c r="E1929" s="446"/>
      <c r="F1929" s="446"/>
      <c r="G1929" s="446"/>
      <c r="H1929" s="446"/>
      <c r="I1929" s="446"/>
      <c r="J1929" s="447"/>
      <c r="K1929" s="447"/>
      <c r="L1929" s="448"/>
      <c r="M1929" s="449"/>
      <c r="N1929" s="450"/>
    </row>
    <row r="1930" spans="5:14" ht="14.1" customHeight="1">
      <c r="E1930" s="446"/>
      <c r="F1930" s="446"/>
      <c r="G1930" s="446"/>
      <c r="H1930" s="446"/>
      <c r="I1930" s="446"/>
      <c r="J1930" s="447"/>
      <c r="K1930" s="447"/>
      <c r="L1930" s="448"/>
      <c r="M1930" s="449"/>
      <c r="N1930" s="450"/>
    </row>
    <row r="1931" spans="5:14" ht="14.1" customHeight="1">
      <c r="E1931" s="446"/>
      <c r="F1931" s="446"/>
      <c r="G1931" s="446"/>
      <c r="H1931" s="446"/>
      <c r="I1931" s="446"/>
      <c r="J1931" s="447"/>
      <c r="K1931" s="447"/>
      <c r="L1931" s="448"/>
      <c r="M1931" s="449"/>
      <c r="N1931" s="450"/>
    </row>
    <row r="1932" spans="5:14" ht="14.1" customHeight="1">
      <c r="E1932" s="450"/>
      <c r="F1932" s="450"/>
      <c r="G1932" s="450"/>
      <c r="H1932" s="450"/>
      <c r="I1932" s="450"/>
      <c r="J1932" s="450"/>
      <c r="K1932" s="450"/>
      <c r="L1932" s="450"/>
      <c r="M1932" s="449"/>
      <c r="N1932" s="449"/>
    </row>
    <row r="1933" spans="5:14" ht="14.1" customHeight="1">
      <c r="E1933" s="446"/>
      <c r="F1933" s="446"/>
      <c r="G1933" s="446"/>
      <c r="H1933" s="446"/>
      <c r="I1933" s="446"/>
      <c r="J1933" s="447"/>
      <c r="K1933" s="447"/>
      <c r="L1933" s="448"/>
      <c r="M1933" s="449"/>
      <c r="N1933" s="450"/>
    </row>
    <row r="1934" spans="5:14" ht="14.1" customHeight="1">
      <c r="E1934" s="450"/>
      <c r="F1934" s="450"/>
      <c r="G1934" s="450"/>
      <c r="H1934" s="450"/>
      <c r="I1934" s="450"/>
      <c r="J1934" s="450"/>
      <c r="K1934" s="450"/>
      <c r="L1934" s="450"/>
      <c r="M1934" s="449"/>
      <c r="N1934" s="449"/>
    </row>
    <row r="1935" spans="5:14" ht="14.1" customHeight="1">
      <c r="E1935" s="450"/>
      <c r="F1935" s="450"/>
      <c r="G1935" s="450"/>
      <c r="H1935" s="450"/>
      <c r="I1935" s="450"/>
      <c r="J1935" s="450"/>
      <c r="K1935" s="450"/>
      <c r="L1935" s="450"/>
      <c r="M1935" s="449"/>
      <c r="N1935" s="449"/>
    </row>
    <row r="1936" spans="5:14" ht="14.1" customHeight="1">
      <c r="E1936" s="446"/>
      <c r="F1936" s="446"/>
      <c r="G1936" s="446"/>
      <c r="H1936" s="446"/>
      <c r="I1936" s="446"/>
      <c r="J1936" s="447"/>
      <c r="K1936" s="447"/>
      <c r="L1936" s="448"/>
      <c r="M1936" s="449"/>
      <c r="N1936" s="450"/>
    </row>
    <row r="1937" spans="5:14" ht="14.1" customHeight="1">
      <c r="E1937" s="450"/>
      <c r="F1937" s="450"/>
      <c r="G1937" s="450"/>
      <c r="H1937" s="450"/>
      <c r="I1937" s="450"/>
      <c r="J1937" s="450"/>
      <c r="K1937" s="450"/>
      <c r="L1937" s="450"/>
      <c r="M1937" s="449"/>
      <c r="N1937" s="449"/>
    </row>
    <row r="1938" spans="5:14" ht="14.1" customHeight="1">
      <c r="E1938" s="446"/>
      <c r="F1938" s="446"/>
      <c r="G1938" s="446"/>
      <c r="H1938" s="446"/>
      <c r="I1938" s="446"/>
      <c r="J1938" s="447"/>
      <c r="K1938" s="447"/>
      <c r="L1938" s="448"/>
      <c r="M1938" s="449"/>
      <c r="N1938" s="450"/>
    </row>
    <row r="1939" spans="5:14" ht="14.1" customHeight="1">
      <c r="E1939" s="446"/>
      <c r="F1939" s="446"/>
      <c r="G1939" s="446"/>
      <c r="H1939" s="446"/>
      <c r="I1939" s="446"/>
      <c r="J1939" s="447"/>
      <c r="K1939" s="447"/>
      <c r="L1939" s="448"/>
      <c r="M1939" s="449"/>
      <c r="N1939" s="450"/>
    </row>
    <row r="1940" spans="5:14" ht="14.1" customHeight="1">
      <c r="E1940" s="446"/>
      <c r="F1940" s="446"/>
      <c r="G1940" s="446"/>
      <c r="H1940" s="446"/>
      <c r="I1940" s="446"/>
      <c r="J1940" s="447"/>
      <c r="K1940" s="447"/>
      <c r="L1940" s="448"/>
      <c r="M1940" s="449"/>
      <c r="N1940" s="450"/>
    </row>
    <row r="1941" spans="5:14" ht="14.1" customHeight="1">
      <c r="E1941" s="450"/>
      <c r="F1941" s="450"/>
      <c r="G1941" s="450"/>
      <c r="H1941" s="450"/>
      <c r="I1941" s="450"/>
      <c r="J1941" s="450"/>
      <c r="K1941" s="450"/>
      <c r="L1941" s="450"/>
      <c r="M1941" s="449"/>
      <c r="N1941" s="449"/>
    </row>
    <row r="1942" spans="5:14" ht="14.1" customHeight="1">
      <c r="E1942" s="446"/>
      <c r="F1942" s="446"/>
      <c r="G1942" s="446"/>
      <c r="H1942" s="446"/>
      <c r="I1942" s="446"/>
      <c r="J1942" s="447"/>
      <c r="K1942" s="447"/>
      <c r="L1942" s="448"/>
      <c r="M1942" s="449"/>
      <c r="N1942" s="450"/>
    </row>
    <row r="1943" spans="5:14" ht="14.1" customHeight="1">
      <c r="E1943" s="450"/>
      <c r="F1943" s="450"/>
      <c r="G1943" s="450"/>
      <c r="H1943" s="450"/>
      <c r="I1943" s="450"/>
      <c r="J1943" s="450"/>
      <c r="K1943" s="450"/>
      <c r="L1943" s="450"/>
      <c r="M1943" s="449"/>
      <c r="N1943" s="449"/>
    </row>
    <row r="1944" spans="5:14" ht="14.1" customHeight="1">
      <c r="E1944" s="446"/>
      <c r="F1944" s="446"/>
      <c r="G1944" s="446"/>
      <c r="H1944" s="446"/>
      <c r="I1944" s="446"/>
      <c r="J1944" s="447"/>
      <c r="K1944" s="447"/>
      <c r="L1944" s="448"/>
      <c r="M1944" s="449"/>
      <c r="N1944" s="450"/>
    </row>
    <row r="1945" spans="5:14" ht="14.1" customHeight="1">
      <c r="E1945" s="446"/>
      <c r="F1945" s="446"/>
      <c r="G1945" s="446"/>
      <c r="H1945" s="446"/>
      <c r="I1945" s="446"/>
      <c r="J1945" s="447"/>
      <c r="K1945" s="447"/>
      <c r="L1945" s="448"/>
      <c r="M1945" s="449"/>
      <c r="N1945" s="450"/>
    </row>
    <row r="1946" spans="5:14" ht="14.1" customHeight="1">
      <c r="E1946" s="446"/>
      <c r="F1946" s="446"/>
      <c r="G1946" s="446"/>
      <c r="H1946" s="446"/>
      <c r="I1946" s="446"/>
      <c r="J1946" s="447"/>
      <c r="K1946" s="447"/>
      <c r="L1946" s="448"/>
      <c r="M1946" s="449"/>
      <c r="N1946" s="450"/>
    </row>
    <row r="1947" spans="5:14" ht="14.1" customHeight="1">
      <c r="E1947" s="450"/>
      <c r="F1947" s="450"/>
      <c r="G1947" s="450"/>
      <c r="H1947" s="450"/>
      <c r="I1947" s="450"/>
      <c r="J1947" s="450"/>
      <c r="K1947" s="450"/>
      <c r="L1947" s="450"/>
      <c r="M1947" s="449"/>
      <c r="N1947" s="449"/>
    </row>
    <row r="1948" spans="5:14" ht="14.1" customHeight="1">
      <c r="E1948" s="446"/>
      <c r="F1948" s="446"/>
      <c r="G1948" s="446"/>
      <c r="H1948" s="446"/>
      <c r="I1948" s="446"/>
      <c r="J1948" s="447"/>
      <c r="K1948" s="447"/>
      <c r="L1948" s="448"/>
      <c r="M1948" s="449"/>
      <c r="N1948" s="450"/>
    </row>
    <row r="1949" spans="5:14" ht="14.1" customHeight="1">
      <c r="E1949" s="446"/>
      <c r="F1949" s="446"/>
      <c r="G1949" s="446"/>
      <c r="H1949" s="446"/>
      <c r="I1949" s="446"/>
      <c r="J1949" s="447"/>
      <c r="K1949" s="447"/>
      <c r="L1949" s="448"/>
      <c r="M1949" s="449"/>
      <c r="N1949" s="450"/>
    </row>
    <row r="1950" spans="5:14" ht="14.1" customHeight="1">
      <c r="E1950" s="450"/>
      <c r="F1950" s="450"/>
      <c r="G1950" s="450"/>
      <c r="H1950" s="450"/>
      <c r="I1950" s="450"/>
      <c r="J1950" s="450"/>
      <c r="K1950" s="450"/>
      <c r="L1950" s="450"/>
      <c r="M1950" s="449"/>
      <c r="N1950" s="449"/>
    </row>
    <row r="1951" spans="5:14" ht="14.1" customHeight="1">
      <c r="E1951" s="446"/>
      <c r="F1951" s="446"/>
      <c r="G1951" s="446"/>
      <c r="H1951" s="446"/>
      <c r="I1951" s="446"/>
      <c r="J1951" s="447"/>
      <c r="K1951" s="447"/>
      <c r="L1951" s="448"/>
      <c r="M1951" s="449"/>
      <c r="N1951" s="450"/>
    </row>
    <row r="1952" spans="5:14" ht="14.1" customHeight="1">
      <c r="E1952" s="450"/>
      <c r="F1952" s="450"/>
      <c r="G1952" s="450"/>
      <c r="H1952" s="450"/>
      <c r="I1952" s="450"/>
      <c r="J1952" s="450"/>
      <c r="K1952" s="450"/>
      <c r="L1952" s="450"/>
      <c r="M1952" s="449"/>
      <c r="N1952" s="449"/>
    </row>
    <row r="1953" spans="5:14" ht="14.1" customHeight="1">
      <c r="E1953" s="446"/>
      <c r="F1953" s="446"/>
      <c r="G1953" s="446"/>
      <c r="H1953" s="446"/>
      <c r="I1953" s="446"/>
      <c r="J1953" s="447"/>
      <c r="K1953" s="447"/>
      <c r="L1953" s="448"/>
      <c r="M1953" s="449"/>
      <c r="N1953" s="450"/>
    </row>
    <row r="1954" spans="5:14" ht="14.1" customHeight="1">
      <c r="E1954" s="446"/>
      <c r="F1954" s="446"/>
      <c r="G1954" s="446"/>
      <c r="H1954" s="446"/>
      <c r="I1954" s="446"/>
      <c r="J1954" s="447"/>
      <c r="K1954" s="447"/>
      <c r="L1954" s="448"/>
      <c r="M1954" s="449"/>
      <c r="N1954" s="450"/>
    </row>
    <row r="1955" spans="5:14" ht="14.1" customHeight="1">
      <c r="E1955" s="450"/>
      <c r="F1955" s="450"/>
      <c r="G1955" s="450"/>
      <c r="H1955" s="450"/>
      <c r="I1955" s="450"/>
      <c r="J1955" s="450"/>
      <c r="K1955" s="450"/>
      <c r="L1955" s="450"/>
      <c r="M1955" s="449"/>
      <c r="N1955" s="449"/>
    </row>
    <row r="1956" spans="5:14" ht="14.1" customHeight="1">
      <c r="E1956" s="446"/>
      <c r="F1956" s="446"/>
      <c r="G1956" s="446"/>
      <c r="H1956" s="446"/>
      <c r="I1956" s="446"/>
      <c r="J1956" s="447"/>
      <c r="K1956" s="447"/>
      <c r="L1956" s="448"/>
      <c r="M1956" s="449"/>
      <c r="N1956" s="450"/>
    </row>
    <row r="1957" spans="5:14" ht="14.1" customHeight="1">
      <c r="E1957" s="446"/>
      <c r="F1957" s="446"/>
      <c r="G1957" s="446"/>
      <c r="H1957" s="446"/>
      <c r="I1957" s="446"/>
      <c r="J1957" s="447"/>
      <c r="K1957" s="447"/>
      <c r="L1957" s="448"/>
      <c r="M1957" s="449"/>
      <c r="N1957" s="450"/>
    </row>
    <row r="1958" spans="5:14" ht="14.1" customHeight="1">
      <c r="E1958" s="450"/>
      <c r="F1958" s="450"/>
      <c r="G1958" s="450"/>
      <c r="H1958" s="450"/>
      <c r="I1958" s="450"/>
      <c r="J1958" s="450"/>
      <c r="K1958" s="450"/>
      <c r="L1958" s="450"/>
      <c r="M1958" s="450"/>
      <c r="N1958" s="450"/>
    </row>
    <row r="1959" spans="5:14" ht="14.1" customHeight="1">
      <c r="E1959" s="450"/>
      <c r="F1959" s="450"/>
      <c r="G1959" s="450"/>
      <c r="H1959" s="450"/>
      <c r="I1959" s="450"/>
      <c r="J1959" s="450"/>
      <c r="K1959" s="450"/>
      <c r="L1959" s="450"/>
      <c r="M1959" s="449"/>
      <c r="N1959" s="449"/>
    </row>
    <row r="1960" spans="5:14" ht="14.1" customHeight="1">
      <c r="E1960" s="446"/>
      <c r="F1960" s="446"/>
      <c r="G1960" s="446"/>
      <c r="H1960" s="446"/>
      <c r="I1960" s="446"/>
      <c r="J1960" s="447"/>
      <c r="K1960" s="447"/>
      <c r="L1960" s="448"/>
      <c r="M1960" s="449"/>
      <c r="N1960" s="450"/>
    </row>
    <row r="1961" spans="5:14" ht="14.1" customHeight="1">
      <c r="E1961" s="450"/>
      <c r="F1961" s="450"/>
      <c r="G1961" s="450"/>
      <c r="H1961" s="450"/>
      <c r="I1961" s="450"/>
      <c r="J1961" s="450"/>
      <c r="K1961" s="450"/>
      <c r="L1961" s="450"/>
      <c r="M1961" s="449"/>
      <c r="N1961" s="449"/>
    </row>
    <row r="1962" spans="5:14" ht="14.1" customHeight="1">
      <c r="E1962" s="446"/>
      <c r="F1962" s="446"/>
      <c r="G1962" s="446"/>
      <c r="H1962" s="446"/>
      <c r="I1962" s="446"/>
      <c r="J1962" s="447"/>
      <c r="K1962" s="447"/>
      <c r="L1962" s="448"/>
      <c r="M1962" s="449"/>
      <c r="N1962" s="450"/>
    </row>
    <row r="1963" spans="5:14" ht="14.1" customHeight="1">
      <c r="E1963" s="446"/>
      <c r="F1963" s="446"/>
      <c r="G1963" s="446"/>
      <c r="H1963" s="446"/>
      <c r="I1963" s="446"/>
      <c r="J1963" s="447"/>
      <c r="K1963" s="447"/>
      <c r="L1963" s="448"/>
      <c r="M1963" s="449"/>
      <c r="N1963" s="450"/>
    </row>
    <row r="1964" spans="5:14" ht="14.1" customHeight="1">
      <c r="E1964" s="450"/>
      <c r="F1964" s="450"/>
      <c r="G1964" s="450"/>
      <c r="H1964" s="450"/>
      <c r="I1964" s="450"/>
      <c r="J1964" s="450"/>
      <c r="K1964" s="450"/>
      <c r="L1964" s="450"/>
      <c r="M1964" s="449"/>
      <c r="N1964" s="449"/>
    </row>
    <row r="1965" spans="5:14" ht="14.1" customHeight="1">
      <c r="E1965" s="450"/>
      <c r="F1965" s="450"/>
      <c r="G1965" s="450"/>
      <c r="H1965" s="450"/>
      <c r="I1965" s="450"/>
      <c r="J1965" s="450"/>
      <c r="K1965" s="450"/>
      <c r="L1965" s="450"/>
      <c r="M1965" s="449"/>
      <c r="N1965" s="449"/>
    </row>
    <row r="1966" spans="5:14" ht="14.1" customHeight="1">
      <c r="E1966" s="446"/>
      <c r="F1966" s="446"/>
      <c r="G1966" s="446"/>
      <c r="H1966" s="446"/>
      <c r="I1966" s="446"/>
      <c r="J1966" s="447"/>
      <c r="K1966" s="447"/>
      <c r="L1966" s="448"/>
      <c r="M1966" s="449"/>
      <c r="N1966" s="450"/>
    </row>
    <row r="1967" spans="5:14" ht="14.1" customHeight="1">
      <c r="E1967" s="450"/>
      <c r="F1967" s="450"/>
      <c r="G1967" s="450"/>
      <c r="H1967" s="450"/>
      <c r="I1967" s="450"/>
      <c r="J1967" s="450"/>
      <c r="K1967" s="450"/>
      <c r="L1967" s="450"/>
      <c r="M1967" s="449"/>
      <c r="N1967" s="449"/>
    </row>
    <row r="1968" spans="5:14" ht="14.1" customHeight="1">
      <c r="E1968" s="446"/>
      <c r="F1968" s="446"/>
      <c r="G1968" s="446"/>
      <c r="H1968" s="446"/>
      <c r="I1968" s="446"/>
      <c r="J1968" s="447"/>
      <c r="K1968" s="447"/>
      <c r="L1968" s="448"/>
      <c r="M1968" s="449"/>
      <c r="N1968" s="450"/>
    </row>
    <row r="1969" spans="5:14" ht="14.1" customHeight="1">
      <c r="E1969" s="450"/>
      <c r="F1969" s="450"/>
      <c r="G1969" s="450"/>
      <c r="H1969" s="450"/>
      <c r="I1969" s="450"/>
      <c r="J1969" s="450"/>
      <c r="K1969" s="450"/>
      <c r="L1969" s="450"/>
      <c r="M1969" s="449"/>
      <c r="N1969" s="449"/>
    </row>
    <row r="1970" spans="5:14" ht="14.1" customHeight="1">
      <c r="E1970" s="446"/>
      <c r="F1970" s="446"/>
      <c r="G1970" s="446"/>
      <c r="H1970" s="446"/>
      <c r="I1970" s="446"/>
      <c r="J1970" s="447"/>
      <c r="K1970" s="447"/>
      <c r="L1970" s="448"/>
      <c r="M1970" s="449"/>
      <c r="N1970" s="450"/>
    </row>
    <row r="1971" spans="5:14" ht="14.1" customHeight="1">
      <c r="E1971" s="446"/>
      <c r="F1971" s="446"/>
      <c r="G1971" s="446"/>
      <c r="H1971" s="446"/>
      <c r="I1971" s="446"/>
      <c r="J1971" s="447"/>
      <c r="K1971" s="447"/>
      <c r="L1971" s="448"/>
      <c r="M1971" s="449"/>
      <c r="N1971" s="450"/>
    </row>
    <row r="1972" spans="5:14" ht="14.1" customHeight="1">
      <c r="E1972" s="446"/>
      <c r="F1972" s="446"/>
      <c r="G1972" s="446"/>
      <c r="H1972" s="446"/>
      <c r="I1972" s="446"/>
      <c r="J1972" s="447"/>
      <c r="K1972" s="447"/>
      <c r="L1972" s="448"/>
      <c r="M1972" s="449"/>
      <c r="N1972" s="450"/>
    </row>
    <row r="1973" spans="5:14" ht="14.1" customHeight="1">
      <c r="E1973" s="446"/>
      <c r="F1973" s="446"/>
      <c r="G1973" s="446"/>
      <c r="H1973" s="446"/>
      <c r="I1973" s="446"/>
      <c r="J1973" s="447"/>
      <c r="K1973" s="447"/>
      <c r="L1973" s="448"/>
      <c r="M1973" s="449"/>
      <c r="N1973" s="450"/>
    </row>
    <row r="1974" spans="5:14" ht="14.1" customHeight="1">
      <c r="E1974" s="446"/>
      <c r="F1974" s="446"/>
      <c r="G1974" s="446"/>
      <c r="H1974" s="446"/>
      <c r="I1974" s="446"/>
      <c r="J1974" s="447"/>
      <c r="K1974" s="447"/>
      <c r="L1974" s="448"/>
      <c r="M1974" s="449"/>
      <c r="N1974" s="450"/>
    </row>
    <row r="1975" spans="5:14" ht="14.1" customHeight="1">
      <c r="E1975" s="446"/>
      <c r="F1975" s="446"/>
      <c r="G1975" s="446"/>
      <c r="H1975" s="446"/>
      <c r="I1975" s="446"/>
      <c r="J1975" s="447"/>
      <c r="K1975" s="447"/>
      <c r="L1975" s="448"/>
      <c r="M1975" s="449"/>
      <c r="N1975" s="450"/>
    </row>
    <row r="1976" spans="5:14" ht="14.1" customHeight="1">
      <c r="E1976" s="446"/>
      <c r="F1976" s="446"/>
      <c r="G1976" s="446"/>
      <c r="H1976" s="446"/>
      <c r="I1976" s="446"/>
      <c r="J1976" s="447"/>
      <c r="K1976" s="447"/>
      <c r="L1976" s="448"/>
      <c r="M1976" s="449"/>
      <c r="N1976" s="451"/>
    </row>
    <row r="1977" spans="5:14" ht="14.1" customHeight="1">
      <c r="E1977" s="446"/>
      <c r="F1977" s="446"/>
      <c r="G1977" s="446"/>
      <c r="H1977" s="446"/>
      <c r="I1977" s="446"/>
      <c r="J1977" s="447"/>
      <c r="K1977" s="447"/>
      <c r="L1977" s="448"/>
      <c r="M1977" s="449"/>
      <c r="N1977" s="451"/>
    </row>
    <row r="1978" spans="5:14" ht="14.1" customHeight="1">
      <c r="E1978" s="446"/>
      <c r="F1978" s="446"/>
      <c r="G1978" s="446"/>
      <c r="H1978" s="446"/>
      <c r="I1978" s="446"/>
      <c r="J1978" s="447"/>
      <c r="K1978" s="447"/>
      <c r="L1978" s="448"/>
      <c r="M1978" s="449"/>
      <c r="N1978" s="451"/>
    </row>
    <row r="1979" spans="5:14" ht="14.1" customHeight="1">
      <c r="E1979" s="446"/>
      <c r="F1979" s="446"/>
      <c r="G1979" s="446"/>
      <c r="H1979" s="446"/>
      <c r="I1979" s="446"/>
      <c r="J1979" s="447"/>
      <c r="K1979" s="447"/>
      <c r="L1979" s="448"/>
      <c r="M1979" s="449"/>
      <c r="N1979" s="451"/>
    </row>
    <row r="1980" spans="5:14" ht="14.1" customHeight="1">
      <c r="E1980" s="446"/>
      <c r="F1980" s="446"/>
      <c r="G1980" s="446"/>
      <c r="H1980" s="446"/>
      <c r="I1980" s="446"/>
      <c r="J1980" s="447"/>
      <c r="K1980" s="447"/>
      <c r="L1980" s="448"/>
      <c r="M1980" s="449"/>
      <c r="N1980" s="451"/>
    </row>
    <row r="1981" spans="5:14" ht="14.1" customHeight="1">
      <c r="E1981" s="446"/>
      <c r="F1981" s="446"/>
      <c r="G1981" s="446"/>
      <c r="H1981" s="446"/>
      <c r="I1981" s="446"/>
      <c r="J1981" s="447"/>
      <c r="K1981" s="447"/>
      <c r="L1981" s="448"/>
      <c r="M1981" s="449"/>
      <c r="N1981" s="451"/>
    </row>
    <row r="1982" spans="5:14" ht="14.1" customHeight="1">
      <c r="E1982" s="446"/>
      <c r="F1982" s="446"/>
      <c r="G1982" s="446"/>
      <c r="H1982" s="446"/>
      <c r="I1982" s="446"/>
      <c r="J1982" s="447"/>
      <c r="K1982" s="447"/>
      <c r="L1982" s="448"/>
      <c r="M1982" s="449"/>
      <c r="N1982" s="451"/>
    </row>
    <row r="1983" spans="5:14" ht="14.1" customHeight="1">
      <c r="E1983" s="446"/>
      <c r="F1983" s="446"/>
      <c r="G1983" s="446"/>
      <c r="H1983" s="446"/>
      <c r="I1983" s="446"/>
      <c r="J1983" s="447"/>
      <c r="K1983" s="447"/>
      <c r="L1983" s="448"/>
      <c r="M1983" s="449"/>
      <c r="N1983" s="451"/>
    </row>
    <row r="1984" spans="5:14" ht="14.1" customHeight="1">
      <c r="E1984" s="446"/>
      <c r="F1984" s="446"/>
      <c r="G1984" s="446"/>
      <c r="H1984" s="446"/>
      <c r="I1984" s="446"/>
      <c r="J1984" s="447"/>
      <c r="K1984" s="447"/>
      <c r="L1984" s="448"/>
      <c r="M1984" s="449"/>
      <c r="N1984" s="451"/>
    </row>
    <row r="1985" spans="5:14" ht="14.1" customHeight="1">
      <c r="E1985" s="446"/>
      <c r="F1985" s="446"/>
      <c r="G1985" s="446"/>
      <c r="H1985" s="446"/>
      <c r="I1985" s="446"/>
      <c r="J1985" s="447"/>
      <c r="K1985" s="447"/>
      <c r="L1985" s="448"/>
      <c r="M1985" s="449"/>
      <c r="N1985" s="451"/>
    </row>
    <row r="1986" spans="5:14" ht="14.1" customHeight="1">
      <c r="E1986" s="446"/>
      <c r="F1986" s="446"/>
      <c r="G1986" s="446"/>
      <c r="H1986" s="446"/>
      <c r="I1986" s="446"/>
      <c r="J1986" s="447"/>
      <c r="K1986" s="447"/>
      <c r="L1986" s="448"/>
      <c r="M1986" s="449"/>
      <c r="N1986" s="451"/>
    </row>
    <row r="1987" spans="5:14" ht="14.1" customHeight="1">
      <c r="E1987" s="446"/>
      <c r="F1987" s="446"/>
      <c r="G1987" s="446"/>
      <c r="H1987" s="446"/>
      <c r="I1987" s="446"/>
      <c r="J1987" s="447"/>
      <c r="K1987" s="447"/>
      <c r="L1987" s="448"/>
      <c r="M1987" s="449"/>
      <c r="N1987" s="451"/>
    </row>
    <row r="1988" spans="5:14" ht="14.1" customHeight="1">
      <c r="E1988" s="446"/>
      <c r="F1988" s="446"/>
      <c r="G1988" s="446"/>
      <c r="H1988" s="446"/>
      <c r="I1988" s="446"/>
      <c r="J1988" s="447"/>
      <c r="K1988" s="447"/>
      <c r="L1988" s="448"/>
      <c r="M1988" s="449"/>
      <c r="N1988" s="451"/>
    </row>
    <row r="1989" spans="5:14" ht="14.1" customHeight="1">
      <c r="E1989" s="446"/>
      <c r="F1989" s="446"/>
      <c r="G1989" s="446"/>
      <c r="H1989" s="446"/>
      <c r="I1989" s="446"/>
      <c r="J1989" s="447"/>
      <c r="K1989" s="447"/>
      <c r="L1989" s="448"/>
      <c r="M1989" s="449"/>
      <c r="N1989" s="451"/>
    </row>
    <row r="1990" spans="5:14" ht="14.1" customHeight="1">
      <c r="E1990" s="446"/>
      <c r="F1990" s="446"/>
      <c r="G1990" s="446"/>
      <c r="H1990" s="446"/>
      <c r="I1990" s="446"/>
      <c r="J1990" s="447"/>
      <c r="K1990" s="447"/>
      <c r="L1990" s="448"/>
      <c r="M1990" s="449"/>
      <c r="N1990" s="451"/>
    </row>
    <row r="1991" spans="5:14" ht="14.1" customHeight="1">
      <c r="E1991" s="446"/>
      <c r="F1991" s="446"/>
      <c r="G1991" s="446"/>
      <c r="H1991" s="446"/>
      <c r="I1991" s="446"/>
      <c r="J1991" s="447"/>
      <c r="K1991" s="447"/>
      <c r="L1991" s="448"/>
      <c r="M1991" s="449"/>
      <c r="N1991" s="451"/>
    </row>
    <row r="1992" spans="5:14" ht="14.1" customHeight="1">
      <c r="E1992" s="446"/>
      <c r="F1992" s="446"/>
      <c r="G1992" s="446"/>
      <c r="H1992" s="446"/>
      <c r="I1992" s="446"/>
      <c r="J1992" s="447"/>
      <c r="K1992" s="447"/>
      <c r="L1992" s="448"/>
      <c r="M1992" s="449"/>
      <c r="N1992" s="450"/>
    </row>
    <row r="1993" spans="5:14" ht="14.1" customHeight="1">
      <c r="E1993" s="446"/>
      <c r="F1993" s="446"/>
      <c r="G1993" s="446"/>
      <c r="H1993" s="446"/>
      <c r="I1993" s="446"/>
      <c r="J1993" s="447"/>
      <c r="K1993" s="447"/>
      <c r="L1993" s="448"/>
      <c r="M1993" s="449"/>
      <c r="N1993" s="450"/>
    </row>
    <row r="1994" spans="5:14" ht="14.1" customHeight="1">
      <c r="E1994" s="446"/>
      <c r="F1994" s="446"/>
      <c r="G1994" s="446"/>
      <c r="H1994" s="446"/>
      <c r="I1994" s="446"/>
      <c r="J1994" s="447"/>
      <c r="K1994" s="447"/>
      <c r="L1994" s="448"/>
      <c r="M1994" s="449"/>
      <c r="N1994" s="450"/>
    </row>
    <row r="1995" spans="5:14" ht="14.1" customHeight="1">
      <c r="E1995" s="446"/>
      <c r="F1995" s="446"/>
      <c r="G1995" s="446"/>
      <c r="H1995" s="446"/>
      <c r="I1995" s="446"/>
      <c r="J1995" s="447"/>
      <c r="K1995" s="447"/>
      <c r="L1995" s="448"/>
      <c r="M1995" s="449"/>
      <c r="N1995" s="450"/>
    </row>
    <row r="1996" spans="5:14" ht="14.1" customHeight="1">
      <c r="E1996" s="446"/>
      <c r="F1996" s="446"/>
      <c r="G1996" s="446"/>
      <c r="H1996" s="446"/>
      <c r="I1996" s="446"/>
      <c r="J1996" s="447"/>
      <c r="K1996" s="447"/>
      <c r="L1996" s="448"/>
      <c r="M1996" s="449"/>
      <c r="N1996" s="450"/>
    </row>
    <row r="1997" spans="5:14" ht="14.1" customHeight="1">
      <c r="E1997" s="446"/>
      <c r="F1997" s="446"/>
      <c r="G1997" s="446"/>
      <c r="H1997" s="446"/>
      <c r="I1997" s="446"/>
      <c r="J1997" s="447"/>
      <c r="K1997" s="447"/>
      <c r="L1997" s="448"/>
      <c r="M1997" s="449"/>
      <c r="N1997" s="450"/>
    </row>
    <row r="1998" spans="5:14" ht="14.1" customHeight="1">
      <c r="E1998" s="446"/>
      <c r="F1998" s="446"/>
      <c r="G1998" s="446"/>
      <c r="H1998" s="446"/>
      <c r="I1998" s="446"/>
      <c r="J1998" s="447"/>
      <c r="K1998" s="447"/>
      <c r="L1998" s="448"/>
      <c r="M1998" s="449"/>
      <c r="N1998" s="450"/>
    </row>
    <row r="1999" spans="5:14" ht="14.1" customHeight="1">
      <c r="E1999" s="446"/>
      <c r="F1999" s="446"/>
      <c r="G1999" s="446"/>
      <c r="H1999" s="446"/>
      <c r="I1999" s="446"/>
      <c r="J1999" s="447"/>
      <c r="K1999" s="447"/>
      <c r="L1999" s="448"/>
      <c r="M1999" s="449"/>
      <c r="N1999" s="450"/>
    </row>
    <row r="2000" spans="5:14" ht="14.1" customHeight="1">
      <c r="E2000" s="446"/>
      <c r="F2000" s="446"/>
      <c r="G2000" s="446"/>
      <c r="H2000" s="446"/>
      <c r="I2000" s="446"/>
      <c r="J2000" s="447"/>
      <c r="K2000" s="447"/>
      <c r="L2000" s="448"/>
      <c r="M2000" s="449"/>
      <c r="N2000" s="450"/>
    </row>
    <row r="2001" spans="5:14" ht="14.1" customHeight="1">
      <c r="E2001" s="450"/>
      <c r="F2001" s="450"/>
      <c r="G2001" s="450"/>
      <c r="H2001" s="450"/>
      <c r="I2001" s="450"/>
      <c r="J2001" s="450"/>
      <c r="K2001" s="450"/>
      <c r="L2001" s="450"/>
      <c r="M2001" s="449"/>
      <c r="N2001" s="449"/>
    </row>
    <row r="2002" spans="5:14" ht="14.1" customHeight="1">
      <c r="E2002" s="446"/>
      <c r="F2002" s="446"/>
      <c r="G2002" s="446"/>
      <c r="H2002" s="446"/>
      <c r="I2002" s="446"/>
      <c r="J2002" s="447"/>
      <c r="K2002" s="447"/>
      <c r="L2002" s="448"/>
      <c r="M2002" s="449"/>
      <c r="N2002" s="450"/>
    </row>
    <row r="2003" spans="5:14" ht="14.1" customHeight="1">
      <c r="E2003" s="446"/>
      <c r="F2003" s="446"/>
      <c r="G2003" s="446"/>
      <c r="H2003" s="446"/>
      <c r="I2003" s="446"/>
      <c r="J2003" s="447"/>
      <c r="K2003" s="447"/>
      <c r="L2003" s="448"/>
      <c r="M2003" s="449"/>
      <c r="N2003" s="450"/>
    </row>
    <row r="2004" spans="5:14" ht="14.1" customHeight="1">
      <c r="E2004" s="450"/>
      <c r="F2004" s="450"/>
      <c r="G2004" s="450"/>
      <c r="H2004" s="450"/>
      <c r="I2004" s="450"/>
      <c r="J2004" s="450"/>
      <c r="K2004" s="450"/>
      <c r="L2004" s="450"/>
      <c r="M2004" s="449"/>
      <c r="N2004" s="449"/>
    </row>
    <row r="2005" spans="5:14" ht="14.1" customHeight="1">
      <c r="E2005" s="446"/>
      <c r="F2005" s="446"/>
      <c r="G2005" s="446"/>
      <c r="H2005" s="446"/>
      <c r="I2005" s="446"/>
      <c r="J2005" s="447"/>
      <c r="K2005" s="447"/>
      <c r="L2005" s="448"/>
      <c r="M2005" s="449"/>
      <c r="N2005" s="450"/>
    </row>
    <row r="2006" spans="5:14" ht="14.1" customHeight="1">
      <c r="E2006" s="450"/>
      <c r="F2006" s="450"/>
      <c r="G2006" s="450"/>
      <c r="H2006" s="450"/>
      <c r="I2006" s="450"/>
      <c r="J2006" s="450"/>
      <c r="K2006" s="450"/>
      <c r="L2006" s="450"/>
      <c r="M2006" s="449"/>
      <c r="N2006" s="449"/>
    </row>
    <row r="2007" spans="5:14" ht="14.1" customHeight="1">
      <c r="E2007" s="450"/>
      <c r="F2007" s="450"/>
      <c r="G2007" s="450"/>
      <c r="H2007" s="450"/>
      <c r="I2007" s="450"/>
      <c r="J2007" s="450"/>
      <c r="K2007" s="450"/>
      <c r="L2007" s="450"/>
      <c r="M2007" s="450"/>
      <c r="N2007" s="450"/>
    </row>
    <row r="2008" spans="5:14" ht="14.1" customHeight="1">
      <c r="E2008" s="446"/>
      <c r="F2008" s="446"/>
      <c r="G2008" s="446"/>
      <c r="H2008" s="446"/>
      <c r="I2008" s="446"/>
      <c r="J2008" s="447"/>
      <c r="K2008" s="447"/>
      <c r="L2008" s="448"/>
      <c r="M2008" s="449"/>
      <c r="N2008" s="450"/>
    </row>
    <row r="2009" spans="5:14" ht="14.1" customHeight="1">
      <c r="E2009" s="446"/>
      <c r="F2009" s="446"/>
      <c r="G2009" s="446"/>
      <c r="H2009" s="446"/>
      <c r="I2009" s="446"/>
      <c r="J2009" s="447"/>
      <c r="K2009" s="447"/>
      <c r="L2009" s="448"/>
      <c r="M2009" s="449"/>
      <c r="N2009" s="450"/>
    </row>
    <row r="2010" spans="5:14" ht="14.1" customHeight="1">
      <c r="E2010" s="446"/>
      <c r="F2010" s="446"/>
      <c r="G2010" s="446"/>
      <c r="H2010" s="446"/>
      <c r="I2010" s="446"/>
      <c r="J2010" s="447"/>
      <c r="K2010" s="447"/>
      <c r="L2010" s="448"/>
      <c r="M2010" s="449"/>
      <c r="N2010" s="450"/>
    </row>
    <row r="2011" spans="5:14" ht="14.1" customHeight="1">
      <c r="E2011" s="446"/>
      <c r="F2011" s="446"/>
      <c r="G2011" s="446"/>
      <c r="H2011" s="446"/>
      <c r="I2011" s="446"/>
      <c r="J2011" s="447"/>
      <c r="K2011" s="447"/>
      <c r="L2011" s="448"/>
      <c r="M2011" s="449"/>
      <c r="N2011" s="450"/>
    </row>
    <row r="2012" spans="5:14" ht="14.1" customHeight="1">
      <c r="E2012" s="446"/>
      <c r="F2012" s="446"/>
      <c r="G2012" s="446"/>
      <c r="H2012" s="446"/>
      <c r="I2012" s="446"/>
      <c r="J2012" s="447"/>
      <c r="K2012" s="447"/>
      <c r="L2012" s="448"/>
      <c r="M2012" s="449"/>
      <c r="N2012" s="450"/>
    </row>
    <row r="2013" spans="5:14" ht="14.1" customHeight="1">
      <c r="E2013" s="446"/>
      <c r="F2013" s="446"/>
      <c r="G2013" s="446"/>
      <c r="H2013" s="446"/>
      <c r="I2013" s="446"/>
      <c r="J2013" s="447"/>
      <c r="K2013" s="447"/>
      <c r="L2013" s="448"/>
      <c r="M2013" s="449"/>
      <c r="N2013" s="450"/>
    </row>
    <row r="2014" spans="5:14" ht="14.1" customHeight="1">
      <c r="E2014" s="446"/>
      <c r="F2014" s="446"/>
      <c r="G2014" s="446"/>
      <c r="H2014" s="446"/>
      <c r="I2014" s="446"/>
      <c r="J2014" s="447"/>
      <c r="K2014" s="447"/>
      <c r="L2014" s="448"/>
      <c r="M2014" s="449"/>
      <c r="N2014" s="450"/>
    </row>
    <row r="2015" spans="5:14" ht="14.1" customHeight="1">
      <c r="E2015" s="450"/>
      <c r="F2015" s="450"/>
      <c r="G2015" s="450"/>
      <c r="H2015" s="450"/>
      <c r="I2015" s="450"/>
      <c r="J2015" s="450"/>
      <c r="K2015" s="450"/>
      <c r="L2015" s="450"/>
      <c r="M2015" s="449"/>
      <c r="N2015" s="449"/>
    </row>
    <row r="2016" spans="5:14" ht="14.1" customHeight="1">
      <c r="E2016" s="446"/>
      <c r="F2016" s="446"/>
      <c r="G2016" s="446"/>
      <c r="H2016" s="446"/>
      <c r="I2016" s="446"/>
      <c r="J2016" s="447"/>
      <c r="K2016" s="447"/>
      <c r="L2016" s="448"/>
      <c r="M2016" s="449"/>
      <c r="N2016" s="450"/>
    </row>
    <row r="2017" spans="5:14" ht="14.1" customHeight="1">
      <c r="E2017" s="446"/>
      <c r="F2017" s="446"/>
      <c r="G2017" s="446"/>
      <c r="H2017" s="446"/>
      <c r="I2017" s="446"/>
      <c r="J2017" s="447"/>
      <c r="K2017" s="447"/>
      <c r="L2017" s="448"/>
      <c r="M2017" s="449"/>
      <c r="N2017" s="450"/>
    </row>
    <row r="2018" spans="5:14" ht="14.1" customHeight="1">
      <c r="E2018" s="446"/>
      <c r="F2018" s="446"/>
      <c r="G2018" s="446"/>
      <c r="H2018" s="446"/>
      <c r="I2018" s="446"/>
      <c r="J2018" s="447"/>
      <c r="K2018" s="447"/>
      <c r="L2018" s="448"/>
      <c r="M2018" s="449"/>
      <c r="N2018" s="450"/>
    </row>
    <row r="2019" spans="5:14" ht="14.1" customHeight="1">
      <c r="E2019" s="450"/>
      <c r="F2019" s="450"/>
      <c r="G2019" s="450"/>
      <c r="H2019" s="450"/>
      <c r="I2019" s="450"/>
      <c r="J2019" s="450"/>
      <c r="K2019" s="450"/>
      <c r="L2019" s="450"/>
      <c r="M2019" s="449"/>
      <c r="N2019" s="449"/>
    </row>
    <row r="2020" spans="5:14" ht="14.1" customHeight="1">
      <c r="E2020" s="450"/>
      <c r="F2020" s="450"/>
      <c r="G2020" s="450"/>
      <c r="H2020" s="450"/>
      <c r="I2020" s="450"/>
      <c r="J2020" s="450"/>
      <c r="K2020" s="450"/>
      <c r="L2020" s="450"/>
      <c r="M2020" s="449"/>
      <c r="N2020" s="449"/>
    </row>
    <row r="2021" spans="5:14" ht="14.1" customHeight="1">
      <c r="E2021" s="446"/>
      <c r="F2021" s="446"/>
      <c r="G2021" s="446"/>
      <c r="H2021" s="446"/>
      <c r="I2021" s="446"/>
      <c r="J2021" s="447"/>
      <c r="K2021" s="447"/>
      <c r="L2021" s="448"/>
      <c r="M2021" s="449"/>
      <c r="N2021" s="450"/>
    </row>
    <row r="2022" spans="5:14" ht="14.1" customHeight="1">
      <c r="E2022" s="446"/>
      <c r="F2022" s="446"/>
      <c r="G2022" s="446"/>
      <c r="H2022" s="446"/>
      <c r="I2022" s="446"/>
      <c r="J2022" s="447"/>
      <c r="K2022" s="447"/>
      <c r="L2022" s="448"/>
      <c r="M2022" s="449"/>
      <c r="N2022" s="450"/>
    </row>
    <row r="2023" spans="5:14" ht="14.1" customHeight="1">
      <c r="E2023" s="450"/>
      <c r="F2023" s="450"/>
      <c r="G2023" s="450"/>
      <c r="H2023" s="450"/>
      <c r="I2023" s="450"/>
      <c r="J2023" s="450"/>
      <c r="K2023" s="450"/>
      <c r="L2023" s="450"/>
      <c r="M2023" s="449"/>
      <c r="N2023" s="449"/>
    </row>
    <row r="2024" spans="5:14" ht="14.1" customHeight="1">
      <c r="E2024" s="450"/>
      <c r="F2024" s="450"/>
      <c r="G2024" s="450"/>
      <c r="H2024" s="450"/>
      <c r="I2024" s="450"/>
      <c r="J2024" s="450"/>
      <c r="K2024" s="450"/>
      <c r="L2024" s="450"/>
      <c r="M2024" s="449"/>
      <c r="N2024" s="449"/>
    </row>
    <row r="2025" spans="5:14" ht="14.1" customHeight="1">
      <c r="E2025" s="446"/>
      <c r="F2025" s="446"/>
      <c r="G2025" s="446"/>
      <c r="H2025" s="446"/>
      <c r="I2025" s="446"/>
      <c r="J2025" s="447"/>
      <c r="K2025" s="447"/>
      <c r="L2025" s="448"/>
      <c r="M2025" s="449"/>
      <c r="N2025" s="450"/>
    </row>
    <row r="2026" spans="5:14" ht="14.1" customHeight="1">
      <c r="E2026" s="446"/>
      <c r="F2026" s="446"/>
      <c r="G2026" s="446"/>
      <c r="H2026" s="446"/>
      <c r="I2026" s="446"/>
      <c r="J2026" s="447"/>
      <c r="K2026" s="447"/>
      <c r="L2026" s="448"/>
      <c r="M2026" s="449"/>
      <c r="N2026" s="450"/>
    </row>
    <row r="2027" spans="5:14" ht="14.1" customHeight="1">
      <c r="E2027" s="450"/>
      <c r="F2027" s="450"/>
      <c r="G2027" s="450"/>
      <c r="H2027" s="450"/>
      <c r="I2027" s="450"/>
      <c r="J2027" s="450"/>
      <c r="K2027" s="450"/>
      <c r="L2027" s="450"/>
      <c r="M2027" s="449"/>
      <c r="N2027" s="449"/>
    </row>
    <row r="2028" spans="5:14" ht="14.1" customHeight="1">
      <c r="E2028" s="446"/>
      <c r="F2028" s="446"/>
      <c r="G2028" s="446"/>
      <c r="H2028" s="446"/>
      <c r="I2028" s="446"/>
      <c r="J2028" s="447"/>
      <c r="K2028" s="447"/>
      <c r="L2028" s="448"/>
      <c r="M2028" s="449"/>
      <c r="N2028" s="450"/>
    </row>
    <row r="2029" spans="5:14" ht="14.1" customHeight="1">
      <c r="E2029" s="446"/>
      <c r="F2029" s="446"/>
      <c r="G2029" s="446"/>
      <c r="H2029" s="446"/>
      <c r="I2029" s="446"/>
      <c r="J2029" s="447"/>
      <c r="K2029" s="447"/>
      <c r="L2029" s="448"/>
      <c r="M2029" s="449"/>
      <c r="N2029" s="450"/>
    </row>
    <row r="2030" spans="5:14" ht="14.1" customHeight="1">
      <c r="E2030" s="450"/>
      <c r="F2030" s="450"/>
      <c r="G2030" s="450"/>
      <c r="H2030" s="450"/>
      <c r="I2030" s="450"/>
      <c r="J2030" s="450"/>
      <c r="K2030" s="450"/>
      <c r="L2030" s="450"/>
      <c r="M2030" s="449"/>
      <c r="N2030" s="449"/>
    </row>
    <row r="2031" spans="5:14" ht="14.1" customHeight="1">
      <c r="E2031" s="446"/>
      <c r="F2031" s="446"/>
      <c r="G2031" s="446"/>
      <c r="H2031" s="446"/>
      <c r="I2031" s="446"/>
      <c r="J2031" s="447"/>
      <c r="K2031" s="447"/>
      <c r="L2031" s="448"/>
      <c r="M2031" s="449"/>
      <c r="N2031" s="450"/>
    </row>
    <row r="2032" spans="5:14" ht="14.1" customHeight="1">
      <c r="E2032" s="450"/>
      <c r="F2032" s="450"/>
      <c r="G2032" s="450"/>
      <c r="H2032" s="450"/>
      <c r="I2032" s="450"/>
      <c r="J2032" s="450"/>
      <c r="K2032" s="450"/>
      <c r="L2032" s="450"/>
      <c r="M2032" s="449"/>
      <c r="N2032" s="449"/>
    </row>
    <row r="2033" spans="5:14" ht="14.1" customHeight="1">
      <c r="E2033" s="446"/>
      <c r="F2033" s="446"/>
      <c r="G2033" s="446"/>
      <c r="H2033" s="446"/>
      <c r="I2033" s="446"/>
      <c r="J2033" s="447"/>
      <c r="K2033" s="447"/>
      <c r="L2033" s="448"/>
      <c r="M2033" s="449"/>
      <c r="N2033" s="450"/>
    </row>
    <row r="2034" spans="5:14" ht="14.1" customHeight="1">
      <c r="E2034" s="450"/>
      <c r="F2034" s="450"/>
      <c r="G2034" s="450"/>
      <c r="H2034" s="450"/>
      <c r="I2034" s="450"/>
      <c r="J2034" s="450"/>
      <c r="K2034" s="450"/>
      <c r="L2034" s="450"/>
      <c r="M2034" s="449"/>
      <c r="N2034" s="449"/>
    </row>
    <row r="2035" spans="5:14" ht="14.1" customHeight="1">
      <c r="E2035" s="446"/>
      <c r="F2035" s="446"/>
      <c r="G2035" s="446"/>
      <c r="H2035" s="446"/>
      <c r="I2035" s="446"/>
      <c r="J2035" s="447"/>
      <c r="K2035" s="447"/>
      <c r="L2035" s="448"/>
      <c r="M2035" s="449"/>
      <c r="N2035" s="450"/>
    </row>
    <row r="2036" spans="5:14" ht="14.1" customHeight="1">
      <c r="E2036" s="446"/>
      <c r="F2036" s="446"/>
      <c r="G2036" s="446"/>
      <c r="H2036" s="446"/>
      <c r="I2036" s="446"/>
      <c r="J2036" s="447"/>
      <c r="K2036" s="447"/>
      <c r="L2036" s="448"/>
      <c r="M2036" s="449"/>
      <c r="N2036" s="450"/>
    </row>
    <row r="2037" spans="5:14" ht="14.1" customHeight="1">
      <c r="E2037" s="450"/>
      <c r="F2037" s="450"/>
      <c r="G2037" s="450"/>
      <c r="H2037" s="450"/>
      <c r="I2037" s="450"/>
      <c r="J2037" s="450"/>
      <c r="K2037" s="450"/>
      <c r="L2037" s="450"/>
      <c r="M2037" s="449"/>
      <c r="N2037" s="449"/>
    </row>
    <row r="2038" spans="5:14" ht="14.1" customHeight="1">
      <c r="E2038" s="446"/>
      <c r="F2038" s="446"/>
      <c r="G2038" s="446"/>
      <c r="H2038" s="446"/>
      <c r="I2038" s="446"/>
      <c r="J2038" s="447"/>
      <c r="K2038" s="447"/>
      <c r="L2038" s="448"/>
      <c r="M2038" s="449"/>
      <c r="N2038" s="450"/>
    </row>
    <row r="2039" spans="5:14" ht="14.1" customHeight="1">
      <c r="E2039" s="446"/>
      <c r="F2039" s="446"/>
      <c r="G2039" s="446"/>
      <c r="H2039" s="446"/>
      <c r="I2039" s="446"/>
      <c r="J2039" s="447"/>
      <c r="K2039" s="447"/>
      <c r="L2039" s="448"/>
      <c r="M2039" s="449"/>
      <c r="N2039" s="450"/>
    </row>
    <row r="2040" spans="5:14" ht="14.1" customHeight="1">
      <c r="E2040" s="450"/>
      <c r="F2040" s="450"/>
      <c r="G2040" s="450"/>
      <c r="H2040" s="450"/>
      <c r="I2040" s="450"/>
      <c r="J2040" s="450"/>
      <c r="K2040" s="450"/>
      <c r="L2040" s="450"/>
      <c r="M2040" s="449"/>
      <c r="N2040" s="449"/>
    </row>
    <row r="2041" spans="5:14" ht="14.1" customHeight="1">
      <c r="E2041" s="446"/>
      <c r="F2041" s="446"/>
      <c r="G2041" s="446"/>
      <c r="H2041" s="446"/>
      <c r="I2041" s="446"/>
      <c r="J2041" s="447"/>
      <c r="K2041" s="447"/>
      <c r="L2041" s="448"/>
      <c r="M2041" s="449"/>
      <c r="N2041" s="450"/>
    </row>
    <row r="2042" spans="5:14" ht="14.1" customHeight="1">
      <c r="E2042" s="446"/>
      <c r="F2042" s="446"/>
      <c r="G2042" s="446"/>
      <c r="H2042" s="446"/>
      <c r="I2042" s="446"/>
      <c r="J2042" s="447"/>
      <c r="K2042" s="447"/>
      <c r="L2042" s="448"/>
      <c r="M2042" s="449"/>
      <c r="N2042" s="450"/>
    </row>
    <row r="2043" spans="5:14" ht="14.1" customHeight="1">
      <c r="E2043" s="446"/>
      <c r="F2043" s="446"/>
      <c r="G2043" s="446"/>
      <c r="H2043" s="446"/>
      <c r="I2043" s="446"/>
      <c r="J2043" s="447"/>
      <c r="K2043" s="447"/>
      <c r="L2043" s="448"/>
      <c r="M2043" s="449"/>
      <c r="N2043" s="450"/>
    </row>
    <row r="2044" spans="5:14" ht="14.1" customHeight="1">
      <c r="E2044" s="446"/>
      <c r="F2044" s="446"/>
      <c r="G2044" s="446"/>
      <c r="H2044" s="446"/>
      <c r="I2044" s="446"/>
      <c r="J2044" s="447"/>
      <c r="K2044" s="447"/>
      <c r="L2044" s="448"/>
      <c r="M2044" s="449"/>
      <c r="N2044" s="450"/>
    </row>
    <row r="2045" spans="5:14" ht="14.1" customHeight="1">
      <c r="E2045" s="446"/>
      <c r="F2045" s="446"/>
      <c r="G2045" s="446"/>
      <c r="H2045" s="446"/>
      <c r="I2045" s="446"/>
      <c r="J2045" s="447"/>
      <c r="K2045" s="447"/>
      <c r="L2045" s="448"/>
      <c r="M2045" s="449"/>
      <c r="N2045" s="450"/>
    </row>
    <row r="2046" spans="5:14" ht="14.1" customHeight="1">
      <c r="E2046" s="446"/>
      <c r="F2046" s="446"/>
      <c r="G2046" s="446"/>
      <c r="H2046" s="446"/>
      <c r="I2046" s="446"/>
      <c r="J2046" s="447"/>
      <c r="K2046" s="447"/>
      <c r="L2046" s="448"/>
      <c r="M2046" s="449"/>
      <c r="N2046" s="450"/>
    </row>
    <row r="2047" spans="5:14" ht="14.1" customHeight="1">
      <c r="E2047" s="450"/>
      <c r="F2047" s="450"/>
      <c r="G2047" s="450"/>
      <c r="H2047" s="450"/>
      <c r="I2047" s="450"/>
      <c r="J2047" s="450"/>
      <c r="K2047" s="450"/>
      <c r="L2047" s="450"/>
      <c r="M2047" s="449"/>
      <c r="N2047" s="449"/>
    </row>
    <row r="2048" spans="5:14" ht="14.1" customHeight="1">
      <c r="E2048" s="450"/>
      <c r="F2048" s="450"/>
      <c r="G2048" s="450"/>
      <c r="H2048" s="450"/>
      <c r="I2048" s="450"/>
      <c r="J2048" s="450"/>
      <c r="K2048" s="450"/>
      <c r="L2048" s="450"/>
      <c r="M2048" s="449"/>
      <c r="N2048" s="449"/>
    </row>
    <row r="2049" spans="5:14" ht="14.1" customHeight="1">
      <c r="E2049" s="446"/>
      <c r="F2049" s="446"/>
      <c r="G2049" s="446"/>
      <c r="H2049" s="446"/>
      <c r="I2049" s="446"/>
      <c r="J2049" s="447"/>
      <c r="K2049" s="447"/>
      <c r="L2049" s="448"/>
      <c r="M2049" s="449"/>
      <c r="N2049" s="450"/>
    </row>
    <row r="2050" spans="5:14" ht="14.1" customHeight="1">
      <c r="E2050" s="450"/>
      <c r="F2050" s="450"/>
      <c r="G2050" s="450"/>
      <c r="H2050" s="450"/>
      <c r="I2050" s="450"/>
      <c r="J2050" s="450"/>
      <c r="K2050" s="450"/>
      <c r="L2050" s="450"/>
      <c r="M2050" s="449"/>
      <c r="N2050" s="449"/>
    </row>
    <row r="2051" spans="5:14" ht="14.1" customHeight="1">
      <c r="E2051" s="446"/>
      <c r="F2051" s="446"/>
      <c r="G2051" s="446"/>
      <c r="H2051" s="446"/>
      <c r="I2051" s="446"/>
      <c r="J2051" s="447"/>
      <c r="K2051" s="447"/>
      <c r="L2051" s="448"/>
      <c r="M2051" s="449"/>
      <c r="N2051" s="450"/>
    </row>
    <row r="2052" spans="5:14" ht="14.1" customHeight="1">
      <c r="E2052" s="450"/>
      <c r="F2052" s="450"/>
      <c r="G2052" s="450"/>
      <c r="H2052" s="450"/>
      <c r="I2052" s="450"/>
      <c r="J2052" s="450"/>
      <c r="K2052" s="450"/>
      <c r="L2052" s="450"/>
      <c r="M2052" s="449"/>
      <c r="N2052" s="449"/>
    </row>
    <row r="2053" spans="5:14" ht="14.1" customHeight="1">
      <c r="E2053" s="446"/>
      <c r="F2053" s="446"/>
      <c r="G2053" s="446"/>
      <c r="H2053" s="446"/>
      <c r="I2053" s="446"/>
      <c r="J2053" s="447"/>
      <c r="K2053" s="447"/>
      <c r="L2053" s="448"/>
      <c r="M2053" s="449"/>
      <c r="N2053" s="450"/>
    </row>
    <row r="2054" spans="5:14" ht="14.1" customHeight="1">
      <c r="E2054" s="450"/>
      <c r="F2054" s="450"/>
      <c r="G2054" s="450"/>
      <c r="H2054" s="450"/>
      <c r="I2054" s="450"/>
      <c r="J2054" s="450"/>
      <c r="K2054" s="450"/>
      <c r="L2054" s="450"/>
      <c r="M2054" s="450"/>
      <c r="N2054" s="450"/>
    </row>
    <row r="2055" spans="5:14" ht="14.1" customHeight="1">
      <c r="E2055" s="446"/>
      <c r="F2055" s="446"/>
      <c r="G2055" s="446"/>
      <c r="H2055" s="446"/>
      <c r="I2055" s="446"/>
      <c r="J2055" s="447"/>
      <c r="K2055" s="447"/>
      <c r="L2055" s="448"/>
      <c r="M2055" s="449"/>
      <c r="N2055" s="450"/>
    </row>
    <row r="2056" spans="5:14" ht="14.1" customHeight="1">
      <c r="E2056" s="446"/>
      <c r="F2056" s="446"/>
      <c r="G2056" s="446"/>
      <c r="H2056" s="446"/>
      <c r="I2056" s="446"/>
      <c r="J2056" s="447"/>
      <c r="K2056" s="447"/>
      <c r="L2056" s="448"/>
      <c r="M2056" s="449"/>
      <c r="N2056" s="451"/>
    </row>
    <row r="2057" spans="5:14" ht="14.1" customHeight="1">
      <c r="E2057" s="446"/>
      <c r="F2057" s="446"/>
      <c r="G2057" s="446"/>
      <c r="H2057" s="446"/>
      <c r="I2057" s="446"/>
      <c r="J2057" s="447"/>
      <c r="K2057" s="447"/>
      <c r="L2057" s="448"/>
      <c r="M2057" s="449"/>
      <c r="N2057" s="451"/>
    </row>
    <row r="2058" spans="5:14" ht="14.1" customHeight="1">
      <c r="E2058" s="446"/>
      <c r="F2058" s="446"/>
      <c r="G2058" s="446"/>
      <c r="H2058" s="446"/>
      <c r="I2058" s="446"/>
      <c r="J2058" s="447"/>
      <c r="K2058" s="447"/>
      <c r="L2058" s="448"/>
      <c r="M2058" s="449"/>
      <c r="N2058" s="451"/>
    </row>
    <row r="2059" spans="5:14" ht="14.1" customHeight="1">
      <c r="E2059" s="446"/>
      <c r="F2059" s="446"/>
      <c r="G2059" s="446"/>
      <c r="H2059" s="446"/>
      <c r="I2059" s="446"/>
      <c r="J2059" s="447"/>
      <c r="K2059" s="447"/>
      <c r="L2059" s="448"/>
      <c r="M2059" s="449"/>
      <c r="N2059" s="451"/>
    </row>
    <row r="2060" spans="5:14" ht="14.1" customHeight="1">
      <c r="E2060" s="446"/>
      <c r="F2060" s="446"/>
      <c r="G2060" s="446"/>
      <c r="H2060" s="446"/>
      <c r="I2060" s="446"/>
      <c r="J2060" s="447"/>
      <c r="K2060" s="447"/>
      <c r="L2060" s="448"/>
      <c r="M2060" s="449"/>
      <c r="N2060" s="451"/>
    </row>
    <row r="2061" spans="5:14" ht="14.1" customHeight="1">
      <c r="E2061" s="446"/>
      <c r="F2061" s="446"/>
      <c r="G2061" s="446"/>
      <c r="H2061" s="446"/>
      <c r="I2061" s="446"/>
      <c r="J2061" s="447"/>
      <c r="K2061" s="447"/>
      <c r="L2061" s="448"/>
      <c r="M2061" s="449"/>
      <c r="N2061" s="451"/>
    </row>
    <row r="2062" spans="5:14" ht="14.1" customHeight="1">
      <c r="E2062" s="446"/>
      <c r="F2062" s="446"/>
      <c r="G2062" s="446"/>
      <c r="H2062" s="446"/>
      <c r="I2062" s="446"/>
      <c r="J2062" s="447"/>
      <c r="K2062" s="447"/>
      <c r="L2062" s="448"/>
      <c r="M2062" s="449"/>
      <c r="N2062" s="451"/>
    </row>
    <row r="2063" spans="5:14" ht="14.1" customHeight="1">
      <c r="E2063" s="446"/>
      <c r="F2063" s="446"/>
      <c r="G2063" s="446"/>
      <c r="H2063" s="446"/>
      <c r="I2063" s="446"/>
      <c r="J2063" s="447"/>
      <c r="K2063" s="447"/>
      <c r="L2063" s="448"/>
      <c r="M2063" s="449"/>
      <c r="N2063" s="451"/>
    </row>
    <row r="2064" spans="5:14" ht="14.1" customHeight="1">
      <c r="E2064" s="446"/>
      <c r="F2064" s="446"/>
      <c r="G2064" s="446"/>
      <c r="H2064" s="446"/>
      <c r="I2064" s="446"/>
      <c r="J2064" s="447"/>
      <c r="K2064" s="447"/>
      <c r="L2064" s="448"/>
      <c r="M2064" s="449"/>
      <c r="N2064" s="451"/>
    </row>
    <row r="2065" spans="5:14" ht="14.1" customHeight="1">
      <c r="E2065" s="446"/>
      <c r="F2065" s="446"/>
      <c r="G2065" s="446"/>
      <c r="H2065" s="446"/>
      <c r="I2065" s="446"/>
      <c r="J2065" s="447"/>
      <c r="K2065" s="447"/>
      <c r="L2065" s="448"/>
      <c r="M2065" s="449"/>
      <c r="N2065" s="451"/>
    </row>
    <row r="2066" spans="5:14" ht="14.1" customHeight="1">
      <c r="E2066" s="446"/>
      <c r="F2066" s="446"/>
      <c r="G2066" s="446"/>
      <c r="H2066" s="446"/>
      <c r="I2066" s="446"/>
      <c r="J2066" s="447"/>
      <c r="K2066" s="447"/>
      <c r="L2066" s="448"/>
      <c r="M2066" s="449"/>
      <c r="N2066" s="451"/>
    </row>
    <row r="2067" spans="5:14" ht="14.1" customHeight="1">
      <c r="E2067" s="446"/>
      <c r="F2067" s="446"/>
      <c r="G2067" s="446"/>
      <c r="H2067" s="446"/>
      <c r="I2067" s="446"/>
      <c r="J2067" s="447"/>
      <c r="K2067" s="447"/>
      <c r="L2067" s="448"/>
      <c r="M2067" s="449"/>
      <c r="N2067" s="451"/>
    </row>
    <row r="2068" spans="5:14" ht="14.1" customHeight="1">
      <c r="E2068" s="446"/>
      <c r="F2068" s="446"/>
      <c r="G2068" s="446"/>
      <c r="H2068" s="446"/>
      <c r="I2068" s="446"/>
      <c r="J2068" s="447"/>
      <c r="K2068" s="447"/>
      <c r="L2068" s="448"/>
      <c r="M2068" s="449"/>
      <c r="N2068" s="451"/>
    </row>
    <row r="2069" spans="5:14" ht="14.1" customHeight="1">
      <c r="E2069" s="446"/>
      <c r="F2069" s="446"/>
      <c r="G2069" s="446"/>
      <c r="H2069" s="446"/>
      <c r="I2069" s="446"/>
      <c r="J2069" s="447"/>
      <c r="K2069" s="447"/>
      <c r="L2069" s="448"/>
      <c r="M2069" s="449"/>
      <c r="N2069" s="451"/>
    </row>
    <row r="2070" spans="5:14" ht="14.1" customHeight="1">
      <c r="E2070" s="446"/>
      <c r="F2070" s="446"/>
      <c r="G2070" s="446"/>
      <c r="H2070" s="446"/>
      <c r="I2070" s="446"/>
      <c r="J2070" s="447"/>
      <c r="K2070" s="447"/>
      <c r="L2070" s="448"/>
      <c r="M2070" s="449"/>
      <c r="N2070" s="451"/>
    </row>
    <row r="2071" spans="5:14" ht="14.1" customHeight="1">
      <c r="E2071" s="446"/>
      <c r="F2071" s="446"/>
      <c r="G2071" s="446"/>
      <c r="H2071" s="446"/>
      <c r="I2071" s="446"/>
      <c r="J2071" s="447"/>
      <c r="K2071" s="447"/>
      <c r="L2071" s="448"/>
      <c r="M2071" s="449"/>
      <c r="N2071" s="451"/>
    </row>
    <row r="2072" spans="5:14" ht="14.1" customHeight="1">
      <c r="E2072" s="446"/>
      <c r="F2072" s="446"/>
      <c r="G2072" s="446"/>
      <c r="H2072" s="446"/>
      <c r="I2072" s="446"/>
      <c r="J2072" s="447"/>
      <c r="K2072" s="447"/>
      <c r="L2072" s="448"/>
      <c r="M2072" s="449"/>
      <c r="N2072" s="450"/>
    </row>
    <row r="2073" spans="5:14" ht="14.1" customHeight="1">
      <c r="E2073" s="446"/>
      <c r="F2073" s="446"/>
      <c r="G2073" s="446"/>
      <c r="H2073" s="446"/>
      <c r="I2073" s="446"/>
      <c r="J2073" s="447"/>
      <c r="K2073" s="447"/>
      <c r="L2073" s="448"/>
      <c r="M2073" s="449"/>
      <c r="N2073" s="450"/>
    </row>
    <row r="2074" spans="5:14" ht="14.1" customHeight="1">
      <c r="E2074" s="446"/>
      <c r="F2074" s="446"/>
      <c r="G2074" s="446"/>
      <c r="H2074" s="446"/>
      <c r="I2074" s="446"/>
      <c r="J2074" s="447"/>
      <c r="K2074" s="447"/>
      <c r="L2074" s="448"/>
      <c r="M2074" s="449"/>
      <c r="N2074" s="450"/>
    </row>
    <row r="2075" spans="5:14" ht="14.1" customHeight="1">
      <c r="E2075" s="446"/>
      <c r="F2075" s="446"/>
      <c r="G2075" s="446"/>
      <c r="H2075" s="446"/>
      <c r="I2075" s="446"/>
      <c r="J2075" s="447"/>
      <c r="K2075" s="447"/>
      <c r="L2075" s="448"/>
      <c r="M2075" s="449"/>
      <c r="N2075" s="450"/>
    </row>
    <row r="2076" spans="5:14" ht="14.1" customHeight="1">
      <c r="E2076" s="446"/>
      <c r="F2076" s="446"/>
      <c r="G2076" s="446"/>
      <c r="H2076" s="446"/>
      <c r="I2076" s="446"/>
      <c r="J2076" s="447"/>
      <c r="K2076" s="447"/>
      <c r="L2076" s="448"/>
      <c r="M2076" s="449"/>
      <c r="N2076" s="450"/>
    </row>
    <row r="2077" spans="5:14" ht="14.1" customHeight="1">
      <c r="E2077" s="446"/>
      <c r="F2077" s="446"/>
      <c r="G2077" s="446"/>
      <c r="H2077" s="446"/>
      <c r="I2077" s="446"/>
      <c r="J2077" s="447"/>
      <c r="K2077" s="447"/>
      <c r="L2077" s="448"/>
      <c r="M2077" s="449"/>
      <c r="N2077" s="450"/>
    </row>
    <row r="2078" spans="5:14" ht="14.1" customHeight="1">
      <c r="E2078" s="446"/>
      <c r="F2078" s="446"/>
      <c r="G2078" s="446"/>
      <c r="H2078" s="446"/>
      <c r="I2078" s="446"/>
      <c r="J2078" s="447"/>
      <c r="K2078" s="447"/>
      <c r="L2078" s="448"/>
      <c r="M2078" s="449"/>
      <c r="N2078" s="450"/>
    </row>
    <row r="2079" spans="5:14" ht="14.1" customHeight="1">
      <c r="E2079" s="446"/>
      <c r="F2079" s="446"/>
      <c r="G2079" s="446"/>
      <c r="H2079" s="446"/>
      <c r="I2079" s="446"/>
      <c r="J2079" s="447"/>
      <c r="K2079" s="447"/>
      <c r="L2079" s="448"/>
      <c r="M2079" s="449"/>
      <c r="N2079" s="450"/>
    </row>
    <row r="2080" spans="5:14" ht="14.1" customHeight="1">
      <c r="E2080" s="446"/>
      <c r="F2080" s="446"/>
      <c r="G2080" s="446"/>
      <c r="H2080" s="446"/>
      <c r="I2080" s="446"/>
      <c r="J2080" s="447"/>
      <c r="K2080" s="447"/>
      <c r="L2080" s="448"/>
      <c r="M2080" s="449"/>
      <c r="N2080" s="450"/>
    </row>
    <row r="2081" spans="5:14" ht="14.1" customHeight="1">
      <c r="E2081" s="446"/>
      <c r="F2081" s="446"/>
      <c r="G2081" s="446"/>
      <c r="H2081" s="446"/>
      <c r="I2081" s="446"/>
      <c r="J2081" s="447"/>
      <c r="K2081" s="447"/>
      <c r="L2081" s="448"/>
      <c r="M2081" s="449"/>
      <c r="N2081" s="450"/>
    </row>
    <row r="2082" spans="5:14" ht="14.1" customHeight="1">
      <c r="E2082" s="446"/>
      <c r="F2082" s="446"/>
      <c r="G2082" s="446"/>
      <c r="H2082" s="446"/>
      <c r="I2082" s="446"/>
      <c r="J2082" s="447"/>
      <c r="K2082" s="447"/>
      <c r="L2082" s="448"/>
      <c r="M2082" s="449"/>
      <c r="N2082" s="450"/>
    </row>
    <row r="2083" spans="5:14" ht="14.1" customHeight="1">
      <c r="E2083" s="450"/>
      <c r="F2083" s="450"/>
      <c r="G2083" s="450"/>
      <c r="H2083" s="450"/>
      <c r="I2083" s="450"/>
      <c r="J2083" s="450"/>
      <c r="K2083" s="450"/>
      <c r="L2083" s="450"/>
      <c r="M2083" s="449"/>
      <c r="N2083" s="449"/>
    </row>
    <row r="2084" spans="5:14" ht="14.1" customHeight="1">
      <c r="E2084" s="446"/>
      <c r="F2084" s="446"/>
      <c r="G2084" s="446"/>
      <c r="H2084" s="446"/>
      <c r="I2084" s="446"/>
      <c r="J2084" s="447"/>
      <c r="K2084" s="447"/>
      <c r="L2084" s="448"/>
      <c r="M2084" s="449"/>
      <c r="N2084" s="450"/>
    </row>
    <row r="2085" spans="5:14" ht="14.1" customHeight="1">
      <c r="E2085" s="450"/>
      <c r="F2085" s="450"/>
      <c r="G2085" s="450"/>
      <c r="H2085" s="450"/>
      <c r="I2085" s="450"/>
      <c r="J2085" s="450"/>
      <c r="K2085" s="450"/>
      <c r="L2085" s="450"/>
      <c r="M2085" s="449"/>
      <c r="N2085" s="449"/>
    </row>
    <row r="2086" spans="5:14" ht="14.1" customHeight="1">
      <c r="E2086" s="446"/>
      <c r="F2086" s="446"/>
      <c r="G2086" s="446"/>
      <c r="H2086" s="446"/>
      <c r="I2086" s="446"/>
      <c r="J2086" s="447"/>
      <c r="K2086" s="447"/>
      <c r="L2086" s="448"/>
      <c r="M2086" s="449"/>
      <c r="N2086" s="450"/>
    </row>
    <row r="2087" spans="5:14" ht="14.1" customHeight="1">
      <c r="E2087" s="450"/>
      <c r="F2087" s="450"/>
      <c r="G2087" s="450"/>
      <c r="H2087" s="450"/>
      <c r="I2087" s="450"/>
      <c r="J2087" s="450"/>
      <c r="K2087" s="450"/>
      <c r="L2087" s="450"/>
      <c r="M2087" s="449"/>
      <c r="N2087" s="449"/>
    </row>
    <row r="2088" spans="5:14" ht="14.1" customHeight="1">
      <c r="E2088" s="446"/>
      <c r="F2088" s="446"/>
      <c r="G2088" s="446"/>
      <c r="H2088" s="446"/>
      <c r="I2088" s="446"/>
      <c r="J2088" s="447"/>
      <c r="K2088" s="447"/>
      <c r="L2088" s="448"/>
      <c r="M2088" s="449"/>
      <c r="N2088" s="450"/>
    </row>
    <row r="2089" spans="5:14" ht="14.1" customHeight="1">
      <c r="E2089" s="450"/>
      <c r="F2089" s="450"/>
      <c r="G2089" s="450"/>
      <c r="H2089" s="450"/>
      <c r="I2089" s="450"/>
      <c r="J2089" s="450"/>
      <c r="K2089" s="450"/>
      <c r="L2089" s="450"/>
      <c r="M2089" s="449"/>
      <c r="N2089" s="449"/>
    </row>
    <row r="2090" spans="5:14" ht="14.1" customHeight="1">
      <c r="E2090" s="450"/>
      <c r="F2090" s="450"/>
      <c r="G2090" s="450"/>
      <c r="H2090" s="450"/>
      <c r="I2090" s="450"/>
      <c r="J2090" s="450"/>
      <c r="K2090" s="450"/>
      <c r="L2090" s="450"/>
      <c r="M2090" s="449"/>
      <c r="N2090" s="449"/>
    </row>
    <row r="2091" spans="5:14" ht="14.1" customHeight="1">
      <c r="E2091" s="446"/>
      <c r="F2091" s="446"/>
      <c r="G2091" s="446"/>
      <c r="H2091" s="446"/>
      <c r="I2091" s="446"/>
      <c r="J2091" s="447"/>
      <c r="K2091" s="447"/>
      <c r="L2091" s="448"/>
      <c r="M2091" s="449"/>
      <c r="N2091" s="450"/>
    </row>
    <row r="2092" spans="5:14" ht="14.1" customHeight="1">
      <c r="E2092" s="446"/>
      <c r="F2092" s="446"/>
      <c r="G2092" s="446"/>
      <c r="H2092" s="446"/>
      <c r="I2092" s="446"/>
      <c r="J2092" s="447"/>
      <c r="K2092" s="447"/>
      <c r="L2092" s="448"/>
      <c r="M2092" s="449"/>
      <c r="N2092" s="450"/>
    </row>
    <row r="2093" spans="5:14" ht="14.1" customHeight="1">
      <c r="E2093" s="450"/>
      <c r="F2093" s="450"/>
      <c r="G2093" s="450"/>
      <c r="H2093" s="450"/>
      <c r="I2093" s="450"/>
      <c r="J2093" s="450"/>
      <c r="K2093" s="450"/>
      <c r="L2093" s="450"/>
      <c r="M2093" s="449"/>
      <c r="N2093" s="449"/>
    </row>
    <row r="2094" spans="5:14" ht="14.1" customHeight="1">
      <c r="E2094" s="446"/>
      <c r="F2094" s="446"/>
      <c r="G2094" s="446"/>
      <c r="H2094" s="446"/>
      <c r="I2094" s="446"/>
      <c r="J2094" s="447"/>
      <c r="K2094" s="447"/>
      <c r="L2094" s="448"/>
      <c r="M2094" s="449"/>
      <c r="N2094" s="450"/>
    </row>
    <row r="2095" spans="5:14" ht="14.1" customHeight="1">
      <c r="E2095" s="450"/>
      <c r="F2095" s="450"/>
      <c r="G2095" s="450"/>
      <c r="H2095" s="450"/>
      <c r="I2095" s="450"/>
      <c r="J2095" s="450"/>
      <c r="K2095" s="450"/>
      <c r="L2095" s="450"/>
      <c r="M2095" s="449"/>
      <c r="N2095" s="449"/>
    </row>
    <row r="2096" spans="5:14" ht="14.1" customHeight="1">
      <c r="E2096" s="446"/>
      <c r="F2096" s="446"/>
      <c r="G2096" s="446"/>
      <c r="H2096" s="446"/>
      <c r="I2096" s="446"/>
      <c r="J2096" s="447"/>
      <c r="K2096" s="447"/>
      <c r="L2096" s="448"/>
      <c r="M2096" s="449"/>
      <c r="N2096" s="450"/>
    </row>
    <row r="2097" spans="5:14" ht="14.1" customHeight="1">
      <c r="E2097" s="446"/>
      <c r="F2097" s="446"/>
      <c r="G2097" s="446"/>
      <c r="H2097" s="446"/>
      <c r="I2097" s="446"/>
      <c r="J2097" s="447"/>
      <c r="K2097" s="447"/>
      <c r="L2097" s="448"/>
      <c r="M2097" s="449"/>
      <c r="N2097" s="450"/>
    </row>
    <row r="2098" spans="5:14" ht="14.1" customHeight="1">
      <c r="E2098" s="446"/>
      <c r="F2098" s="446"/>
      <c r="G2098" s="446"/>
      <c r="H2098" s="446"/>
      <c r="I2098" s="446"/>
      <c r="J2098" s="447"/>
      <c r="K2098" s="447"/>
      <c r="L2098" s="448"/>
      <c r="M2098" s="449"/>
      <c r="N2098" s="450"/>
    </row>
    <row r="2099" spans="5:14" ht="14.1" customHeight="1">
      <c r="E2099" s="450"/>
      <c r="F2099" s="450"/>
      <c r="G2099" s="450"/>
      <c r="H2099" s="450"/>
      <c r="I2099" s="450"/>
      <c r="J2099" s="450"/>
      <c r="K2099" s="450"/>
      <c r="L2099" s="450"/>
      <c r="M2099" s="449"/>
      <c r="N2099" s="449"/>
    </row>
    <row r="2100" spans="5:14" ht="14.1" customHeight="1">
      <c r="E2100" s="446"/>
      <c r="F2100" s="446"/>
      <c r="G2100" s="446"/>
      <c r="H2100" s="446"/>
      <c r="I2100" s="446"/>
      <c r="J2100" s="447"/>
      <c r="K2100" s="447"/>
      <c r="L2100" s="448"/>
      <c r="M2100" s="449"/>
      <c r="N2100" s="450"/>
    </row>
    <row r="2101" spans="5:14" ht="14.1" customHeight="1">
      <c r="E2101" s="450"/>
      <c r="F2101" s="450"/>
      <c r="G2101" s="450"/>
      <c r="H2101" s="450"/>
      <c r="I2101" s="450"/>
      <c r="J2101" s="450"/>
      <c r="K2101" s="450"/>
      <c r="L2101" s="450"/>
      <c r="M2101" s="449"/>
      <c r="N2101" s="449"/>
    </row>
    <row r="2102" spans="5:14" ht="14.1" customHeight="1">
      <c r="E2102" s="446"/>
      <c r="F2102" s="446"/>
      <c r="G2102" s="446"/>
      <c r="H2102" s="446"/>
      <c r="I2102" s="446"/>
      <c r="J2102" s="447"/>
      <c r="K2102" s="447"/>
      <c r="L2102" s="448"/>
      <c r="M2102" s="449"/>
      <c r="N2102" s="450"/>
    </row>
    <row r="2103" spans="5:14" ht="14.1" customHeight="1">
      <c r="E2103" s="450"/>
      <c r="F2103" s="450"/>
      <c r="G2103" s="450"/>
      <c r="H2103" s="450"/>
      <c r="I2103" s="450"/>
      <c r="J2103" s="450"/>
      <c r="K2103" s="450"/>
      <c r="L2103" s="450"/>
      <c r="M2103" s="450"/>
      <c r="N2103" s="450"/>
    </row>
    <row r="2104" spans="5:14" ht="14.1" customHeight="1">
      <c r="E2104" s="446"/>
      <c r="F2104" s="446"/>
      <c r="G2104" s="446"/>
      <c r="H2104" s="446"/>
      <c r="I2104" s="446"/>
      <c r="J2104" s="447"/>
      <c r="K2104" s="447"/>
      <c r="L2104" s="448"/>
      <c r="M2104" s="449"/>
      <c r="N2104" s="450"/>
    </row>
    <row r="2105" spans="5:14" ht="14.1" customHeight="1">
      <c r="E2105" s="450"/>
      <c r="F2105" s="450"/>
      <c r="G2105" s="450"/>
      <c r="H2105" s="450"/>
      <c r="I2105" s="450"/>
      <c r="J2105" s="450"/>
      <c r="K2105" s="450"/>
      <c r="L2105" s="450"/>
      <c r="M2105" s="449"/>
      <c r="N2105" s="449"/>
    </row>
    <row r="2106" spans="5:14" ht="14.1" customHeight="1">
      <c r="E2106" s="446"/>
      <c r="F2106" s="446"/>
      <c r="G2106" s="446"/>
      <c r="H2106" s="446"/>
      <c r="I2106" s="446"/>
      <c r="J2106" s="447"/>
      <c r="K2106" s="447"/>
      <c r="L2106" s="448"/>
      <c r="M2106" s="449"/>
      <c r="N2106" s="450"/>
    </row>
    <row r="2107" spans="5:14" ht="14.1" customHeight="1">
      <c r="E2107" s="450"/>
      <c r="F2107" s="450"/>
      <c r="G2107" s="450"/>
      <c r="H2107" s="450"/>
      <c r="I2107" s="450"/>
      <c r="J2107" s="450"/>
      <c r="K2107" s="450"/>
      <c r="L2107" s="450"/>
      <c r="M2107" s="449"/>
      <c r="N2107" s="449"/>
    </row>
    <row r="2108" spans="5:14" ht="14.1" customHeight="1">
      <c r="E2108" s="446"/>
      <c r="F2108" s="446"/>
      <c r="G2108" s="446"/>
      <c r="H2108" s="446"/>
      <c r="I2108" s="446"/>
      <c r="J2108" s="447"/>
      <c r="K2108" s="447"/>
      <c r="L2108" s="448"/>
      <c r="M2108" s="449"/>
      <c r="N2108" s="450"/>
    </row>
    <row r="2109" spans="5:14" ht="14.1" customHeight="1">
      <c r="E2109" s="446"/>
      <c r="F2109" s="446"/>
      <c r="G2109" s="446"/>
      <c r="H2109" s="446"/>
      <c r="I2109" s="446"/>
      <c r="J2109" s="447"/>
      <c r="K2109" s="447"/>
      <c r="L2109" s="448"/>
      <c r="M2109" s="449"/>
      <c r="N2109" s="450"/>
    </row>
    <row r="2110" spans="5:14" ht="14.1" customHeight="1">
      <c r="E2110" s="446"/>
      <c r="F2110" s="446"/>
      <c r="G2110" s="446"/>
      <c r="H2110" s="446"/>
      <c r="I2110" s="446"/>
      <c r="J2110" s="447"/>
      <c r="K2110" s="447"/>
      <c r="L2110" s="448"/>
      <c r="M2110" s="449"/>
      <c r="N2110" s="450"/>
    </row>
    <row r="2111" spans="5:14" ht="14.1" customHeight="1">
      <c r="E2111" s="450"/>
      <c r="F2111" s="450"/>
      <c r="G2111" s="450"/>
      <c r="H2111" s="450"/>
      <c r="I2111" s="450"/>
      <c r="J2111" s="450"/>
      <c r="K2111" s="450"/>
      <c r="L2111" s="450"/>
      <c r="M2111" s="449"/>
      <c r="N2111" s="449"/>
    </row>
    <row r="2112" spans="5:14" ht="14.1" customHeight="1">
      <c r="E2112" s="446"/>
      <c r="F2112" s="446"/>
      <c r="G2112" s="446"/>
      <c r="H2112" s="446"/>
      <c r="I2112" s="446"/>
      <c r="J2112" s="447"/>
      <c r="K2112" s="447"/>
      <c r="L2112" s="448"/>
      <c r="M2112" s="449"/>
      <c r="N2112" s="450"/>
    </row>
    <row r="2113" spans="5:14" ht="14.1" customHeight="1">
      <c r="E2113" s="446"/>
      <c r="F2113" s="446"/>
      <c r="G2113" s="446"/>
      <c r="H2113" s="446"/>
      <c r="I2113" s="446"/>
      <c r="J2113" s="447"/>
      <c r="K2113" s="447"/>
      <c r="L2113" s="448"/>
      <c r="M2113" s="449"/>
      <c r="N2113" s="450"/>
    </row>
    <row r="2114" spans="5:14" ht="14.1" customHeight="1">
      <c r="E2114" s="446"/>
      <c r="F2114" s="446"/>
      <c r="G2114" s="446"/>
      <c r="H2114" s="446"/>
      <c r="I2114" s="446"/>
      <c r="J2114" s="447"/>
      <c r="K2114" s="447"/>
      <c r="L2114" s="448"/>
      <c r="M2114" s="449"/>
      <c r="N2114" s="450"/>
    </row>
    <row r="2115" spans="5:14" ht="14.1" customHeight="1">
      <c r="E2115" s="446"/>
      <c r="F2115" s="446"/>
      <c r="G2115" s="446"/>
      <c r="H2115" s="446"/>
      <c r="I2115" s="446"/>
      <c r="J2115" s="447"/>
      <c r="K2115" s="447"/>
      <c r="L2115" s="448"/>
      <c r="M2115" s="449"/>
      <c r="N2115" s="450"/>
    </row>
    <row r="2116" spans="5:14" ht="14.1" customHeight="1">
      <c r="E2116" s="450"/>
      <c r="F2116" s="450"/>
      <c r="G2116" s="450"/>
      <c r="H2116" s="450"/>
      <c r="I2116" s="450"/>
      <c r="J2116" s="450"/>
      <c r="K2116" s="450"/>
      <c r="L2116" s="450"/>
      <c r="M2116" s="449"/>
      <c r="N2116" s="449"/>
    </row>
    <row r="2117" spans="5:14" ht="14.1" customHeight="1">
      <c r="E2117" s="450"/>
      <c r="F2117" s="450"/>
      <c r="G2117" s="450"/>
      <c r="H2117" s="450"/>
      <c r="I2117" s="450"/>
      <c r="J2117" s="450"/>
      <c r="K2117" s="450"/>
      <c r="L2117" s="450"/>
      <c r="M2117" s="449"/>
      <c r="N2117" s="449"/>
    </row>
    <row r="2118" spans="5:14" ht="14.1" customHeight="1">
      <c r="E2118" s="446"/>
      <c r="F2118" s="446"/>
      <c r="G2118" s="446"/>
      <c r="H2118" s="446"/>
      <c r="I2118" s="446"/>
      <c r="J2118" s="447"/>
      <c r="K2118" s="447"/>
      <c r="L2118" s="448"/>
      <c r="M2118" s="449"/>
      <c r="N2118" s="450"/>
    </row>
    <row r="2119" spans="5:14" ht="14.1" customHeight="1">
      <c r="E2119" s="446"/>
      <c r="F2119" s="446"/>
      <c r="G2119" s="446"/>
      <c r="H2119" s="446"/>
      <c r="I2119" s="446"/>
      <c r="J2119" s="447"/>
      <c r="K2119" s="447"/>
      <c r="L2119" s="448"/>
      <c r="M2119" s="449"/>
      <c r="N2119" s="450"/>
    </row>
    <row r="2120" spans="5:14" ht="14.1" customHeight="1">
      <c r="E2120" s="446"/>
      <c r="F2120" s="446"/>
      <c r="G2120" s="446"/>
      <c r="H2120" s="446"/>
      <c r="I2120" s="446"/>
      <c r="J2120" s="447"/>
      <c r="K2120" s="447"/>
      <c r="L2120" s="448"/>
      <c r="M2120" s="449"/>
      <c r="N2120" s="450"/>
    </row>
    <row r="2121" spans="5:14" ht="14.1" customHeight="1">
      <c r="E2121" s="446"/>
      <c r="F2121" s="446"/>
      <c r="G2121" s="446"/>
      <c r="H2121" s="446"/>
      <c r="I2121" s="446"/>
      <c r="J2121" s="447"/>
      <c r="K2121" s="447"/>
      <c r="L2121" s="448"/>
      <c r="M2121" s="449"/>
      <c r="N2121" s="450"/>
    </row>
    <row r="2122" spans="5:14" ht="14.1" customHeight="1">
      <c r="E2122" s="446"/>
      <c r="F2122" s="446"/>
      <c r="G2122" s="446"/>
      <c r="H2122" s="446"/>
      <c r="I2122" s="446"/>
      <c r="J2122" s="447"/>
      <c r="K2122" s="447"/>
      <c r="L2122" s="448"/>
      <c r="M2122" s="449"/>
      <c r="N2122" s="450"/>
    </row>
    <row r="2123" spans="5:14" ht="14.1" customHeight="1">
      <c r="E2123" s="446"/>
      <c r="F2123" s="446"/>
      <c r="G2123" s="446"/>
      <c r="H2123" s="446"/>
      <c r="I2123" s="446"/>
      <c r="J2123" s="447"/>
      <c r="K2123" s="447"/>
      <c r="L2123" s="448"/>
      <c r="M2123" s="449"/>
      <c r="N2123" s="450"/>
    </row>
    <row r="2124" spans="5:14" ht="14.1" customHeight="1">
      <c r="E2124" s="446"/>
      <c r="F2124" s="446"/>
      <c r="G2124" s="446"/>
      <c r="H2124" s="446"/>
      <c r="I2124" s="446"/>
      <c r="J2124" s="447"/>
      <c r="K2124" s="447"/>
      <c r="L2124" s="448"/>
      <c r="M2124" s="449"/>
      <c r="N2124" s="450"/>
    </row>
    <row r="2125" spans="5:14" ht="14.1" customHeight="1">
      <c r="E2125" s="446"/>
      <c r="F2125" s="446"/>
      <c r="G2125" s="446"/>
      <c r="H2125" s="446"/>
      <c r="I2125" s="446"/>
      <c r="J2125" s="447"/>
      <c r="K2125" s="447"/>
      <c r="L2125" s="448"/>
      <c r="M2125" s="449"/>
      <c r="N2125" s="450"/>
    </row>
    <row r="2126" spans="5:14" ht="14.1" customHeight="1">
      <c r="E2126" s="450"/>
      <c r="F2126" s="450"/>
      <c r="G2126" s="450"/>
      <c r="H2126" s="450"/>
      <c r="I2126" s="450"/>
      <c r="J2126" s="450"/>
      <c r="K2126" s="450"/>
      <c r="L2126" s="450"/>
      <c r="M2126" s="449"/>
      <c r="N2126" s="449"/>
    </row>
    <row r="2127" spans="5:14" ht="14.1" customHeight="1">
      <c r="E2127" s="446"/>
      <c r="F2127" s="446"/>
      <c r="G2127" s="446"/>
      <c r="H2127" s="446"/>
      <c r="I2127" s="446"/>
      <c r="J2127" s="447"/>
      <c r="K2127" s="447"/>
      <c r="L2127" s="448"/>
      <c r="M2127" s="449"/>
      <c r="N2127" s="450"/>
    </row>
    <row r="2128" spans="5:14" ht="14.1" customHeight="1">
      <c r="E2128" s="446"/>
      <c r="F2128" s="446"/>
      <c r="G2128" s="446"/>
      <c r="H2128" s="446"/>
      <c r="I2128" s="446"/>
      <c r="J2128" s="447"/>
      <c r="K2128" s="447"/>
      <c r="L2128" s="448"/>
      <c r="M2128" s="449"/>
      <c r="N2128" s="450"/>
    </row>
    <row r="2129" spans="5:14" ht="14.1" customHeight="1">
      <c r="E2129" s="446"/>
      <c r="F2129" s="446"/>
      <c r="G2129" s="446"/>
      <c r="H2129" s="446"/>
      <c r="I2129" s="446"/>
      <c r="J2129" s="447"/>
      <c r="K2129" s="447"/>
      <c r="L2129" s="448"/>
      <c r="M2129" s="449"/>
      <c r="N2129" s="450"/>
    </row>
    <row r="2130" spans="5:14" ht="14.1" customHeight="1">
      <c r="E2130" s="450"/>
      <c r="F2130" s="450"/>
      <c r="G2130" s="450"/>
      <c r="H2130" s="450"/>
      <c r="I2130" s="450"/>
      <c r="J2130" s="450"/>
      <c r="K2130" s="450"/>
      <c r="L2130" s="450"/>
      <c r="M2130" s="449"/>
      <c r="N2130" s="449"/>
    </row>
    <row r="2131" spans="5:14" ht="14.1" customHeight="1">
      <c r="E2131" s="446"/>
      <c r="F2131" s="446"/>
      <c r="G2131" s="446"/>
      <c r="H2131" s="446"/>
      <c r="I2131" s="446"/>
      <c r="J2131" s="447"/>
      <c r="K2131" s="447"/>
      <c r="L2131" s="448"/>
      <c r="M2131" s="449"/>
      <c r="N2131" s="450"/>
    </row>
    <row r="2132" spans="5:14" ht="14.1" customHeight="1">
      <c r="E2132" s="450"/>
      <c r="F2132" s="450"/>
      <c r="G2132" s="450"/>
      <c r="H2132" s="450"/>
      <c r="I2132" s="450"/>
      <c r="J2132" s="450"/>
      <c r="K2132" s="450"/>
      <c r="L2132" s="450"/>
      <c r="M2132" s="449"/>
      <c r="N2132" s="449"/>
    </row>
    <row r="2133" spans="5:14" ht="14.1" customHeight="1">
      <c r="E2133" s="446"/>
      <c r="F2133" s="446"/>
      <c r="G2133" s="446"/>
      <c r="H2133" s="446"/>
      <c r="I2133" s="446"/>
      <c r="J2133" s="447"/>
      <c r="K2133" s="447"/>
      <c r="L2133" s="448"/>
      <c r="M2133" s="449"/>
      <c r="N2133" s="450"/>
    </row>
    <row r="2134" spans="5:14" ht="14.1" customHeight="1">
      <c r="E2134" s="446"/>
      <c r="F2134" s="446"/>
      <c r="G2134" s="446"/>
      <c r="H2134" s="446"/>
      <c r="I2134" s="446"/>
      <c r="J2134" s="447"/>
      <c r="K2134" s="447"/>
      <c r="L2134" s="448"/>
      <c r="M2134" s="449"/>
      <c r="N2134" s="450"/>
    </row>
    <row r="2135" spans="5:14" ht="14.1" customHeight="1">
      <c r="E2135" s="446"/>
      <c r="F2135" s="446"/>
      <c r="G2135" s="446"/>
      <c r="H2135" s="446"/>
      <c r="I2135" s="446"/>
      <c r="J2135" s="447"/>
      <c r="K2135" s="447"/>
      <c r="L2135" s="448"/>
      <c r="M2135" s="449"/>
      <c r="N2135" s="450"/>
    </row>
    <row r="2136" spans="5:14" ht="14.1" customHeight="1">
      <c r="E2136" s="446"/>
      <c r="F2136" s="446"/>
      <c r="G2136" s="446"/>
      <c r="H2136" s="446"/>
      <c r="I2136" s="446"/>
      <c r="J2136" s="447"/>
      <c r="K2136" s="447"/>
      <c r="L2136" s="448"/>
      <c r="M2136" s="449"/>
      <c r="N2136" s="450"/>
    </row>
    <row r="2137" spans="5:14" ht="14.1" customHeight="1">
      <c r="E2137" s="446"/>
      <c r="F2137" s="446"/>
      <c r="G2137" s="446"/>
      <c r="H2137" s="446"/>
      <c r="I2137" s="446"/>
      <c r="J2137" s="447"/>
      <c r="K2137" s="447"/>
      <c r="L2137" s="448"/>
      <c r="M2137" s="449"/>
      <c r="N2137" s="450"/>
    </row>
    <row r="2138" spans="5:14" ht="14.1" customHeight="1">
      <c r="E2138" s="446"/>
      <c r="F2138" s="446"/>
      <c r="G2138" s="446"/>
      <c r="H2138" s="446"/>
      <c r="I2138" s="446"/>
      <c r="J2138" s="447"/>
      <c r="K2138" s="447"/>
      <c r="L2138" s="448"/>
      <c r="M2138" s="449"/>
      <c r="N2138" s="450"/>
    </row>
    <row r="2139" spans="5:14" ht="14.1" customHeight="1">
      <c r="E2139" s="446"/>
      <c r="F2139" s="446"/>
      <c r="G2139" s="446"/>
      <c r="H2139" s="446"/>
      <c r="I2139" s="446"/>
      <c r="J2139" s="447"/>
      <c r="K2139" s="447"/>
      <c r="L2139" s="448"/>
      <c r="M2139" s="449"/>
      <c r="N2139" s="450"/>
    </row>
    <row r="2140" spans="5:14" ht="14.1" customHeight="1">
      <c r="E2140" s="446"/>
      <c r="F2140" s="446"/>
      <c r="G2140" s="446"/>
      <c r="H2140" s="446"/>
      <c r="I2140" s="446"/>
      <c r="J2140" s="447"/>
      <c r="K2140" s="447"/>
      <c r="L2140" s="448"/>
      <c r="M2140" s="449"/>
      <c r="N2140" s="450"/>
    </row>
    <row r="2141" spans="5:14" ht="14.1" customHeight="1">
      <c r="E2141" s="446"/>
      <c r="F2141" s="446"/>
      <c r="G2141" s="446"/>
      <c r="H2141" s="446"/>
      <c r="I2141" s="446"/>
      <c r="J2141" s="447"/>
      <c r="K2141" s="447"/>
      <c r="L2141" s="448"/>
      <c r="M2141" s="449"/>
      <c r="N2141" s="450"/>
    </row>
    <row r="2142" spans="5:14" ht="14.1" customHeight="1">
      <c r="E2142" s="446"/>
      <c r="F2142" s="446"/>
      <c r="G2142" s="446"/>
      <c r="H2142" s="446"/>
      <c r="I2142" s="446"/>
      <c r="J2142" s="447"/>
      <c r="K2142" s="447"/>
      <c r="L2142" s="448"/>
      <c r="M2142" s="449"/>
      <c r="N2142" s="450"/>
    </row>
    <row r="2143" spans="5:14" ht="14.1" customHeight="1">
      <c r="E2143" s="446"/>
      <c r="F2143" s="446"/>
      <c r="G2143" s="446"/>
      <c r="H2143" s="446"/>
      <c r="I2143" s="446"/>
      <c r="J2143" s="447"/>
      <c r="K2143" s="447"/>
      <c r="L2143" s="448"/>
      <c r="M2143" s="449"/>
      <c r="N2143" s="450"/>
    </row>
    <row r="2144" spans="5:14" ht="14.1" customHeight="1">
      <c r="E2144" s="446"/>
      <c r="F2144" s="446"/>
      <c r="G2144" s="446"/>
      <c r="H2144" s="446"/>
      <c r="I2144" s="446"/>
      <c r="J2144" s="447"/>
      <c r="K2144" s="447"/>
      <c r="L2144" s="448"/>
      <c r="M2144" s="449"/>
      <c r="N2144" s="450"/>
    </row>
    <row r="2145" spans="5:14" ht="14.1" customHeight="1">
      <c r="E2145" s="446"/>
      <c r="F2145" s="446"/>
      <c r="G2145" s="446"/>
      <c r="H2145" s="446"/>
      <c r="I2145" s="446"/>
      <c r="J2145" s="447"/>
      <c r="K2145" s="447"/>
      <c r="L2145" s="448"/>
      <c r="M2145" s="449"/>
      <c r="N2145" s="450"/>
    </row>
    <row r="2146" spans="5:14" ht="14.1" customHeight="1">
      <c r="E2146" s="446"/>
      <c r="F2146" s="446"/>
      <c r="G2146" s="446"/>
      <c r="H2146" s="446"/>
      <c r="I2146" s="446"/>
      <c r="J2146" s="447"/>
      <c r="K2146" s="447"/>
      <c r="L2146" s="448"/>
      <c r="M2146" s="449"/>
      <c r="N2146" s="450"/>
    </row>
    <row r="2147" spans="5:14" ht="14.1" customHeight="1">
      <c r="E2147" s="446"/>
      <c r="F2147" s="446"/>
      <c r="G2147" s="446"/>
      <c r="H2147" s="446"/>
      <c r="I2147" s="446"/>
      <c r="J2147" s="447"/>
      <c r="K2147" s="447"/>
      <c r="L2147" s="448"/>
      <c r="M2147" s="449"/>
      <c r="N2147" s="450"/>
    </row>
    <row r="2148" spans="5:14" ht="14.1" customHeight="1">
      <c r="E2148" s="450"/>
      <c r="F2148" s="450"/>
      <c r="G2148" s="450"/>
      <c r="H2148" s="450"/>
      <c r="I2148" s="450"/>
      <c r="J2148" s="450"/>
      <c r="K2148" s="450"/>
      <c r="L2148" s="450"/>
      <c r="M2148" s="449"/>
      <c r="N2148" s="449"/>
    </row>
    <row r="2149" spans="5:14" ht="14.1" customHeight="1">
      <c r="E2149" s="450"/>
      <c r="F2149" s="450"/>
      <c r="G2149" s="450"/>
      <c r="H2149" s="450"/>
      <c r="I2149" s="450"/>
      <c r="J2149" s="450"/>
      <c r="K2149" s="450"/>
      <c r="L2149" s="450"/>
      <c r="M2149" s="449"/>
      <c r="N2149" s="449"/>
    </row>
    <row r="2150" spans="5:14" ht="14.1" customHeight="1">
      <c r="E2150" s="446"/>
      <c r="F2150" s="446"/>
      <c r="G2150" s="446"/>
      <c r="H2150" s="446"/>
      <c r="I2150" s="446"/>
      <c r="J2150" s="447"/>
      <c r="K2150" s="447"/>
      <c r="L2150" s="448"/>
      <c r="M2150" s="449"/>
      <c r="N2150" s="450"/>
    </row>
    <row r="2151" spans="5:14" ht="14.1" customHeight="1">
      <c r="E2151" s="450"/>
      <c r="F2151" s="450"/>
      <c r="G2151" s="450"/>
      <c r="H2151" s="450"/>
      <c r="I2151" s="450"/>
      <c r="J2151" s="450"/>
      <c r="K2151" s="450"/>
      <c r="L2151" s="450"/>
      <c r="M2151" s="450"/>
      <c r="N2151" s="450"/>
    </row>
    <row r="2152" spans="5:14" ht="14.1" customHeight="1">
      <c r="E2152" s="450"/>
      <c r="F2152" s="450"/>
      <c r="G2152" s="450"/>
      <c r="H2152" s="450"/>
      <c r="I2152" s="450"/>
      <c r="J2152" s="450"/>
      <c r="K2152" s="450"/>
      <c r="L2152" s="450"/>
      <c r="M2152" s="449"/>
      <c r="N2152" s="449"/>
    </row>
    <row r="2153" spans="5:14" ht="14.1" customHeight="1">
      <c r="E2153" s="446"/>
      <c r="F2153" s="446"/>
      <c r="G2153" s="446"/>
      <c r="H2153" s="446"/>
      <c r="I2153" s="446"/>
      <c r="J2153" s="447"/>
      <c r="K2153" s="447"/>
      <c r="L2153" s="448"/>
      <c r="M2153" s="449"/>
      <c r="N2153" s="450"/>
    </row>
    <row r="2154" spans="5:14" ht="14.1" customHeight="1">
      <c r="E2154" s="446"/>
      <c r="F2154" s="446"/>
      <c r="G2154" s="446"/>
      <c r="H2154" s="446"/>
      <c r="I2154" s="446"/>
      <c r="J2154" s="447"/>
      <c r="K2154" s="447"/>
      <c r="L2154" s="448"/>
      <c r="M2154" s="449"/>
      <c r="N2154" s="450"/>
    </row>
    <row r="2155" spans="5:14" ht="14.1" customHeight="1">
      <c r="E2155" s="446"/>
      <c r="F2155" s="446"/>
      <c r="G2155" s="446"/>
      <c r="H2155" s="446"/>
      <c r="I2155" s="446"/>
      <c r="J2155" s="447"/>
      <c r="K2155" s="447"/>
      <c r="L2155" s="448"/>
      <c r="M2155" s="449"/>
      <c r="N2155" s="450"/>
    </row>
    <row r="2156" spans="5:14" ht="14.1" customHeight="1">
      <c r="E2156" s="446"/>
      <c r="F2156" s="446"/>
      <c r="G2156" s="446"/>
      <c r="H2156" s="446"/>
      <c r="I2156" s="446"/>
      <c r="J2156" s="447"/>
      <c r="K2156" s="447"/>
      <c r="L2156" s="448"/>
      <c r="M2156" s="449"/>
      <c r="N2156" s="450"/>
    </row>
    <row r="2157" spans="5:14" ht="14.1" customHeight="1">
      <c r="E2157" s="450"/>
      <c r="F2157" s="450"/>
      <c r="G2157" s="450"/>
      <c r="H2157" s="450"/>
      <c r="I2157" s="450"/>
      <c r="J2157" s="450"/>
      <c r="K2157" s="450"/>
      <c r="L2157" s="450"/>
      <c r="M2157" s="449"/>
      <c r="N2157" s="449"/>
    </row>
    <row r="2158" spans="5:14" ht="14.1" customHeight="1">
      <c r="E2158" s="446"/>
      <c r="F2158" s="446"/>
      <c r="G2158" s="446"/>
      <c r="H2158" s="446"/>
      <c r="I2158" s="446"/>
      <c r="J2158" s="447"/>
      <c r="K2158" s="447"/>
      <c r="L2158" s="448"/>
      <c r="M2158" s="449"/>
      <c r="N2158" s="450"/>
    </row>
    <row r="2159" spans="5:14" ht="14.1" customHeight="1">
      <c r="E2159" s="450"/>
      <c r="F2159" s="450"/>
      <c r="G2159" s="450"/>
      <c r="H2159" s="450"/>
      <c r="I2159" s="450"/>
      <c r="J2159" s="450"/>
      <c r="K2159" s="450"/>
      <c r="L2159" s="450"/>
      <c r="M2159" s="449"/>
      <c r="N2159" s="449"/>
    </row>
    <row r="2160" spans="5:14" ht="14.1" customHeight="1">
      <c r="E2160" s="446"/>
      <c r="F2160" s="446"/>
      <c r="G2160" s="446"/>
      <c r="H2160" s="446"/>
      <c r="I2160" s="446"/>
      <c r="J2160" s="447"/>
      <c r="K2160" s="447"/>
      <c r="L2160" s="448"/>
      <c r="M2160" s="449"/>
      <c r="N2160" s="450"/>
    </row>
    <row r="2161" spans="5:14" ht="14.1" customHeight="1">
      <c r="E2161" s="446"/>
      <c r="F2161" s="446"/>
      <c r="G2161" s="446"/>
      <c r="H2161" s="446"/>
      <c r="I2161" s="446"/>
      <c r="J2161" s="447"/>
      <c r="K2161" s="447"/>
      <c r="L2161" s="448"/>
      <c r="M2161" s="449"/>
      <c r="N2161" s="450"/>
    </row>
    <row r="2162" spans="5:14" ht="14.1" customHeight="1">
      <c r="E2162" s="450"/>
      <c r="F2162" s="450"/>
      <c r="G2162" s="450"/>
      <c r="H2162" s="450"/>
      <c r="I2162" s="450"/>
      <c r="J2162" s="450"/>
      <c r="K2162" s="450"/>
      <c r="L2162" s="450"/>
      <c r="M2162" s="449"/>
      <c r="N2162" s="449"/>
    </row>
    <row r="2163" spans="5:14" ht="14.1" customHeight="1">
      <c r="E2163" s="446"/>
      <c r="F2163" s="446"/>
      <c r="G2163" s="446"/>
      <c r="H2163" s="446"/>
      <c r="I2163" s="446"/>
      <c r="J2163" s="447"/>
      <c r="K2163" s="447"/>
      <c r="L2163" s="448"/>
      <c r="M2163" s="449"/>
      <c r="N2163" s="450"/>
    </row>
    <row r="2164" spans="5:14" ht="14.1" customHeight="1">
      <c r="E2164" s="450"/>
      <c r="F2164" s="450"/>
      <c r="G2164" s="450"/>
      <c r="H2164" s="450"/>
      <c r="I2164" s="450"/>
      <c r="J2164" s="450"/>
      <c r="K2164" s="450"/>
      <c r="L2164" s="450"/>
      <c r="M2164" s="449"/>
      <c r="N2164" s="449"/>
    </row>
    <row r="2165" spans="5:14" ht="14.1" customHeight="1">
      <c r="E2165" s="446"/>
      <c r="F2165" s="446"/>
      <c r="G2165" s="446"/>
      <c r="H2165" s="446"/>
      <c r="I2165" s="446"/>
      <c r="J2165" s="447"/>
      <c r="K2165" s="447"/>
      <c r="L2165" s="448"/>
      <c r="M2165" s="449"/>
      <c r="N2165" s="450"/>
    </row>
    <row r="2166" spans="5:14" ht="14.1" customHeight="1">
      <c r="E2166" s="450"/>
      <c r="F2166" s="450"/>
      <c r="G2166" s="450"/>
      <c r="H2166" s="450"/>
      <c r="I2166" s="450"/>
      <c r="J2166" s="450"/>
      <c r="K2166" s="450"/>
      <c r="L2166" s="450"/>
      <c r="M2166" s="449"/>
      <c r="N2166" s="449"/>
    </row>
    <row r="2167" spans="5:14" ht="14.1" customHeight="1">
      <c r="E2167" s="446"/>
      <c r="F2167" s="446"/>
      <c r="G2167" s="446"/>
      <c r="H2167" s="446"/>
      <c r="I2167" s="446"/>
      <c r="J2167" s="447"/>
      <c r="K2167" s="447"/>
      <c r="L2167" s="448"/>
      <c r="M2167" s="449"/>
      <c r="N2167" s="450"/>
    </row>
    <row r="2168" spans="5:14" ht="14.1" customHeight="1">
      <c r="E2168" s="446"/>
      <c r="F2168" s="446"/>
      <c r="G2168" s="446"/>
      <c r="H2168" s="446"/>
      <c r="I2168" s="446"/>
      <c r="J2168" s="447"/>
      <c r="K2168" s="447"/>
      <c r="L2168" s="448"/>
      <c r="M2168" s="449"/>
      <c r="N2168" s="450"/>
    </row>
    <row r="2169" spans="5:14" ht="14.1" customHeight="1">
      <c r="E2169" s="450"/>
      <c r="F2169" s="450"/>
      <c r="G2169" s="450"/>
      <c r="H2169" s="450"/>
      <c r="I2169" s="450"/>
      <c r="J2169" s="450"/>
      <c r="K2169" s="450"/>
      <c r="L2169" s="450"/>
      <c r="M2169" s="449"/>
      <c r="N2169" s="449"/>
    </row>
    <row r="2170" spans="5:14" ht="14.1" customHeight="1">
      <c r="E2170" s="450"/>
      <c r="F2170" s="450"/>
      <c r="G2170" s="450"/>
      <c r="H2170" s="450"/>
      <c r="I2170" s="450"/>
      <c r="J2170" s="450"/>
      <c r="K2170" s="450"/>
      <c r="L2170" s="450"/>
      <c r="M2170" s="449"/>
      <c r="N2170" s="449"/>
    </row>
    <row r="2171" spans="5:14" ht="14.1" customHeight="1">
      <c r="E2171" s="446"/>
      <c r="F2171" s="446"/>
      <c r="G2171" s="446"/>
      <c r="H2171" s="446"/>
      <c r="I2171" s="446"/>
      <c r="J2171" s="447"/>
      <c r="K2171" s="447"/>
      <c r="L2171" s="448"/>
      <c r="M2171" s="449"/>
      <c r="N2171" s="450"/>
    </row>
    <row r="2172" spans="5:14" ht="14.1" customHeight="1">
      <c r="E2172" s="446"/>
      <c r="F2172" s="446"/>
      <c r="G2172" s="446"/>
      <c r="H2172" s="446"/>
      <c r="I2172" s="446"/>
      <c r="J2172" s="447"/>
      <c r="K2172" s="447"/>
      <c r="L2172" s="448"/>
      <c r="M2172" s="449"/>
      <c r="N2172" s="450"/>
    </row>
    <row r="2173" spans="5:14" ht="14.1" customHeight="1">
      <c r="E2173" s="446"/>
      <c r="F2173" s="446"/>
      <c r="G2173" s="446"/>
      <c r="H2173" s="446"/>
      <c r="I2173" s="446"/>
      <c r="J2173" s="447"/>
      <c r="K2173" s="447"/>
      <c r="L2173" s="448"/>
      <c r="M2173" s="449"/>
      <c r="N2173" s="450"/>
    </row>
    <row r="2174" spans="5:14" ht="14.1" customHeight="1">
      <c r="E2174" s="446"/>
      <c r="F2174" s="446"/>
      <c r="G2174" s="446"/>
      <c r="H2174" s="446"/>
      <c r="I2174" s="446"/>
      <c r="J2174" s="447"/>
      <c r="K2174" s="447"/>
      <c r="L2174" s="448"/>
      <c r="M2174" s="449"/>
      <c r="N2174" s="450"/>
    </row>
    <row r="2175" spans="5:14" ht="14.1" customHeight="1">
      <c r="E2175" s="446"/>
      <c r="F2175" s="446"/>
      <c r="G2175" s="446"/>
      <c r="H2175" s="446"/>
      <c r="I2175" s="446"/>
      <c r="J2175" s="447"/>
      <c r="K2175" s="447"/>
      <c r="L2175" s="448"/>
      <c r="M2175" s="449"/>
      <c r="N2175" s="450"/>
    </row>
    <row r="2176" spans="5:14" ht="14.1" customHeight="1">
      <c r="E2176" s="446"/>
      <c r="F2176" s="446"/>
      <c r="G2176" s="446"/>
      <c r="H2176" s="446"/>
      <c r="I2176" s="446"/>
      <c r="J2176" s="447"/>
      <c r="K2176" s="447"/>
      <c r="L2176" s="448"/>
      <c r="M2176" s="449"/>
      <c r="N2176" s="450"/>
    </row>
    <row r="2177" spans="5:14" ht="14.1" customHeight="1">
      <c r="E2177" s="446"/>
      <c r="F2177" s="446"/>
      <c r="G2177" s="446"/>
      <c r="H2177" s="446"/>
      <c r="I2177" s="446"/>
      <c r="J2177" s="447"/>
      <c r="K2177" s="447"/>
      <c r="L2177" s="448"/>
      <c r="M2177" s="449"/>
      <c r="N2177" s="450"/>
    </row>
    <row r="2178" spans="5:14" ht="14.1" customHeight="1">
      <c r="E2178" s="446"/>
      <c r="F2178" s="446"/>
      <c r="G2178" s="446"/>
      <c r="H2178" s="446"/>
      <c r="I2178" s="446"/>
      <c r="J2178" s="447"/>
      <c r="K2178" s="447"/>
      <c r="L2178" s="448"/>
      <c r="M2178" s="449"/>
      <c r="N2178" s="450"/>
    </row>
    <row r="2179" spans="5:14" ht="14.1" customHeight="1">
      <c r="E2179" s="446"/>
      <c r="F2179" s="446"/>
      <c r="G2179" s="446"/>
      <c r="H2179" s="446"/>
      <c r="I2179" s="446"/>
      <c r="J2179" s="447"/>
      <c r="K2179" s="447"/>
      <c r="L2179" s="448"/>
      <c r="M2179" s="449"/>
      <c r="N2179" s="450"/>
    </row>
    <row r="2180" spans="5:14" ht="14.1" customHeight="1">
      <c r="E2180" s="446"/>
      <c r="F2180" s="446"/>
      <c r="G2180" s="446"/>
      <c r="H2180" s="446"/>
      <c r="I2180" s="446"/>
      <c r="J2180" s="447"/>
      <c r="K2180" s="447"/>
      <c r="L2180" s="448"/>
      <c r="M2180" s="449"/>
      <c r="N2180" s="450"/>
    </row>
    <row r="2181" spans="5:14" ht="14.1" customHeight="1">
      <c r="E2181" s="446"/>
      <c r="F2181" s="446"/>
      <c r="G2181" s="446"/>
      <c r="H2181" s="446"/>
      <c r="I2181" s="446"/>
      <c r="J2181" s="447"/>
      <c r="K2181" s="447"/>
      <c r="L2181" s="448"/>
      <c r="M2181" s="449"/>
      <c r="N2181" s="450"/>
    </row>
    <row r="2182" spans="5:14" ht="14.1" customHeight="1">
      <c r="E2182" s="446"/>
      <c r="F2182" s="446"/>
      <c r="G2182" s="446"/>
      <c r="H2182" s="446"/>
      <c r="I2182" s="446"/>
      <c r="J2182" s="447"/>
      <c r="K2182" s="447"/>
      <c r="L2182" s="448"/>
      <c r="M2182" s="449"/>
      <c r="N2182" s="450"/>
    </row>
    <row r="2183" spans="5:14" ht="14.1" customHeight="1">
      <c r="E2183" s="450"/>
      <c r="F2183" s="450"/>
      <c r="G2183" s="450"/>
      <c r="H2183" s="450"/>
      <c r="I2183" s="450"/>
      <c r="J2183" s="450"/>
      <c r="K2183" s="450"/>
      <c r="L2183" s="450"/>
      <c r="M2183" s="449"/>
      <c r="N2183" s="449"/>
    </row>
    <row r="2184" spans="5:14" ht="14.1" customHeight="1">
      <c r="E2184" s="450"/>
      <c r="F2184" s="450"/>
      <c r="G2184" s="450"/>
      <c r="H2184" s="450"/>
      <c r="I2184" s="450"/>
      <c r="J2184" s="450"/>
      <c r="K2184" s="450"/>
      <c r="L2184" s="450"/>
      <c r="M2184" s="449"/>
      <c r="N2184" s="449"/>
    </row>
    <row r="2185" spans="5:14" ht="14.1" customHeight="1">
      <c r="E2185" s="446"/>
      <c r="F2185" s="446"/>
      <c r="G2185" s="446"/>
      <c r="H2185" s="446"/>
      <c r="I2185" s="446"/>
      <c r="J2185" s="447"/>
      <c r="K2185" s="447"/>
      <c r="L2185" s="448"/>
      <c r="M2185" s="449"/>
      <c r="N2185" s="450"/>
    </row>
    <row r="2186" spans="5:14" ht="14.1" customHeight="1">
      <c r="E2186" s="450"/>
      <c r="F2186" s="450"/>
      <c r="G2186" s="450"/>
      <c r="H2186" s="450"/>
      <c r="I2186" s="450"/>
      <c r="J2186" s="450"/>
      <c r="K2186" s="450"/>
      <c r="L2186" s="450"/>
      <c r="M2186" s="449"/>
      <c r="N2186" s="449"/>
    </row>
    <row r="2187" spans="5:14" ht="14.1" customHeight="1">
      <c r="E2187" s="446"/>
      <c r="F2187" s="446"/>
      <c r="G2187" s="446"/>
      <c r="H2187" s="446"/>
      <c r="I2187" s="446"/>
      <c r="J2187" s="447"/>
      <c r="K2187" s="447"/>
      <c r="L2187" s="448"/>
      <c r="M2187" s="449"/>
      <c r="N2187" s="450"/>
    </row>
    <row r="2188" spans="5:14" ht="14.1" customHeight="1">
      <c r="E2188" s="446"/>
      <c r="F2188" s="446"/>
      <c r="G2188" s="446"/>
      <c r="H2188" s="446"/>
      <c r="I2188" s="446"/>
      <c r="J2188" s="447"/>
      <c r="K2188" s="447"/>
      <c r="L2188" s="448"/>
      <c r="M2188" s="449"/>
      <c r="N2188" s="450"/>
    </row>
    <row r="2189" spans="5:14" ht="14.1" customHeight="1">
      <c r="E2189" s="450"/>
      <c r="F2189" s="450"/>
      <c r="G2189" s="450"/>
      <c r="H2189" s="450"/>
      <c r="I2189" s="450"/>
      <c r="J2189" s="450"/>
      <c r="K2189" s="450"/>
      <c r="L2189" s="450"/>
      <c r="M2189" s="449"/>
      <c r="N2189" s="449"/>
    </row>
    <row r="2190" spans="5:14" ht="14.1" customHeight="1">
      <c r="E2190" s="446"/>
      <c r="F2190" s="446"/>
      <c r="G2190" s="446"/>
      <c r="H2190" s="446"/>
      <c r="I2190" s="446"/>
      <c r="J2190" s="447"/>
      <c r="K2190" s="447"/>
      <c r="L2190" s="448"/>
      <c r="M2190" s="449"/>
      <c r="N2190" s="450"/>
    </row>
    <row r="2191" spans="5:14" ht="14.1" customHeight="1">
      <c r="E2191" s="450"/>
      <c r="F2191" s="450"/>
      <c r="G2191" s="450"/>
      <c r="H2191" s="450"/>
      <c r="I2191" s="450"/>
      <c r="J2191" s="450"/>
      <c r="K2191" s="450"/>
      <c r="L2191" s="450"/>
      <c r="M2191" s="449"/>
      <c r="N2191" s="449"/>
    </row>
    <row r="2192" spans="5:14" ht="14.1" customHeight="1">
      <c r="E2192" s="446"/>
      <c r="F2192" s="446"/>
      <c r="G2192" s="446"/>
      <c r="H2192" s="446"/>
      <c r="I2192" s="446"/>
      <c r="J2192" s="447"/>
      <c r="K2192" s="447"/>
      <c r="L2192" s="448"/>
      <c r="M2192" s="449"/>
      <c r="N2192" s="450"/>
    </row>
    <row r="2193" spans="5:14" ht="14.1" customHeight="1">
      <c r="E2193" s="450"/>
      <c r="F2193" s="450"/>
      <c r="G2193" s="450"/>
      <c r="H2193" s="450"/>
      <c r="I2193" s="450"/>
      <c r="J2193" s="450"/>
      <c r="K2193" s="450"/>
      <c r="L2193" s="450"/>
      <c r="M2193" s="449"/>
      <c r="N2193" s="449"/>
    </row>
    <row r="2194" spans="5:14" ht="14.1" customHeight="1">
      <c r="E2194" s="446"/>
      <c r="F2194" s="446"/>
      <c r="G2194" s="446"/>
      <c r="H2194" s="446"/>
      <c r="I2194" s="446"/>
      <c r="J2194" s="447"/>
      <c r="K2194" s="447"/>
      <c r="L2194" s="448"/>
      <c r="M2194" s="449"/>
      <c r="N2194" s="450"/>
    </row>
    <row r="2195" spans="5:14" ht="14.1" customHeight="1">
      <c r="E2195" s="450"/>
      <c r="F2195" s="450"/>
      <c r="G2195" s="450"/>
      <c r="H2195" s="450"/>
      <c r="I2195" s="450"/>
      <c r="J2195" s="450"/>
      <c r="K2195" s="450"/>
      <c r="L2195" s="450"/>
      <c r="M2195" s="449"/>
      <c r="N2195" s="449"/>
    </row>
    <row r="2196" spans="5:14" ht="14.1" customHeight="1">
      <c r="E2196" s="446"/>
      <c r="F2196" s="446"/>
      <c r="G2196" s="446"/>
      <c r="H2196" s="446"/>
      <c r="I2196" s="446"/>
      <c r="J2196" s="447"/>
      <c r="K2196" s="447"/>
      <c r="L2196" s="448"/>
      <c r="M2196" s="449"/>
      <c r="N2196" s="450"/>
    </row>
    <row r="2197" spans="5:14" ht="14.1" customHeight="1">
      <c r="E2197" s="450"/>
      <c r="F2197" s="450"/>
      <c r="G2197" s="450"/>
      <c r="H2197" s="450"/>
      <c r="I2197" s="450"/>
      <c r="J2197" s="450"/>
      <c r="K2197" s="450"/>
      <c r="L2197" s="450"/>
      <c r="M2197" s="449"/>
      <c r="N2197" s="449"/>
    </row>
    <row r="2198" spans="5:14" ht="14.1" customHeight="1">
      <c r="E2198" s="450"/>
      <c r="F2198" s="450"/>
      <c r="G2198" s="450"/>
      <c r="H2198" s="450"/>
      <c r="I2198" s="450"/>
      <c r="J2198" s="450"/>
      <c r="K2198" s="450"/>
      <c r="L2198" s="450"/>
      <c r="M2198" s="450"/>
      <c r="N2198" s="450"/>
    </row>
    <row r="2199" spans="5:14" ht="14.1" customHeight="1">
      <c r="E2199" s="446"/>
      <c r="F2199" s="446"/>
      <c r="G2199" s="446"/>
      <c r="H2199" s="446"/>
      <c r="I2199" s="446"/>
      <c r="J2199" s="447"/>
      <c r="K2199" s="447"/>
      <c r="L2199" s="448"/>
      <c r="M2199" s="449"/>
      <c r="N2199" s="450"/>
    </row>
    <row r="2200" spans="5:14" ht="14.1" customHeight="1">
      <c r="E2200" s="446"/>
      <c r="F2200" s="446"/>
      <c r="G2200" s="446"/>
      <c r="H2200" s="446"/>
      <c r="I2200" s="446"/>
      <c r="J2200" s="447"/>
      <c r="K2200" s="447"/>
      <c r="L2200" s="448"/>
      <c r="M2200" s="449"/>
      <c r="N2200" s="450"/>
    </row>
    <row r="2201" spans="5:14" ht="14.1" customHeight="1">
      <c r="E2201" s="450"/>
      <c r="F2201" s="450"/>
      <c r="G2201" s="450"/>
      <c r="H2201" s="450"/>
      <c r="I2201" s="450"/>
      <c r="J2201" s="450"/>
      <c r="K2201" s="450"/>
      <c r="L2201" s="450"/>
      <c r="M2201" s="449"/>
      <c r="N2201" s="449"/>
    </row>
    <row r="2202" spans="5:14" ht="14.1" customHeight="1">
      <c r="E2202" s="450"/>
      <c r="F2202" s="450"/>
      <c r="G2202" s="450"/>
      <c r="H2202" s="450"/>
      <c r="I2202" s="450"/>
      <c r="J2202" s="450"/>
      <c r="K2202" s="450"/>
      <c r="L2202" s="450"/>
      <c r="M2202" s="449"/>
      <c r="N2202" s="449"/>
    </row>
  </sheetData>
  <phoneticPr fontId="50" type="noConversion"/>
  <pageMargins left="0.75" right="0.75" top="1" bottom="1" header="0.5" footer="0.5"/>
  <pageSetup scale="74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M426"/>
  <sheetViews>
    <sheetView zoomScale="75" zoomScaleNormal="80" zoomScaleSheetLayoutView="25" workbookViewId="0">
      <pane xSplit="4" ySplit="7" topLeftCell="AX8" activePane="bottomRight" state="frozen"/>
      <selection pane="topRight" activeCell="E1" sqref="E1"/>
      <selection pane="bottomLeft" activeCell="A8" sqref="A8"/>
      <selection pane="bottomRight" activeCell="BE423" sqref="BE423"/>
    </sheetView>
  </sheetViews>
  <sheetFormatPr defaultColWidth="9.109375" defaultRowHeight="13.2"/>
  <cols>
    <col min="1" max="1" width="4.6640625" style="199" customWidth="1"/>
    <col min="2" max="2" width="43" style="199" customWidth="1"/>
    <col min="3" max="3" width="0.33203125" style="199" customWidth="1"/>
    <col min="4" max="4" width="1.6640625" style="199" customWidth="1"/>
    <col min="5" max="5" width="15.6640625" style="199" customWidth="1"/>
    <col min="6" max="6" width="0.88671875" style="206" customWidth="1"/>
    <col min="7" max="7" width="19" style="199" customWidth="1"/>
    <col min="8" max="8" width="0.88671875" style="206" customWidth="1"/>
    <col min="9" max="9" width="16.88671875" style="199" customWidth="1"/>
    <col min="10" max="10" width="0.33203125" style="206" customWidth="1"/>
    <col min="11" max="11" width="21" style="244" hidden="1" customWidth="1"/>
    <col min="12" max="12" width="0.6640625" style="355" hidden="1" customWidth="1"/>
    <col min="13" max="13" width="17.88671875" style="244" hidden="1" customWidth="1"/>
    <col min="14" max="14" width="0.88671875" style="206" hidden="1" customWidth="1"/>
    <col min="15" max="15" width="17.88671875" style="244" hidden="1" customWidth="1"/>
    <col min="16" max="16" width="0.88671875" style="206" hidden="1" customWidth="1"/>
    <col min="17" max="17" width="17.88671875" style="244" hidden="1" customWidth="1"/>
    <col min="18" max="18" width="0.6640625" style="206" hidden="1" customWidth="1"/>
    <col min="19" max="19" width="16" style="244" hidden="1" customWidth="1"/>
    <col min="20" max="20" width="0.5546875" style="217" hidden="1" customWidth="1"/>
    <col min="21" max="21" width="17.88671875" style="244" hidden="1" customWidth="1"/>
    <col min="22" max="22" width="1" style="382" hidden="1" customWidth="1"/>
    <col min="23" max="23" width="17.88671875" style="244" hidden="1" customWidth="1"/>
    <col min="24" max="24" width="1" style="382" hidden="1" customWidth="1"/>
    <col min="25" max="25" width="17.88671875" style="244" hidden="1" customWidth="1"/>
    <col min="26" max="26" width="1.33203125" style="382" hidden="1" customWidth="1"/>
    <col min="27" max="27" width="17.88671875" style="244" hidden="1" customWidth="1"/>
    <col min="28" max="28" width="0.6640625" style="382" hidden="1" customWidth="1"/>
    <col min="29" max="29" width="17.6640625" style="244" hidden="1" customWidth="1"/>
    <col min="30" max="30" width="0.6640625" style="382" hidden="1" customWidth="1"/>
    <col min="31" max="31" width="17.88671875" style="244" hidden="1" customWidth="1"/>
    <col min="32" max="32" width="0.6640625" style="382" hidden="1" customWidth="1"/>
    <col min="33" max="33" width="17.88671875" style="199" hidden="1" customWidth="1"/>
    <col min="34" max="34" width="0.6640625" style="206" hidden="1" customWidth="1"/>
    <col min="35" max="35" width="17.88671875" style="199" hidden="1" customWidth="1"/>
    <col min="36" max="36" width="0.6640625" style="206" customWidth="1"/>
    <col min="37" max="37" width="19.44140625" style="199" customWidth="1"/>
    <col min="38" max="38" width="0.6640625" style="206" hidden="1" customWidth="1"/>
    <col min="39" max="39" width="0.109375" style="382" hidden="1" customWidth="1"/>
    <col min="40" max="40" width="0.88671875" style="206" customWidth="1"/>
    <col min="41" max="41" width="17.88671875" style="199" customWidth="1"/>
    <col min="42" max="42" width="1" style="206" customWidth="1"/>
    <col min="43" max="43" width="17.5546875" style="206" customWidth="1"/>
    <col min="44" max="44" width="0.88671875" style="206" customWidth="1"/>
    <col min="45" max="45" width="17.33203125" style="206" customWidth="1"/>
    <col min="46" max="46" width="0.5546875" style="206" customWidth="1"/>
    <col min="47" max="47" width="17.88671875" style="206" customWidth="1"/>
    <col min="48" max="48" width="0.6640625" style="206" customWidth="1"/>
    <col min="49" max="49" width="17.88671875" style="206" customWidth="1"/>
    <col min="50" max="50" width="0.88671875" style="206" customWidth="1"/>
    <col min="51" max="51" width="17.88671875" style="206" customWidth="1"/>
    <col min="52" max="52" width="0.88671875" style="206" customWidth="1"/>
    <col min="53" max="53" width="17.88671875" style="206" customWidth="1"/>
    <col min="54" max="54" width="0.88671875" style="206" customWidth="1"/>
    <col min="55" max="55" width="17.88671875" style="206" customWidth="1"/>
    <col min="56" max="56" width="0.88671875" style="206" customWidth="1"/>
    <col min="57" max="57" width="20.88671875" style="199" customWidth="1"/>
    <col min="58" max="58" width="0.88671875" style="206" customWidth="1"/>
    <col min="59" max="59" width="24.5546875" style="199" hidden="1" customWidth="1"/>
    <col min="60" max="60" width="0.5546875" style="206" hidden="1" customWidth="1"/>
    <col min="61" max="61" width="20.88671875" style="199" hidden="1" customWidth="1"/>
    <col min="62" max="62" width="0.6640625" style="206" hidden="1" customWidth="1"/>
    <col min="63" max="63" width="16.44140625" style="199" hidden="1" customWidth="1"/>
    <col min="64" max="64" width="0.88671875" style="206" customWidth="1"/>
    <col min="65" max="65" width="75.88671875" style="199" hidden="1" customWidth="1"/>
    <col min="66" max="16384" width="9.109375" style="199"/>
  </cols>
  <sheetData>
    <row r="1" spans="1:65" s="178" customFormat="1" ht="15.6">
      <c r="A1" s="397" t="s">
        <v>202</v>
      </c>
      <c r="B1" s="175"/>
      <c r="C1" s="398"/>
      <c r="D1" s="177"/>
      <c r="E1" s="177"/>
      <c r="F1" s="384"/>
      <c r="G1" s="177"/>
      <c r="H1" s="356"/>
      <c r="J1" s="356"/>
      <c r="K1" s="179"/>
      <c r="L1" s="353"/>
      <c r="M1" s="179"/>
      <c r="N1" s="356"/>
      <c r="O1" s="179"/>
      <c r="P1" s="356"/>
      <c r="Q1" s="179"/>
      <c r="R1" s="356"/>
      <c r="S1" s="179"/>
      <c r="T1" s="194"/>
      <c r="U1" s="179"/>
      <c r="V1" s="363"/>
      <c r="W1" s="179"/>
      <c r="X1" s="363"/>
      <c r="Y1" s="179"/>
      <c r="Z1" s="363"/>
      <c r="AA1" s="179"/>
      <c r="AB1" s="363"/>
      <c r="AC1" s="179"/>
      <c r="AD1" s="363"/>
      <c r="AE1" s="179"/>
      <c r="AF1" s="363"/>
      <c r="AH1" s="356"/>
      <c r="AJ1" s="356"/>
      <c r="AK1" s="181"/>
      <c r="AL1" s="356"/>
      <c r="AM1" s="363"/>
      <c r="AN1" s="356"/>
      <c r="AP1" s="356"/>
      <c r="AQ1" s="356"/>
      <c r="AR1" s="356"/>
      <c r="AS1" s="356"/>
      <c r="AT1" s="356"/>
      <c r="AU1" s="356"/>
      <c r="AV1" s="356"/>
      <c r="AW1" s="356"/>
      <c r="AX1" s="356"/>
      <c r="AY1" s="356"/>
      <c r="AZ1" s="356"/>
      <c r="BA1" s="356"/>
      <c r="BB1" s="356"/>
      <c r="BC1" s="356"/>
      <c r="BD1" s="356"/>
      <c r="BE1" s="181"/>
      <c r="BF1" s="356"/>
      <c r="BG1" s="181"/>
      <c r="BH1" s="365"/>
      <c r="BI1" s="181"/>
      <c r="BJ1" s="365"/>
      <c r="BL1" s="356"/>
    </row>
    <row r="2" spans="1:65" s="178" customFormat="1" ht="15.6">
      <c r="A2" s="397" t="s">
        <v>203</v>
      </c>
      <c r="B2" s="175"/>
      <c r="C2" s="398"/>
      <c r="D2" s="177"/>
      <c r="E2" s="177"/>
      <c r="F2" s="384"/>
      <c r="G2" s="177"/>
      <c r="H2" s="356"/>
      <c r="J2" s="356"/>
      <c r="K2" s="179"/>
      <c r="L2" s="353"/>
      <c r="M2" s="179"/>
      <c r="N2" s="356"/>
      <c r="O2" s="179"/>
      <c r="P2" s="356"/>
      <c r="Q2" s="179"/>
      <c r="R2" s="356"/>
      <c r="S2" s="179"/>
      <c r="T2" s="194"/>
      <c r="U2" s="179"/>
      <c r="V2" s="363"/>
      <c r="W2" s="179"/>
      <c r="X2" s="363"/>
      <c r="Y2" s="179"/>
      <c r="Z2" s="363"/>
      <c r="AA2" s="179"/>
      <c r="AB2" s="363"/>
      <c r="AC2" s="179"/>
      <c r="AD2" s="363"/>
      <c r="AE2" s="179"/>
      <c r="AF2" s="363"/>
      <c r="AH2" s="356"/>
      <c r="AJ2" s="356"/>
      <c r="AL2" s="356"/>
      <c r="AM2" s="363"/>
      <c r="AN2" s="356"/>
      <c r="AP2" s="356"/>
      <c r="AQ2" s="356"/>
      <c r="AR2" s="356"/>
      <c r="AS2" s="356"/>
      <c r="AT2" s="356"/>
      <c r="AU2" s="356"/>
      <c r="AV2" s="356"/>
      <c r="AW2" s="356"/>
      <c r="AX2" s="356"/>
      <c r="AY2" s="356"/>
      <c r="AZ2" s="356"/>
      <c r="BA2" s="356"/>
      <c r="BB2" s="356"/>
      <c r="BC2" s="356"/>
      <c r="BD2" s="356"/>
      <c r="BF2" s="356"/>
      <c r="BH2" s="356"/>
      <c r="BJ2" s="356"/>
      <c r="BK2" s="376"/>
      <c r="BL2" s="356"/>
    </row>
    <row r="3" spans="1:65" s="178" customFormat="1" ht="15.6">
      <c r="A3" s="399" t="s">
        <v>204</v>
      </c>
      <c r="B3" s="175"/>
      <c r="C3" s="398"/>
      <c r="D3" s="177"/>
      <c r="E3" s="182">
        <v>342</v>
      </c>
      <c r="F3" s="384"/>
      <c r="G3" s="183"/>
      <c r="H3" s="356"/>
      <c r="J3" s="356"/>
      <c r="K3" s="179"/>
      <c r="L3" s="353"/>
      <c r="M3" s="179"/>
      <c r="N3" s="356"/>
      <c r="O3" s="179"/>
      <c r="P3" s="356"/>
      <c r="Q3" s="179"/>
      <c r="R3" s="356"/>
      <c r="S3" s="179"/>
      <c r="T3" s="194"/>
      <c r="U3" s="179"/>
      <c r="V3" s="363"/>
      <c r="W3" s="179"/>
      <c r="X3" s="363"/>
      <c r="Y3" s="179"/>
      <c r="Z3" s="363"/>
      <c r="AA3" s="179"/>
      <c r="AB3" s="363"/>
      <c r="AC3" s="179"/>
      <c r="AD3" s="363"/>
      <c r="AE3" s="179"/>
      <c r="AF3" s="363"/>
      <c r="AH3" s="356"/>
      <c r="AJ3" s="356"/>
      <c r="AK3" s="184"/>
      <c r="AL3" s="356"/>
      <c r="AM3" s="363"/>
      <c r="AN3" s="356"/>
      <c r="AP3" s="356"/>
      <c r="AQ3" s="356"/>
      <c r="AR3" s="356"/>
      <c r="AS3" s="356"/>
      <c r="AT3" s="356"/>
      <c r="AU3" s="356"/>
      <c r="AV3" s="356"/>
      <c r="AW3" s="356"/>
      <c r="AX3" s="356"/>
      <c r="AY3" s="356"/>
      <c r="AZ3" s="356"/>
      <c r="BA3" s="356"/>
      <c r="BB3" s="356"/>
      <c r="BC3" s="356"/>
      <c r="BD3" s="356"/>
      <c r="BE3" s="184"/>
      <c r="BF3" s="356"/>
      <c r="BG3" s="249"/>
      <c r="BH3" s="356"/>
      <c r="BI3" s="184"/>
      <c r="BJ3" s="356"/>
      <c r="BK3" s="181"/>
      <c r="BL3" s="356"/>
    </row>
    <row r="4" spans="1:65" s="178" customFormat="1" ht="15.6">
      <c r="A4" s="185"/>
      <c r="B4" s="186"/>
      <c r="C4" s="372"/>
      <c r="E4" s="180"/>
      <c r="F4" s="356"/>
      <c r="H4" s="353"/>
      <c r="I4" s="180"/>
      <c r="J4" s="356"/>
      <c r="K4" s="179"/>
      <c r="L4" s="353"/>
      <c r="M4" s="188" t="s">
        <v>360</v>
      </c>
      <c r="N4" s="353"/>
      <c r="O4" s="188" t="s">
        <v>360</v>
      </c>
      <c r="P4" s="353"/>
      <c r="Q4" s="188" t="s">
        <v>360</v>
      </c>
      <c r="R4" s="353"/>
      <c r="S4" s="188" t="s">
        <v>360</v>
      </c>
      <c r="T4" s="363"/>
      <c r="U4" s="188" t="s">
        <v>360</v>
      </c>
      <c r="V4" s="364"/>
      <c r="W4" s="188" t="s">
        <v>360</v>
      </c>
      <c r="X4" s="364"/>
      <c r="Y4" s="188" t="s">
        <v>360</v>
      </c>
      <c r="Z4" s="364"/>
      <c r="AA4" s="188" t="s">
        <v>360</v>
      </c>
      <c r="AB4" s="364"/>
      <c r="AC4" s="188" t="s">
        <v>360</v>
      </c>
      <c r="AD4" s="364"/>
      <c r="AE4" s="188" t="s">
        <v>360</v>
      </c>
      <c r="AF4" s="364"/>
      <c r="AG4" s="188" t="s">
        <v>360</v>
      </c>
      <c r="AH4" s="364"/>
      <c r="AI4" s="188" t="s">
        <v>360</v>
      </c>
      <c r="AJ4" s="356"/>
      <c r="AK4" s="189"/>
      <c r="AL4" s="356"/>
      <c r="AM4" s="385" t="s">
        <v>367</v>
      </c>
      <c r="AN4" s="356"/>
      <c r="AO4" s="188" t="s">
        <v>360</v>
      </c>
      <c r="AP4" s="364"/>
      <c r="AQ4" s="364" t="s">
        <v>360</v>
      </c>
      <c r="AR4" s="364"/>
      <c r="AS4" s="364" t="s">
        <v>360</v>
      </c>
      <c r="AT4" s="364"/>
      <c r="AU4" s="364" t="s">
        <v>360</v>
      </c>
      <c r="AV4" s="364"/>
      <c r="AW4" s="364" t="s">
        <v>360</v>
      </c>
      <c r="AX4" s="364"/>
      <c r="AY4" s="364" t="s">
        <v>311</v>
      </c>
      <c r="AZ4" s="364"/>
      <c r="BA4" s="364" t="s">
        <v>311</v>
      </c>
      <c r="BB4" s="364"/>
      <c r="BC4" s="364" t="s">
        <v>311</v>
      </c>
      <c r="BD4" s="364"/>
      <c r="BE4" s="189"/>
      <c r="BF4" s="356"/>
      <c r="BG4" s="189"/>
      <c r="BH4" s="356"/>
      <c r="BI4" s="189"/>
      <c r="BJ4" s="356"/>
      <c r="BK4" s="189"/>
      <c r="BL4" s="356"/>
    </row>
    <row r="5" spans="1:65" s="178" customFormat="1" ht="15.6">
      <c r="A5" s="191"/>
      <c r="E5" s="190" t="s">
        <v>1656</v>
      </c>
      <c r="F5" s="356"/>
      <c r="G5" s="189" t="s">
        <v>1657</v>
      </c>
      <c r="H5" s="353"/>
      <c r="I5" s="190" t="s">
        <v>368</v>
      </c>
      <c r="J5" s="356"/>
      <c r="K5" s="188" t="s">
        <v>290</v>
      </c>
      <c r="L5" s="353"/>
      <c r="M5" s="188" t="s">
        <v>361</v>
      </c>
      <c r="N5" s="353"/>
      <c r="O5" s="188" t="s">
        <v>361</v>
      </c>
      <c r="P5" s="353"/>
      <c r="Q5" s="188" t="s">
        <v>361</v>
      </c>
      <c r="R5" s="353"/>
      <c r="S5" s="188" t="s">
        <v>361</v>
      </c>
      <c r="T5" s="363"/>
      <c r="U5" s="188" t="s">
        <v>361</v>
      </c>
      <c r="V5" s="364"/>
      <c r="W5" s="188" t="s">
        <v>361</v>
      </c>
      <c r="X5" s="364"/>
      <c r="Y5" s="188" t="s">
        <v>361</v>
      </c>
      <c r="Z5" s="364"/>
      <c r="AA5" s="188" t="s">
        <v>361</v>
      </c>
      <c r="AB5" s="364"/>
      <c r="AC5" s="188" t="s">
        <v>361</v>
      </c>
      <c r="AD5" s="364"/>
      <c r="AE5" s="188" t="s">
        <v>361</v>
      </c>
      <c r="AF5" s="364"/>
      <c r="AG5" s="188" t="s">
        <v>361</v>
      </c>
      <c r="AH5" s="364"/>
      <c r="AI5" s="188" t="s">
        <v>361</v>
      </c>
      <c r="AJ5" s="356"/>
      <c r="AK5" s="189" t="s">
        <v>290</v>
      </c>
      <c r="AL5" s="356"/>
      <c r="AM5" s="385" t="s">
        <v>368</v>
      </c>
      <c r="AN5" s="356"/>
      <c r="AO5" s="188" t="s">
        <v>361</v>
      </c>
      <c r="AP5" s="364"/>
      <c r="AQ5" s="364" t="s">
        <v>361</v>
      </c>
      <c r="AR5" s="364"/>
      <c r="AS5" s="364" t="s">
        <v>361</v>
      </c>
      <c r="AT5" s="364"/>
      <c r="AU5" s="364" t="s">
        <v>361</v>
      </c>
      <c r="AV5" s="364"/>
      <c r="AW5" s="364" t="s">
        <v>361</v>
      </c>
      <c r="AX5" s="364"/>
      <c r="AY5" s="364" t="s">
        <v>361</v>
      </c>
      <c r="AZ5" s="364"/>
      <c r="BA5" s="364" t="s">
        <v>361</v>
      </c>
      <c r="BB5" s="364"/>
      <c r="BC5" s="364" t="s">
        <v>361</v>
      </c>
      <c r="BD5" s="356"/>
      <c r="BE5" s="189"/>
      <c r="BF5" s="356"/>
      <c r="BG5" s="189" t="s">
        <v>311</v>
      </c>
      <c r="BH5" s="356"/>
      <c r="BI5" s="189" t="s">
        <v>1050</v>
      </c>
      <c r="BJ5" s="356"/>
      <c r="BK5" s="189" t="s">
        <v>1052</v>
      </c>
      <c r="BL5" s="356"/>
    </row>
    <row r="6" spans="1:65" s="178" customFormat="1" ht="15.6">
      <c r="A6" s="191"/>
      <c r="C6" s="192"/>
      <c r="E6" s="193" t="s">
        <v>421</v>
      </c>
      <c r="F6" s="356"/>
      <c r="G6" s="192" t="s">
        <v>289</v>
      </c>
      <c r="H6" s="353"/>
      <c r="I6" s="193" t="s">
        <v>1054</v>
      </c>
      <c r="J6" s="356"/>
      <c r="K6" s="245" t="s">
        <v>623</v>
      </c>
      <c r="L6" s="353"/>
      <c r="M6" s="245" t="s">
        <v>940</v>
      </c>
      <c r="N6" s="353"/>
      <c r="O6" s="245" t="s">
        <v>939</v>
      </c>
      <c r="P6" s="353"/>
      <c r="Q6" s="245" t="s">
        <v>938</v>
      </c>
      <c r="R6" s="353"/>
      <c r="S6" s="245" t="s">
        <v>937</v>
      </c>
      <c r="T6" s="363"/>
      <c r="U6" s="245" t="s">
        <v>936</v>
      </c>
      <c r="V6" s="331"/>
      <c r="W6" s="245" t="s">
        <v>935</v>
      </c>
      <c r="X6" s="331"/>
      <c r="Y6" s="245" t="s">
        <v>934</v>
      </c>
      <c r="Z6" s="331"/>
      <c r="AA6" s="245" t="s">
        <v>548</v>
      </c>
      <c r="AB6" s="331"/>
      <c r="AC6" s="245" t="s">
        <v>578</v>
      </c>
      <c r="AD6" s="331"/>
      <c r="AE6" s="245" t="s">
        <v>933</v>
      </c>
      <c r="AF6" s="331"/>
      <c r="AG6" s="245" t="s">
        <v>987</v>
      </c>
      <c r="AH6" s="331"/>
      <c r="AI6" s="245" t="s">
        <v>1392</v>
      </c>
      <c r="AJ6" s="356"/>
      <c r="AK6" s="192" t="s">
        <v>364</v>
      </c>
      <c r="AL6" s="356"/>
      <c r="AM6" s="385" t="s">
        <v>369</v>
      </c>
      <c r="AN6" s="356"/>
      <c r="AO6" s="379">
        <v>36556</v>
      </c>
      <c r="AP6" s="380"/>
      <c r="AQ6" s="396">
        <v>36585</v>
      </c>
      <c r="AR6" s="380"/>
      <c r="AS6" s="380">
        <v>36616</v>
      </c>
      <c r="AT6" s="380"/>
      <c r="AU6" s="380">
        <v>36646</v>
      </c>
      <c r="AV6" s="380"/>
      <c r="AW6" s="380">
        <v>36677</v>
      </c>
      <c r="AX6" s="380"/>
      <c r="AY6" s="380">
        <v>36707</v>
      </c>
      <c r="AZ6" s="380"/>
      <c r="BA6" s="380">
        <v>36738</v>
      </c>
      <c r="BB6" s="380"/>
      <c r="BC6" s="380">
        <v>36769</v>
      </c>
      <c r="BD6" s="356"/>
      <c r="BE6" s="192" t="s">
        <v>364</v>
      </c>
      <c r="BF6" s="356"/>
      <c r="BG6" s="192" t="s">
        <v>1049</v>
      </c>
      <c r="BH6" s="356"/>
      <c r="BI6" s="192" t="s">
        <v>1051</v>
      </c>
      <c r="BJ6" s="356"/>
      <c r="BK6" s="192" t="s">
        <v>310</v>
      </c>
      <c r="BL6" s="356"/>
      <c r="BM6" s="192" t="s">
        <v>241</v>
      </c>
    </row>
    <row r="7" spans="1:65" s="178" customFormat="1" ht="15.6">
      <c r="A7" s="191"/>
      <c r="B7" s="194"/>
      <c r="C7" s="195"/>
      <c r="E7" s="188" t="s">
        <v>536</v>
      </c>
      <c r="F7" s="356"/>
      <c r="G7" s="255" t="str">
        <f>Summary!Q4</f>
        <v>as of 12/28/00</v>
      </c>
      <c r="H7" s="353"/>
      <c r="I7" s="180"/>
      <c r="J7" s="356"/>
      <c r="K7" s="188"/>
      <c r="L7" s="353"/>
      <c r="M7" s="188"/>
      <c r="N7" s="353"/>
      <c r="O7" s="188"/>
      <c r="P7" s="353"/>
      <c r="Q7" s="188"/>
      <c r="R7" s="353"/>
      <c r="S7" s="188"/>
      <c r="T7" s="363"/>
      <c r="U7" s="188"/>
      <c r="V7" s="364"/>
      <c r="W7" s="188"/>
      <c r="X7" s="364"/>
      <c r="Y7" s="188"/>
      <c r="Z7" s="364"/>
      <c r="AA7" s="188"/>
      <c r="AB7" s="364"/>
      <c r="AC7" s="188"/>
      <c r="AD7" s="364"/>
      <c r="AE7" s="188"/>
      <c r="AF7" s="364"/>
      <c r="AG7" s="188" t="str">
        <f>+[6]Summary!$Q$4</f>
        <v>as of 02/11/00</v>
      </c>
      <c r="AH7" s="364"/>
      <c r="AI7" s="188" t="str">
        <f>+[6]Summary!$Q$4</f>
        <v>as of 02/11/00</v>
      </c>
      <c r="AJ7" s="356"/>
      <c r="AK7" s="189" t="s">
        <v>1700</v>
      </c>
      <c r="AL7" s="356"/>
      <c r="AM7" s="386" t="str">
        <f>+[6]Summary!$Q$4</f>
        <v>as of 02/11/00</v>
      </c>
      <c r="AN7" s="356"/>
      <c r="AO7" s="188" t="str">
        <f>Summary!Q4</f>
        <v>as of 12/28/00</v>
      </c>
      <c r="AP7" s="364"/>
      <c r="AQ7" s="188" t="str">
        <f>Summary!Q4</f>
        <v>as of 12/28/00</v>
      </c>
      <c r="AR7" s="364"/>
      <c r="AS7" s="431" t="str">
        <f>Summary!Q4</f>
        <v>as of 12/28/00</v>
      </c>
      <c r="AT7" s="364"/>
      <c r="AU7" s="431" t="str">
        <f>Summary!Q4</f>
        <v>as of 12/28/00</v>
      </c>
      <c r="AV7" s="364"/>
      <c r="AW7" s="431" t="str">
        <f>Summary!Q4</f>
        <v>as of 12/28/00</v>
      </c>
      <c r="AX7" s="364"/>
      <c r="AY7" s="431" t="str">
        <f>Summary!Q4</f>
        <v>as of 12/28/00</v>
      </c>
      <c r="AZ7" s="364"/>
      <c r="BA7" s="431" t="str">
        <f>Summary!Q4</f>
        <v>as of 12/28/00</v>
      </c>
      <c r="BB7" s="364"/>
      <c r="BC7" s="431" t="str">
        <f>Summary!Q4</f>
        <v>as of 12/28/00</v>
      </c>
      <c r="BD7" s="364"/>
      <c r="BE7" s="188" t="s">
        <v>36</v>
      </c>
      <c r="BF7" s="364"/>
      <c r="BG7" s="189"/>
      <c r="BH7" s="356"/>
      <c r="BI7" s="189"/>
      <c r="BJ7" s="356"/>
      <c r="BK7" s="189"/>
      <c r="BL7" s="356"/>
    </row>
    <row r="8" spans="1:65">
      <c r="A8" s="196" t="s">
        <v>242</v>
      </c>
      <c r="B8" s="197"/>
      <c r="C8" s="198"/>
      <c r="K8" s="200"/>
      <c r="L8" s="206"/>
      <c r="M8" s="200"/>
      <c r="O8" s="200"/>
      <c r="Q8" s="200"/>
      <c r="S8" s="200"/>
      <c r="U8" s="200"/>
      <c r="V8" s="217"/>
      <c r="W8" s="200"/>
      <c r="X8" s="217"/>
      <c r="Y8" s="200"/>
      <c r="Z8" s="217"/>
      <c r="AA8" s="200"/>
      <c r="AB8" s="217"/>
      <c r="AC8" s="200"/>
      <c r="AD8" s="217"/>
      <c r="AE8" s="200"/>
      <c r="AF8" s="217"/>
      <c r="AG8" s="200"/>
      <c r="AH8" s="217"/>
      <c r="AI8" s="200"/>
      <c r="AM8" s="217"/>
      <c r="AO8" s="200"/>
      <c r="AP8" s="217"/>
      <c r="AQ8" s="217"/>
      <c r="AR8" s="217"/>
      <c r="AS8" s="217"/>
      <c r="AT8" s="217"/>
      <c r="AU8" s="217"/>
      <c r="AV8" s="217"/>
      <c r="AW8" s="217"/>
      <c r="AX8" s="217"/>
      <c r="AY8" s="217"/>
      <c r="AZ8" s="217"/>
      <c r="BA8" s="217"/>
      <c r="BB8" s="217"/>
      <c r="BC8" s="217"/>
    </row>
    <row r="9" spans="1:65">
      <c r="A9" s="201"/>
      <c r="B9" s="197" t="s">
        <v>426</v>
      </c>
      <c r="C9" s="400" t="s">
        <v>430</v>
      </c>
      <c r="D9" s="372"/>
      <c r="E9" s="200">
        <v>23437881</v>
      </c>
      <c r="F9" s="217"/>
      <c r="G9" s="200">
        <f>ENA!G9</f>
        <v>23437881</v>
      </c>
      <c r="I9" s="199">
        <f t="shared" ref="I9:I20" si="0">+G9-E9</f>
        <v>0</v>
      </c>
      <c r="K9" s="199">
        <v>21150000</v>
      </c>
      <c r="L9" s="206"/>
      <c r="M9" s="203">
        <f>1200000+664534.2+332267.1</f>
        <v>2196801.2999999998</v>
      </c>
      <c r="O9" s="199">
        <v>0</v>
      </c>
      <c r="Q9" s="203"/>
      <c r="S9" s="199"/>
      <c r="U9" s="204"/>
      <c r="V9" s="233"/>
      <c r="W9" s="204">
        <v>0</v>
      </c>
      <c r="X9" s="233"/>
      <c r="Y9" s="204">
        <v>0</v>
      </c>
      <c r="Z9" s="233"/>
      <c r="AA9" s="204">
        <v>0</v>
      </c>
      <c r="AB9" s="233"/>
      <c r="AC9" s="204">
        <v>0</v>
      </c>
      <c r="AD9" s="233"/>
      <c r="AE9" s="204">
        <v>0</v>
      </c>
      <c r="AF9" s="233"/>
      <c r="AG9" s="199">
        <v>0</v>
      </c>
      <c r="AI9" s="199">
        <v>0</v>
      </c>
      <c r="AK9" s="199">
        <f>ENA!AK9</f>
        <v>23437881.300000001</v>
      </c>
      <c r="AM9" s="206"/>
      <c r="AO9" s="199">
        <v>0</v>
      </c>
      <c r="AQ9" s="206">
        <v>0</v>
      </c>
      <c r="AS9" s="206">
        <v>0</v>
      </c>
      <c r="AU9" s="206">
        <v>0</v>
      </c>
      <c r="AW9" s="206">
        <v>0</v>
      </c>
      <c r="AY9" s="206">
        <v>0</v>
      </c>
      <c r="BA9" s="206">
        <v>0</v>
      </c>
      <c r="BC9" s="206">
        <v>0</v>
      </c>
      <c r="BD9" s="206">
        <v>0</v>
      </c>
      <c r="BE9" s="199">
        <f t="shared" ref="BE9:BE18" si="1">SUM(AK9:BA9)</f>
        <v>23437881.300000001</v>
      </c>
      <c r="BG9" s="199">
        <f t="shared" ref="BG9:BG18" si="2">+MAX(0,G9-BE9+AM9)</f>
        <v>0</v>
      </c>
      <c r="BI9" s="199">
        <f t="shared" ref="BI9:BI18" si="3">SUM(BE9:BG9)</f>
        <v>23437881.300000001</v>
      </c>
      <c r="BK9" s="199">
        <f>+E9-BI9</f>
        <v>-0.30000000074505806</v>
      </c>
    </row>
    <row r="10" spans="1:65" hidden="1">
      <c r="A10" s="201"/>
      <c r="B10" s="197" t="s">
        <v>407</v>
      </c>
      <c r="C10" s="400" t="s">
        <v>431</v>
      </c>
      <c r="D10" s="372"/>
      <c r="E10" s="200">
        <v>0</v>
      </c>
      <c r="F10" s="217"/>
      <c r="G10" s="200">
        <f>ENA!G10</f>
        <v>0</v>
      </c>
      <c r="I10" s="199">
        <f t="shared" si="0"/>
        <v>0</v>
      </c>
      <c r="K10" s="199">
        <v>0</v>
      </c>
      <c r="L10" s="206"/>
      <c r="M10" s="199">
        <v>0</v>
      </c>
      <c r="O10" s="199">
        <v>0</v>
      </c>
      <c r="Q10" s="199">
        <v>0</v>
      </c>
      <c r="S10" s="199">
        <v>0</v>
      </c>
      <c r="U10" s="199">
        <v>0</v>
      </c>
      <c r="V10" s="206"/>
      <c r="W10" s="199">
        <v>0</v>
      </c>
      <c r="X10" s="206"/>
      <c r="Y10" s="199">
        <v>0</v>
      </c>
      <c r="Z10" s="206"/>
      <c r="AA10" s="199">
        <v>0</v>
      </c>
      <c r="AB10" s="206"/>
      <c r="AC10" s="199">
        <v>0</v>
      </c>
      <c r="AD10" s="206"/>
      <c r="AE10" s="199">
        <v>0</v>
      </c>
      <c r="AF10" s="206"/>
      <c r="AG10" s="199">
        <v>0</v>
      </c>
      <c r="AI10" s="199">
        <v>0</v>
      </c>
      <c r="AK10" s="199">
        <f>ENA!AK10</f>
        <v>0</v>
      </c>
      <c r="AM10" s="206">
        <v>0</v>
      </c>
      <c r="AO10" s="199">
        <v>0</v>
      </c>
      <c r="AQ10" s="206">
        <v>0</v>
      </c>
      <c r="AS10" s="206">
        <v>0</v>
      </c>
      <c r="AU10" s="206">
        <v>0</v>
      </c>
      <c r="AW10" s="206">
        <v>0</v>
      </c>
      <c r="AY10" s="206">
        <v>0</v>
      </c>
      <c r="BA10" s="206">
        <v>0</v>
      </c>
      <c r="BC10" s="206">
        <v>0</v>
      </c>
      <c r="BD10" s="206">
        <v>0</v>
      </c>
      <c r="BE10" s="199">
        <f t="shared" si="1"/>
        <v>0</v>
      </c>
      <c r="BG10" s="199">
        <f t="shared" si="2"/>
        <v>0</v>
      </c>
      <c r="BI10" s="199">
        <f t="shared" si="3"/>
        <v>0</v>
      </c>
      <c r="BK10" s="199">
        <f t="shared" ref="BK10:BK20" si="4">+E10-BI10</f>
        <v>0</v>
      </c>
    </row>
    <row r="11" spans="1:65">
      <c r="A11" s="201"/>
      <c r="B11" s="197" t="s">
        <v>408</v>
      </c>
      <c r="C11" s="400" t="s">
        <v>431</v>
      </c>
      <c r="D11" s="372"/>
      <c r="E11" s="200">
        <v>2340538.83</v>
      </c>
      <c r="F11" s="217"/>
      <c r="G11" s="200">
        <f>ENA!G11</f>
        <v>2340538.83</v>
      </c>
      <c r="I11" s="199">
        <f t="shared" si="0"/>
        <v>0</v>
      </c>
      <c r="K11" s="199">
        <v>0</v>
      </c>
      <c r="L11" s="206"/>
      <c r="M11" s="199">
        <f>689035.06+1378070.12</f>
        <v>2067105.1800000002</v>
      </c>
      <c r="O11" s="199">
        <v>0</v>
      </c>
      <c r="Q11" s="199">
        <v>0</v>
      </c>
      <c r="S11" s="199">
        <v>0</v>
      </c>
      <c r="U11" s="199">
        <v>0</v>
      </c>
      <c r="V11" s="206"/>
      <c r="W11" s="199">
        <f>5323.25+268110.4</f>
        <v>273433.65000000002</v>
      </c>
      <c r="X11" s="206"/>
      <c r="Y11" s="199">
        <v>0</v>
      </c>
      <c r="Z11" s="206"/>
      <c r="AA11" s="199">
        <v>0</v>
      </c>
      <c r="AB11" s="206"/>
      <c r="AC11" s="199">
        <v>0</v>
      </c>
      <c r="AD11" s="206"/>
      <c r="AE11" s="199">
        <v>0</v>
      </c>
      <c r="AF11" s="206"/>
      <c r="AG11" s="199">
        <v>0</v>
      </c>
      <c r="AI11" s="199">
        <v>0</v>
      </c>
      <c r="AK11" s="199">
        <f>ENA!AK11</f>
        <v>2340538.83</v>
      </c>
      <c r="AM11" s="206">
        <v>0</v>
      </c>
      <c r="AO11" s="199">
        <v>0</v>
      </c>
      <c r="AQ11" s="206">
        <v>0</v>
      </c>
      <c r="AS11" s="206">
        <v>0</v>
      </c>
      <c r="AU11" s="206">
        <v>0</v>
      </c>
      <c r="AW11" s="206">
        <v>0</v>
      </c>
      <c r="AY11" s="206">
        <v>0</v>
      </c>
      <c r="BA11" s="206">
        <v>0</v>
      </c>
      <c r="BC11" s="206">
        <v>0</v>
      </c>
      <c r="BD11" s="206">
        <v>0</v>
      </c>
      <c r="BE11" s="199">
        <f t="shared" si="1"/>
        <v>2340538.83</v>
      </c>
      <c r="BG11" s="199">
        <f t="shared" si="2"/>
        <v>0</v>
      </c>
      <c r="BI11" s="199">
        <f t="shared" si="3"/>
        <v>2340538.83</v>
      </c>
      <c r="BK11" s="199">
        <f t="shared" si="4"/>
        <v>0</v>
      </c>
    </row>
    <row r="12" spans="1:65">
      <c r="A12" s="201"/>
      <c r="B12" s="197" t="s">
        <v>243</v>
      </c>
      <c r="C12" s="401" t="s">
        <v>1048</v>
      </c>
      <c r="D12" s="372"/>
      <c r="E12" s="200">
        <v>16047731</v>
      </c>
      <c r="F12" s="217"/>
      <c r="G12" s="200">
        <f>ENA!G12</f>
        <v>19979482</v>
      </c>
      <c r="I12" s="199">
        <f t="shared" si="0"/>
        <v>3931751</v>
      </c>
      <c r="K12" s="199"/>
      <c r="L12" s="206"/>
      <c r="M12" s="199"/>
      <c r="O12" s="203"/>
      <c r="Q12" s="199"/>
      <c r="S12" s="199"/>
      <c r="U12" s="205">
        <f>183010.45+135431.96+1291080+396000+252344</f>
        <v>2257866.41</v>
      </c>
      <c r="V12" s="381"/>
      <c r="W12" s="205">
        <f>53311.19+78641.11+4671.74+22604.87+28671.86+26120.07+24767.55+327.02+17664.08</f>
        <v>256779.48999999993</v>
      </c>
      <c r="X12" s="381"/>
      <c r="Y12" s="205">
        <f>3440.53+6680.84+56199.77+62060.03-78641.11-135431.96-183010.45-62060.03-22604.87-28671.86-26120.07-24767.55</f>
        <v>-432926.73</v>
      </c>
      <c r="Z12" s="381"/>
      <c r="AA12" s="205">
        <f>13833.93+9303.06+5000+20000+80000+278580+97500+5000+100000+510000</f>
        <v>1119216.99</v>
      </c>
      <c r="AB12" s="381"/>
      <c r="AC12" s="205">
        <f>47620.5+45905+12500+545437.8+150000+80000+17510.9+104297+463226.2+7168+22413.15+63659.61+5000-907656.2+250000</f>
        <v>907081.9600000002</v>
      </c>
      <c r="AD12" s="381"/>
      <c r="AE12" s="205">
        <f>15834+63668.61+54196.5+630000+5000+15834+11145.5+3000+11000+100000+9030.98+39007.08+125000+755700+9000+203476.5+52404.53+5179.43+22526+10245.82+129539+10985+119361.69+5289+20808+49370+34500+272718.9+136359.45+5000+6980+127328+683259</f>
        <v>3742746.9899999998</v>
      </c>
      <c r="AF12" s="381"/>
      <c r="AG12" s="199">
        <f>33146+8777+5423+2644+10000+5000+82045+15834+150000+82875+100000+159161+2742+7017+15000+9000+63485+700000+186919</f>
        <v>1639068</v>
      </c>
      <c r="AI12" s="199">
        <f>60398.33+34252.67+96762+356900+12500+59980.39+450000+611029+139019.7+3446+2561.2+1832+7160+7160+272718.9+303021+1370.36+558+1627.5+1250+2280+1624.25+3446+269.39+925+90000+175000+159160.5+152369.1</f>
        <v>3008621.29</v>
      </c>
      <c r="AK12" s="199">
        <f>ENA!AK12</f>
        <v>11254001.600000001</v>
      </c>
      <c r="AM12" s="206"/>
      <c r="AO12" s="199">
        <f>ENA!AO12</f>
        <v>2139490.9999999995</v>
      </c>
      <c r="AQ12" s="199">
        <f>ENA!AQ12</f>
        <v>1346842.89</v>
      </c>
      <c r="AS12" s="199">
        <f>ENA!AS12</f>
        <v>1992348.5</v>
      </c>
      <c r="AU12" s="199">
        <f>ENA!AU12</f>
        <v>67904.56</v>
      </c>
      <c r="AW12" s="199">
        <f>ENA!AW12</f>
        <v>1233270.8700000001</v>
      </c>
      <c r="AY12" s="206">
        <f>1342425-55632</f>
        <v>1286793</v>
      </c>
      <c r="BA12" s="206">
        <f>325000</f>
        <v>325000</v>
      </c>
      <c r="BC12" s="206">
        <v>0</v>
      </c>
      <c r="BD12" s="206">
        <v>0</v>
      </c>
      <c r="BE12" s="199">
        <f t="shared" si="1"/>
        <v>19645652.420000002</v>
      </c>
      <c r="BG12" s="199">
        <v>0</v>
      </c>
      <c r="BI12" s="199">
        <f t="shared" si="3"/>
        <v>19645652.420000002</v>
      </c>
      <c r="BK12" s="199">
        <f t="shared" si="4"/>
        <v>-3597921.4200000018</v>
      </c>
    </row>
    <row r="13" spans="1:65">
      <c r="A13" s="201"/>
      <c r="B13" s="197" t="s">
        <v>251</v>
      </c>
      <c r="C13" s="401"/>
      <c r="D13" s="372"/>
      <c r="E13" s="200">
        <v>0</v>
      </c>
      <c r="F13" s="217"/>
      <c r="G13" s="200">
        <f>ENA!G13</f>
        <v>6488243.7999999998</v>
      </c>
      <c r="I13" s="199">
        <f t="shared" si="0"/>
        <v>6488243.7999999998</v>
      </c>
      <c r="K13" s="199"/>
      <c r="L13" s="206"/>
      <c r="M13" s="199"/>
      <c r="O13" s="203"/>
      <c r="Q13" s="199"/>
      <c r="S13" s="199"/>
      <c r="U13" s="205"/>
      <c r="V13" s="381"/>
      <c r="W13" s="205"/>
      <c r="X13" s="381"/>
      <c r="Y13" s="205"/>
      <c r="Z13" s="381"/>
      <c r="AA13" s="205"/>
      <c r="AB13" s="381"/>
      <c r="AC13" s="205"/>
      <c r="AD13" s="381"/>
      <c r="AE13" s="205"/>
      <c r="AF13" s="381"/>
      <c r="AK13" s="199">
        <f>ENA!AK13</f>
        <v>0</v>
      </c>
      <c r="AM13" s="206"/>
      <c r="AS13" s="199">
        <f>ENA!AS13</f>
        <v>0</v>
      </c>
      <c r="AU13" s="199">
        <f>ENA!AU13</f>
        <v>0</v>
      </c>
      <c r="AW13" s="199">
        <f>ENA!AW13</f>
        <v>0</v>
      </c>
      <c r="AY13" s="206">
        <v>3500000</v>
      </c>
      <c r="BE13" s="199">
        <f t="shared" si="1"/>
        <v>3500000</v>
      </c>
    </row>
    <row r="14" spans="1:65">
      <c r="A14" s="201"/>
      <c r="B14" s="197" t="s">
        <v>252</v>
      </c>
      <c r="C14" s="401"/>
      <c r="D14" s="372"/>
      <c r="E14" s="200">
        <v>0</v>
      </c>
      <c r="F14" s="217"/>
      <c r="G14" s="200">
        <f>ENA!G14</f>
        <v>-5000000</v>
      </c>
      <c r="I14" s="199">
        <f t="shared" si="0"/>
        <v>-5000000</v>
      </c>
      <c r="K14" s="199"/>
      <c r="L14" s="206"/>
      <c r="M14" s="199"/>
      <c r="O14" s="203"/>
      <c r="Q14" s="199"/>
      <c r="S14" s="199"/>
      <c r="U14" s="205"/>
      <c r="V14" s="381"/>
      <c r="W14" s="205"/>
      <c r="X14" s="381"/>
      <c r="Y14" s="205"/>
      <c r="Z14" s="381"/>
      <c r="AA14" s="205"/>
      <c r="AB14" s="381"/>
      <c r="AC14" s="205"/>
      <c r="AD14" s="381"/>
      <c r="AE14" s="205"/>
      <c r="AF14" s="381"/>
      <c r="AK14" s="199">
        <f>ENA!AK14</f>
        <v>0</v>
      </c>
      <c r="AM14" s="206"/>
      <c r="AS14" s="199">
        <f>ENA!AS14</f>
        <v>0</v>
      </c>
      <c r="AU14" s="199">
        <f>ENA!AU14</f>
        <v>0</v>
      </c>
      <c r="AW14" s="199">
        <f>ENA!AW14</f>
        <v>0</v>
      </c>
      <c r="AY14" s="206">
        <f>-3248000</f>
        <v>-3248000</v>
      </c>
      <c r="BE14" s="199">
        <f t="shared" si="1"/>
        <v>-3248000</v>
      </c>
    </row>
    <row r="15" spans="1:65">
      <c r="A15" s="201"/>
      <c r="B15" s="197" t="s">
        <v>512</v>
      </c>
      <c r="C15" s="401" t="s">
        <v>1048</v>
      </c>
      <c r="D15" s="372"/>
      <c r="E15" s="200">
        <v>4408479</v>
      </c>
      <c r="F15" s="217"/>
      <c r="G15" s="200">
        <f>ENA!G15</f>
        <v>4408479</v>
      </c>
      <c r="I15" s="199">
        <f t="shared" si="0"/>
        <v>0</v>
      </c>
      <c r="K15" s="199">
        <v>0</v>
      </c>
      <c r="L15" s="206"/>
      <c r="M15" s="199">
        <v>0</v>
      </c>
      <c r="O15" s="207">
        <v>3055146.4</v>
      </c>
      <c r="Q15" s="199">
        <v>0</v>
      </c>
      <c r="S15" s="199">
        <f>2444117</f>
        <v>2444117</v>
      </c>
      <c r="U15" s="199">
        <v>0</v>
      </c>
      <c r="V15" s="206"/>
      <c r="W15" s="199">
        <v>0</v>
      </c>
      <c r="X15" s="206"/>
      <c r="Y15" s="199">
        <v>-1531631.9</v>
      </c>
      <c r="Z15" s="206"/>
      <c r="AA15" s="199">
        <v>0</v>
      </c>
      <c r="AB15" s="206"/>
      <c r="AC15" s="199">
        <v>0</v>
      </c>
      <c r="AD15" s="206"/>
      <c r="AE15" s="199">
        <v>0</v>
      </c>
      <c r="AF15" s="206"/>
      <c r="AG15" s="199">
        <v>0</v>
      </c>
      <c r="AI15" s="199">
        <v>0</v>
      </c>
      <c r="AK15" s="199">
        <f>ENA!AK15</f>
        <v>4578660.5</v>
      </c>
      <c r="AM15" s="206">
        <v>0</v>
      </c>
      <c r="AO15" s="199">
        <v>0</v>
      </c>
      <c r="AQ15" s="206">
        <v>-170181</v>
      </c>
      <c r="AS15" s="199">
        <f>ENA!AS15</f>
        <v>0</v>
      </c>
      <c r="AU15" s="199">
        <f>ENA!AU15</f>
        <v>0</v>
      </c>
      <c r="AW15" s="199">
        <f>ENA!AW15</f>
        <v>0</v>
      </c>
      <c r="AY15" s="206">
        <v>0</v>
      </c>
      <c r="BA15" s="206">
        <v>0</v>
      </c>
      <c r="BC15" s="206">
        <v>0</v>
      </c>
      <c r="BE15" s="199">
        <f t="shared" si="1"/>
        <v>4408479.5</v>
      </c>
      <c r="BG15" s="199">
        <f t="shared" si="2"/>
        <v>0</v>
      </c>
      <c r="BI15" s="199">
        <f t="shared" si="3"/>
        <v>4408479.5</v>
      </c>
      <c r="BK15" s="199">
        <f t="shared" si="4"/>
        <v>-0.5</v>
      </c>
    </row>
    <row r="16" spans="1:65">
      <c r="A16" s="201"/>
      <c r="B16" s="197" t="s">
        <v>427</v>
      </c>
      <c r="C16" s="400" t="s">
        <v>432</v>
      </c>
      <c r="D16" s="372"/>
      <c r="E16" s="200">
        <v>32172000</v>
      </c>
      <c r="F16" s="217"/>
      <c r="G16" s="200">
        <f>ENA!G16</f>
        <v>32516180</v>
      </c>
      <c r="I16" s="199">
        <f t="shared" si="0"/>
        <v>344180</v>
      </c>
      <c r="K16" s="199">
        <v>0</v>
      </c>
      <c r="L16" s="206"/>
      <c r="M16" s="199">
        <v>0</v>
      </c>
      <c r="O16" s="199">
        <v>0</v>
      </c>
      <c r="Q16" s="203">
        <f>2850000-1200000</f>
        <v>1650000</v>
      </c>
      <c r="S16" s="199">
        <f>500000+2720000-2850000</f>
        <v>370000</v>
      </c>
      <c r="U16" s="208">
        <f>500000+1632000</f>
        <v>2132000</v>
      </c>
      <c r="V16" s="218"/>
      <c r="W16" s="208">
        <f>500000+1632000</f>
        <v>2132000</v>
      </c>
      <c r="X16" s="218"/>
      <c r="Y16" s="208">
        <f>500000+1632000</f>
        <v>2132000</v>
      </c>
      <c r="Z16" s="218"/>
      <c r="AA16" s="208">
        <f>500000+1632000</f>
        <v>2132000</v>
      </c>
      <c r="AB16" s="218"/>
      <c r="AC16" s="208">
        <f>1632000+500000</f>
        <v>2132000</v>
      </c>
      <c r="AD16" s="218"/>
      <c r="AE16" s="208">
        <f>1632000+500000</f>
        <v>2132000</v>
      </c>
      <c r="AF16" s="218"/>
      <c r="AG16" s="199">
        <f>1632000+500000+1632000</f>
        <v>3764000</v>
      </c>
      <c r="AI16" s="199">
        <v>532622</v>
      </c>
      <c r="AK16" s="199">
        <f>ENA!AK16</f>
        <v>20308622</v>
      </c>
      <c r="AM16" s="206">
        <v>0</v>
      </c>
      <c r="AO16" s="199">
        <v>1632000</v>
      </c>
      <c r="AQ16" s="206">
        <v>1632000</v>
      </c>
      <c r="AS16" s="199">
        <f>ENA!AS16</f>
        <v>6800000</v>
      </c>
      <c r="AU16" s="199">
        <f>ENA!AU16</f>
        <v>1360000</v>
      </c>
      <c r="AW16" s="199">
        <f>ENA!AW16</f>
        <v>400000</v>
      </c>
      <c r="AY16" s="206">
        <f>32572000-31816000-316622</f>
        <v>439378</v>
      </c>
      <c r="BA16" s="206">
        <v>0</v>
      </c>
      <c r="BC16" s="206">
        <v>0</v>
      </c>
      <c r="BD16" s="206">
        <v>0</v>
      </c>
      <c r="BE16" s="199">
        <f t="shared" si="1"/>
        <v>32572000</v>
      </c>
      <c r="BG16" s="199">
        <f t="shared" si="2"/>
        <v>0</v>
      </c>
      <c r="BI16" s="199">
        <f t="shared" si="3"/>
        <v>32572000</v>
      </c>
      <c r="BK16" s="199">
        <f t="shared" si="4"/>
        <v>-400000</v>
      </c>
    </row>
    <row r="17" spans="1:63">
      <c r="A17" s="201"/>
      <c r="B17" s="197" t="s">
        <v>428</v>
      </c>
      <c r="C17" s="400" t="s">
        <v>432</v>
      </c>
      <c r="D17" s="372"/>
      <c r="E17" s="200">
        <v>896000</v>
      </c>
      <c r="F17" s="217"/>
      <c r="G17" s="200">
        <f>ENA!G17</f>
        <v>896000</v>
      </c>
      <c r="I17" s="199">
        <f t="shared" si="0"/>
        <v>0</v>
      </c>
      <c r="K17" s="199"/>
      <c r="L17" s="206"/>
      <c r="M17" s="199"/>
      <c r="O17" s="199"/>
      <c r="Q17" s="199"/>
      <c r="S17" s="199">
        <v>0</v>
      </c>
      <c r="U17" s="199"/>
      <c r="V17" s="206"/>
      <c r="W17" s="199"/>
      <c r="X17" s="206"/>
      <c r="Y17" s="199"/>
      <c r="Z17" s="206"/>
      <c r="AA17" s="199"/>
      <c r="AB17" s="206"/>
      <c r="AC17" s="199"/>
      <c r="AD17" s="206"/>
      <c r="AE17" s="199"/>
      <c r="AF17" s="206"/>
      <c r="AK17" s="199">
        <f>ENA!AK17</f>
        <v>0</v>
      </c>
      <c r="AM17" s="206"/>
      <c r="AO17" s="199">
        <v>0</v>
      </c>
      <c r="AQ17" s="206">
        <v>0</v>
      </c>
      <c r="AS17" s="199">
        <f>ENA!AS17</f>
        <v>0</v>
      </c>
      <c r="AU17" s="199">
        <f>ENA!AU17</f>
        <v>0</v>
      </c>
      <c r="AW17" s="199">
        <f>ENA!AW17</f>
        <v>0</v>
      </c>
      <c r="AY17" s="206">
        <f>896000/3</f>
        <v>298666.66666666669</v>
      </c>
      <c r="BA17" s="206">
        <f>896000/3</f>
        <v>298666.66666666669</v>
      </c>
      <c r="BC17" s="206">
        <f>896000/3</f>
        <v>298666.66666666669</v>
      </c>
      <c r="BD17" s="206">
        <v>0</v>
      </c>
      <c r="BE17" s="199">
        <f>SUM(AK17:BC17)</f>
        <v>896000</v>
      </c>
      <c r="BG17" s="199">
        <f t="shared" si="2"/>
        <v>0</v>
      </c>
      <c r="BI17" s="199">
        <f t="shared" si="3"/>
        <v>896000</v>
      </c>
      <c r="BK17" s="199">
        <f t="shared" si="4"/>
        <v>0</v>
      </c>
    </row>
    <row r="18" spans="1:63">
      <c r="A18" s="201"/>
      <c r="B18" s="197" t="s">
        <v>429</v>
      </c>
      <c r="C18" s="400" t="s">
        <v>432</v>
      </c>
      <c r="D18" s="372"/>
      <c r="E18" s="200">
        <v>0</v>
      </c>
      <c r="F18" s="217"/>
      <c r="G18" s="200">
        <f>ENA!G18</f>
        <v>0</v>
      </c>
      <c r="I18" s="199">
        <f t="shared" si="0"/>
        <v>0</v>
      </c>
      <c r="K18" s="199">
        <v>0</v>
      </c>
      <c r="L18" s="206"/>
      <c r="M18" s="199">
        <v>0</v>
      </c>
      <c r="O18" s="199">
        <v>0</v>
      </c>
      <c r="Q18" s="199">
        <v>0</v>
      </c>
      <c r="S18" s="199">
        <v>0</v>
      </c>
      <c r="U18" s="199">
        <v>0</v>
      </c>
      <c r="V18" s="206"/>
      <c r="W18" s="199">
        <v>0</v>
      </c>
      <c r="X18" s="206"/>
      <c r="Y18" s="199">
        <v>0</v>
      </c>
      <c r="Z18" s="206"/>
      <c r="AA18" s="199">
        <v>0</v>
      </c>
      <c r="AB18" s="206"/>
      <c r="AC18" s="199">
        <v>0</v>
      </c>
      <c r="AD18" s="206"/>
      <c r="AE18" s="199">
        <v>0</v>
      </c>
      <c r="AF18" s="206"/>
      <c r="AG18" s="199">
        <v>0</v>
      </c>
      <c r="AI18" s="199">
        <v>0</v>
      </c>
      <c r="AK18" s="199">
        <f>ENA!AK18</f>
        <v>0</v>
      </c>
      <c r="AM18" s="206">
        <v>0</v>
      </c>
      <c r="AO18" s="199">
        <v>0</v>
      </c>
      <c r="AQ18" s="206">
        <v>0</v>
      </c>
      <c r="AS18" s="199">
        <f>ENA!AS18</f>
        <v>0</v>
      </c>
      <c r="AU18" s="199">
        <f>ENA!AU18</f>
        <v>0</v>
      </c>
      <c r="AW18" s="199">
        <f>ENA!AW18</f>
        <v>0</v>
      </c>
      <c r="AY18" s="206">
        <v>0</v>
      </c>
      <c r="BA18" s="206">
        <v>0</v>
      </c>
      <c r="BC18" s="206">
        <v>0</v>
      </c>
      <c r="BE18" s="199">
        <f t="shared" si="1"/>
        <v>0</v>
      </c>
      <c r="BG18" s="199">
        <f t="shared" si="2"/>
        <v>0</v>
      </c>
      <c r="BI18" s="199">
        <f t="shared" si="3"/>
        <v>0</v>
      </c>
      <c r="BK18" s="199">
        <f t="shared" si="4"/>
        <v>0</v>
      </c>
    </row>
    <row r="19" spans="1:63">
      <c r="A19" s="201"/>
      <c r="B19" s="197" t="s">
        <v>6</v>
      </c>
      <c r="C19" s="400"/>
      <c r="D19" s="372"/>
      <c r="E19" s="200">
        <v>345000</v>
      </c>
      <c r="F19" s="217"/>
      <c r="G19" s="200">
        <f>ENA!G19</f>
        <v>0</v>
      </c>
      <c r="I19" s="199">
        <f t="shared" si="0"/>
        <v>-345000</v>
      </c>
      <c r="K19" s="199"/>
      <c r="L19" s="206"/>
      <c r="M19" s="199"/>
      <c r="O19" s="199"/>
      <c r="Q19" s="199"/>
      <c r="S19" s="199"/>
      <c r="U19" s="199"/>
      <c r="V19" s="206"/>
      <c r="W19" s="199"/>
      <c r="X19" s="206"/>
      <c r="Y19" s="199"/>
      <c r="Z19" s="206"/>
      <c r="AA19" s="199"/>
      <c r="AB19" s="206"/>
      <c r="AC19" s="199"/>
      <c r="AD19" s="206"/>
      <c r="AE19" s="199"/>
      <c r="AF19" s="206"/>
      <c r="AK19" s="199">
        <f>ENA!AK19</f>
        <v>0</v>
      </c>
      <c r="AM19" s="206"/>
      <c r="AS19" s="199">
        <f>ENA!AS19</f>
        <v>0</v>
      </c>
      <c r="AU19" s="199">
        <f>ENA!AU19</f>
        <v>0</v>
      </c>
      <c r="AW19" s="199">
        <f>ENA!AW19</f>
        <v>0</v>
      </c>
      <c r="BK19" s="199">
        <f t="shared" si="4"/>
        <v>345000</v>
      </c>
    </row>
    <row r="20" spans="1:63">
      <c r="A20" s="201"/>
      <c r="B20" s="197" t="s">
        <v>537</v>
      </c>
      <c r="C20" s="372"/>
      <c r="D20" s="372"/>
      <c r="E20" s="200">
        <v>500000</v>
      </c>
      <c r="F20" s="217"/>
      <c r="G20" s="200">
        <f>ENA!G20</f>
        <v>506020</v>
      </c>
      <c r="I20" s="199">
        <f t="shared" si="0"/>
        <v>6020</v>
      </c>
      <c r="K20" s="199">
        <v>0</v>
      </c>
      <c r="L20" s="206"/>
      <c r="M20" s="199">
        <v>0</v>
      </c>
      <c r="O20" s="203"/>
      <c r="Q20" s="199">
        <v>0</v>
      </c>
      <c r="S20" s="199"/>
      <c r="U20" s="199">
        <v>0</v>
      </c>
      <c r="V20" s="206"/>
      <c r="W20" s="199">
        <v>0</v>
      </c>
      <c r="X20" s="206"/>
      <c r="Y20" s="199">
        <v>0</v>
      </c>
      <c r="Z20" s="206"/>
      <c r="AA20" s="199"/>
      <c r="AB20" s="206"/>
      <c r="AC20" s="199">
        <v>10132</v>
      </c>
      <c r="AD20" s="206"/>
      <c r="AE20" s="199">
        <v>52750</v>
      </c>
      <c r="AF20" s="206"/>
      <c r="AG20" s="199">
        <v>34278</v>
      </c>
      <c r="AI20" s="199">
        <v>21750.25</v>
      </c>
      <c r="AK20" s="199">
        <f>ENA!AK20</f>
        <v>118910.25</v>
      </c>
      <c r="AM20" s="206">
        <v>0</v>
      </c>
      <c r="AO20" s="199">
        <v>20421.09</v>
      </c>
      <c r="AQ20" s="206">
        <v>22912.59</v>
      </c>
      <c r="AS20" s="199">
        <f>ENA!AS20</f>
        <v>41788.379999999997</v>
      </c>
      <c r="AU20" s="199">
        <f>ENA!AU20</f>
        <v>55874.52</v>
      </c>
      <c r="AW20" s="199">
        <f>ENA!AW20</f>
        <v>41048.949999999997</v>
      </c>
      <c r="AY20" s="206">
        <v>205064</v>
      </c>
      <c r="BA20" s="206">
        <v>0</v>
      </c>
      <c r="BC20" s="206">
        <v>0</v>
      </c>
      <c r="BE20" s="199">
        <f>SUM(AK20:BA20)</f>
        <v>506019.77999999997</v>
      </c>
      <c r="BG20" s="199">
        <f>+MAX(0,G20-BE20+AM20)</f>
        <v>0.22000000003026798</v>
      </c>
      <c r="BI20" s="199">
        <f>SUM(BE20:BG20)</f>
        <v>506020</v>
      </c>
      <c r="BK20" s="199">
        <f t="shared" si="4"/>
        <v>-6020</v>
      </c>
    </row>
    <row r="21" spans="1:63">
      <c r="A21" s="201"/>
      <c r="B21" s="197"/>
      <c r="C21" s="372"/>
      <c r="D21" s="372"/>
      <c r="E21" s="206"/>
      <c r="G21" s="206"/>
      <c r="I21" s="206"/>
      <c r="K21" s="206"/>
      <c r="L21" s="206"/>
      <c r="M21" s="206"/>
      <c r="O21" s="206"/>
      <c r="Q21" s="206"/>
      <c r="S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I21" s="206"/>
      <c r="AK21" s="206"/>
      <c r="AM21" s="206"/>
      <c r="AO21" s="206"/>
      <c r="BE21" s="199">
        <f>SUM(AK21:BA21)</f>
        <v>0</v>
      </c>
      <c r="BG21" s="206"/>
      <c r="BI21" s="206"/>
    </row>
    <row r="22" spans="1:63">
      <c r="A22" s="201"/>
      <c r="B22" s="197" t="s">
        <v>433</v>
      </c>
      <c r="C22" s="372"/>
      <c r="D22" s="372"/>
      <c r="E22" s="209">
        <f>SUM(E9:E21)</f>
        <v>80147629.829999998</v>
      </c>
      <c r="G22" s="209">
        <f>SUM(G9:G20)</f>
        <v>85572824.629999995</v>
      </c>
      <c r="I22" s="209">
        <f>SUM(I9:I21)</f>
        <v>5425194.8000000007</v>
      </c>
      <c r="K22" s="209">
        <f>SUM(K9:K21)</f>
        <v>21150000</v>
      </c>
      <c r="L22" s="206"/>
      <c r="M22" s="209">
        <f>SUM(M9:M21)</f>
        <v>4263906.4800000004</v>
      </c>
      <c r="O22" s="209">
        <f>SUM(O9:O21)</f>
        <v>3055146.4</v>
      </c>
      <c r="Q22" s="209">
        <f>SUM(Q9:Q21)</f>
        <v>1650000</v>
      </c>
      <c r="S22" s="209">
        <f>SUM(S9:S21)</f>
        <v>2814117</v>
      </c>
      <c r="U22" s="209">
        <f>SUM(U9:U21)</f>
        <v>4389866.41</v>
      </c>
      <c r="V22" s="206"/>
      <c r="W22" s="209">
        <f>SUM(W9:W21)</f>
        <v>2662213.1399999997</v>
      </c>
      <c r="X22" s="206"/>
      <c r="Y22" s="209">
        <f>SUM(Y9:Y21)</f>
        <v>167441.37000000011</v>
      </c>
      <c r="Z22" s="206"/>
      <c r="AA22" s="209">
        <f>SUM(AA9:AA21)</f>
        <v>3251216.99</v>
      </c>
      <c r="AB22" s="206"/>
      <c r="AC22" s="209">
        <f>SUM(AC9:AC21)</f>
        <v>3049213.96</v>
      </c>
      <c r="AD22" s="206"/>
      <c r="AE22" s="209">
        <f>SUM(AE9:AE21)</f>
        <v>5927496.9900000002</v>
      </c>
      <c r="AF22" s="206"/>
      <c r="AG22" s="209">
        <f>SUM(AG9:AG21)</f>
        <v>5437346</v>
      </c>
      <c r="AI22" s="209">
        <f>SUM(AI9:AI21)</f>
        <v>3562993.54</v>
      </c>
      <c r="AK22" s="209">
        <f>SUM(AK9:AK21)</f>
        <v>62038614.480000004</v>
      </c>
      <c r="AM22" s="206">
        <f>SUM(AM9:AM21)</f>
        <v>0</v>
      </c>
      <c r="AO22" s="209">
        <f>SUM(AO9:AO21)</f>
        <v>3791912.0899999994</v>
      </c>
      <c r="AQ22" s="209">
        <f>SUM(AQ9:AQ21)</f>
        <v>2831574.4799999995</v>
      </c>
      <c r="AS22" s="209">
        <f>SUM(AS9:AS21)</f>
        <v>8834136.8800000008</v>
      </c>
      <c r="AU22" s="209">
        <f>SUM(AU9:AU21)</f>
        <v>1483779.08</v>
      </c>
      <c r="AW22" s="209">
        <f>SUM(AW9:AW21)</f>
        <v>1674319.82</v>
      </c>
      <c r="AY22" s="209">
        <f>SUM(AY9:AY21)</f>
        <v>2481901.6666666665</v>
      </c>
      <c r="BA22" s="209">
        <f>SUM(BA9:BA21)</f>
        <v>623666.66666666674</v>
      </c>
      <c r="BC22" s="209">
        <f>SUM(BC9:BC21)</f>
        <v>298666.66666666669</v>
      </c>
      <c r="BD22" s="206">
        <f>SUM(BD9:BD21)</f>
        <v>0</v>
      </c>
      <c r="BE22" s="209">
        <f>SUM(BE9:BE21)</f>
        <v>84058571.830000013</v>
      </c>
      <c r="BG22" s="209">
        <f>SUM(BG9:BG21)</f>
        <v>0.22000000003026798</v>
      </c>
      <c r="BI22" s="209">
        <f>SUM(BI9:BI21)</f>
        <v>83806572.050000012</v>
      </c>
      <c r="BK22" s="209">
        <f>SUM(BK9:BK21)</f>
        <v>-3658942.2200000025</v>
      </c>
    </row>
    <row r="24" spans="1:63">
      <c r="A24" s="201"/>
      <c r="B24" s="197" t="s">
        <v>244</v>
      </c>
      <c r="C24" s="372"/>
      <c r="D24" s="372"/>
      <c r="E24" s="199">
        <v>173702</v>
      </c>
      <c r="G24" s="199">
        <v>173702</v>
      </c>
      <c r="I24" s="199">
        <f>+G24-E24</f>
        <v>0</v>
      </c>
      <c r="K24" s="199">
        <v>0</v>
      </c>
      <c r="L24" s="206"/>
      <c r="M24" s="199">
        <v>0</v>
      </c>
      <c r="O24" s="199">
        <v>0</v>
      </c>
      <c r="Q24" s="199">
        <v>0</v>
      </c>
      <c r="S24" s="199">
        <v>0</v>
      </c>
      <c r="U24" s="199">
        <v>0</v>
      </c>
      <c r="V24" s="206"/>
      <c r="W24" s="199">
        <v>0</v>
      </c>
      <c r="X24" s="206"/>
      <c r="Y24" s="199">
        <v>0</v>
      </c>
      <c r="Z24" s="206"/>
      <c r="AA24" s="199">
        <v>0</v>
      </c>
      <c r="AB24" s="206"/>
      <c r="AC24" s="199">
        <v>0</v>
      </c>
      <c r="AD24" s="206"/>
      <c r="AE24" s="199">
        <v>0</v>
      </c>
      <c r="AF24" s="206"/>
      <c r="AG24" s="199">
        <v>165430</v>
      </c>
      <c r="AI24" s="199">
        <v>0</v>
      </c>
      <c r="AK24" s="199">
        <f t="shared" ref="AK24:AK32" si="5">SUM(K24:AJ24)</f>
        <v>165430</v>
      </c>
      <c r="AM24" s="206">
        <v>0</v>
      </c>
      <c r="AO24" s="199">
        <v>0</v>
      </c>
      <c r="AQ24" s="206">
        <v>0</v>
      </c>
      <c r="AS24" s="206">
        <v>0</v>
      </c>
      <c r="AU24" s="206">
        <v>0</v>
      </c>
      <c r="AW24" s="206">
        <f>8272</f>
        <v>8272</v>
      </c>
      <c r="AY24" s="206">
        <v>0</v>
      </c>
      <c r="BA24" s="206">
        <v>0</v>
      </c>
      <c r="BC24" s="206">
        <v>0</v>
      </c>
      <c r="BD24" s="206">
        <v>0</v>
      </c>
      <c r="BE24" s="199">
        <f>SUM(AK24:BA24)</f>
        <v>173702</v>
      </c>
      <c r="BG24" s="199">
        <f>+MAX(0,G24-BE24+AM24)</f>
        <v>0</v>
      </c>
      <c r="BI24" s="199">
        <f>SUM(BE24:BG24)</f>
        <v>173702</v>
      </c>
      <c r="BK24" s="199">
        <f t="shared" ref="BK24:BK32" si="6">+G24-BI24</f>
        <v>0</v>
      </c>
    </row>
    <row r="25" spans="1:63">
      <c r="A25" s="201"/>
      <c r="B25" s="197" t="s">
        <v>245</v>
      </c>
      <c r="C25" s="372"/>
      <c r="D25" s="372"/>
      <c r="E25" s="199">
        <v>79124</v>
      </c>
      <c r="G25" s="199">
        <v>79124</v>
      </c>
      <c r="I25" s="199">
        <f>+G25-E25</f>
        <v>0</v>
      </c>
      <c r="K25" s="199">
        <v>0</v>
      </c>
      <c r="L25" s="206"/>
      <c r="M25" s="199">
        <v>0</v>
      </c>
      <c r="O25" s="199">
        <v>0</v>
      </c>
      <c r="Q25" s="199">
        <v>0</v>
      </c>
      <c r="S25" s="199">
        <v>0</v>
      </c>
      <c r="U25" s="199">
        <v>0</v>
      </c>
      <c r="V25" s="206"/>
      <c r="W25" s="199">
        <v>0</v>
      </c>
      <c r="X25" s="206"/>
      <c r="Y25" s="199">
        <v>0</v>
      </c>
      <c r="Z25" s="206"/>
      <c r="AA25" s="199">
        <v>0</v>
      </c>
      <c r="AB25" s="206"/>
      <c r="AC25" s="199">
        <v>0</v>
      </c>
      <c r="AD25" s="206"/>
      <c r="AE25" s="199">
        <v>0</v>
      </c>
      <c r="AF25" s="206"/>
      <c r="AG25" s="199">
        <v>75356</v>
      </c>
      <c r="AI25" s="199">
        <v>0</v>
      </c>
      <c r="AK25" s="199">
        <f t="shared" si="5"/>
        <v>75356</v>
      </c>
      <c r="AM25" s="206">
        <v>0</v>
      </c>
      <c r="AO25" s="199">
        <v>0</v>
      </c>
      <c r="AQ25" s="206">
        <v>0</v>
      </c>
      <c r="AS25" s="206">
        <v>0</v>
      </c>
      <c r="AU25" s="206">
        <v>0</v>
      </c>
      <c r="AW25" s="206">
        <v>3768</v>
      </c>
      <c r="AY25" s="206">
        <v>0</v>
      </c>
      <c r="BA25" s="206">
        <v>0</v>
      </c>
      <c r="BC25" s="206">
        <v>0</v>
      </c>
      <c r="BD25" s="206">
        <v>0</v>
      </c>
      <c r="BE25" s="199">
        <f>SUM(AK25:BA25)</f>
        <v>79124</v>
      </c>
      <c r="BG25" s="199">
        <f>+MAX(0,G25-BE25+AM25)</f>
        <v>0</v>
      </c>
      <c r="BI25" s="199">
        <f>SUM(BE25:BG25)</f>
        <v>79124</v>
      </c>
      <c r="BK25" s="351">
        <f t="shared" si="6"/>
        <v>0</v>
      </c>
    </row>
    <row r="26" spans="1:63" hidden="1">
      <c r="A26" s="201"/>
      <c r="B26" s="197" t="s">
        <v>246</v>
      </c>
      <c r="C26" s="372"/>
      <c r="D26" s="372"/>
      <c r="E26" s="199">
        <v>0</v>
      </c>
      <c r="G26" s="199">
        <f t="shared" ref="G26:G32" si="7">+E26+I26</f>
        <v>0</v>
      </c>
      <c r="I26" s="199">
        <v>0</v>
      </c>
      <c r="K26" s="199">
        <v>0</v>
      </c>
      <c r="L26" s="206"/>
      <c r="M26" s="199">
        <v>0</v>
      </c>
      <c r="O26" s="199">
        <v>0</v>
      </c>
      <c r="Q26" s="199">
        <v>0</v>
      </c>
      <c r="S26" s="199">
        <v>0</v>
      </c>
      <c r="U26" s="199">
        <v>0</v>
      </c>
      <c r="V26" s="206"/>
      <c r="W26" s="199">
        <v>0</v>
      </c>
      <c r="X26" s="206"/>
      <c r="Y26" s="199">
        <v>0</v>
      </c>
      <c r="Z26" s="206"/>
      <c r="AA26" s="199">
        <v>0</v>
      </c>
      <c r="AB26" s="206"/>
      <c r="AC26" s="199">
        <v>0</v>
      </c>
      <c r="AD26" s="206"/>
      <c r="AF26" s="206"/>
      <c r="AK26" s="199">
        <f t="shared" si="5"/>
        <v>0</v>
      </c>
      <c r="AM26" s="206">
        <v>0</v>
      </c>
      <c r="BE26" s="199">
        <f t="shared" ref="BE26:BE32" si="8">SUM(AC26:BD26)</f>
        <v>0</v>
      </c>
      <c r="BG26" s="199">
        <f t="shared" ref="BG26:BG33" si="9">G26-BE26</f>
        <v>0</v>
      </c>
      <c r="BI26" s="199">
        <f t="shared" ref="BI26:BI32" si="10">+AK26+BG26</f>
        <v>0</v>
      </c>
      <c r="BK26" s="351">
        <f t="shared" si="6"/>
        <v>0</v>
      </c>
    </row>
    <row r="27" spans="1:63" hidden="1">
      <c r="A27" s="201"/>
      <c r="B27" s="197" t="s">
        <v>247</v>
      </c>
      <c r="C27" s="372"/>
      <c r="D27" s="372"/>
      <c r="E27" s="199">
        <v>0</v>
      </c>
      <c r="G27" s="199">
        <f t="shared" si="7"/>
        <v>0</v>
      </c>
      <c r="I27" s="199">
        <v>0</v>
      </c>
      <c r="K27" s="199">
        <v>0</v>
      </c>
      <c r="L27" s="206"/>
      <c r="M27" s="199">
        <v>0</v>
      </c>
      <c r="O27" s="199">
        <v>0</v>
      </c>
      <c r="Q27" s="199">
        <v>0</v>
      </c>
      <c r="S27" s="199">
        <v>0</v>
      </c>
      <c r="U27" s="199">
        <v>0</v>
      </c>
      <c r="V27" s="206"/>
      <c r="W27" s="199">
        <v>0</v>
      </c>
      <c r="X27" s="206"/>
      <c r="Y27" s="199">
        <v>0</v>
      </c>
      <c r="Z27" s="206"/>
      <c r="AA27" s="199">
        <v>0</v>
      </c>
      <c r="AB27" s="206"/>
      <c r="AC27" s="199">
        <v>0</v>
      </c>
      <c r="AD27" s="206"/>
      <c r="AE27" s="199">
        <v>0</v>
      </c>
      <c r="AF27" s="206"/>
      <c r="AG27" s="199">
        <v>0</v>
      </c>
      <c r="AI27" s="199">
        <v>0</v>
      </c>
      <c r="AK27" s="199">
        <f t="shared" si="5"/>
        <v>0</v>
      </c>
      <c r="AM27" s="206">
        <v>0</v>
      </c>
      <c r="AO27" s="199">
        <v>0</v>
      </c>
      <c r="AQ27" s="206">
        <v>0</v>
      </c>
      <c r="AS27" s="206">
        <v>0</v>
      </c>
      <c r="AU27" s="206">
        <v>0</v>
      </c>
      <c r="AW27" s="206">
        <v>0</v>
      </c>
      <c r="AY27" s="206">
        <v>0</v>
      </c>
      <c r="BA27" s="206">
        <v>0</v>
      </c>
      <c r="BC27" s="206">
        <v>0</v>
      </c>
      <c r="BD27" s="206">
        <v>0</v>
      </c>
      <c r="BE27" s="199">
        <f t="shared" si="8"/>
        <v>0</v>
      </c>
      <c r="BG27" s="199">
        <f t="shared" si="9"/>
        <v>0</v>
      </c>
      <c r="BI27" s="199">
        <f t="shared" si="10"/>
        <v>0</v>
      </c>
      <c r="BK27" s="199">
        <f t="shared" si="6"/>
        <v>0</v>
      </c>
    </row>
    <row r="28" spans="1:63" hidden="1">
      <c r="A28" s="201"/>
      <c r="B28" s="197" t="s">
        <v>248</v>
      </c>
      <c r="C28" s="372"/>
      <c r="D28" s="372"/>
      <c r="E28" s="199">
        <v>0</v>
      </c>
      <c r="G28" s="199">
        <f t="shared" si="7"/>
        <v>0</v>
      </c>
      <c r="I28" s="199">
        <v>0</v>
      </c>
      <c r="K28" s="199">
        <v>0</v>
      </c>
      <c r="L28" s="206"/>
      <c r="M28" s="199">
        <v>0</v>
      </c>
      <c r="O28" s="199">
        <v>0</v>
      </c>
      <c r="Q28" s="199">
        <v>0</v>
      </c>
      <c r="S28" s="199">
        <v>0</v>
      </c>
      <c r="U28" s="199">
        <v>0</v>
      </c>
      <c r="V28" s="206"/>
      <c r="W28" s="199">
        <v>0</v>
      </c>
      <c r="X28" s="206"/>
      <c r="Y28" s="199">
        <v>0</v>
      </c>
      <c r="Z28" s="206"/>
      <c r="AA28" s="199">
        <v>0</v>
      </c>
      <c r="AB28" s="206"/>
      <c r="AC28" s="199">
        <v>0</v>
      </c>
      <c r="AD28" s="206"/>
      <c r="AE28" s="199">
        <v>0</v>
      </c>
      <c r="AF28" s="206"/>
      <c r="AG28" s="199">
        <v>0</v>
      </c>
      <c r="AI28" s="199">
        <v>0</v>
      </c>
      <c r="AK28" s="199">
        <f t="shared" si="5"/>
        <v>0</v>
      </c>
      <c r="AM28" s="206">
        <v>0</v>
      </c>
      <c r="AO28" s="199">
        <v>0</v>
      </c>
      <c r="AQ28" s="206">
        <v>0</v>
      </c>
      <c r="AS28" s="206">
        <v>0</v>
      </c>
      <c r="AU28" s="206">
        <v>0</v>
      </c>
      <c r="AW28" s="206">
        <v>0</v>
      </c>
      <c r="AY28" s="206">
        <v>0</v>
      </c>
      <c r="BA28" s="206">
        <v>0</v>
      </c>
      <c r="BC28" s="206">
        <v>0</v>
      </c>
      <c r="BD28" s="206">
        <v>0</v>
      </c>
      <c r="BE28" s="199">
        <f t="shared" si="8"/>
        <v>0</v>
      </c>
      <c r="BG28" s="199">
        <f t="shared" si="9"/>
        <v>0</v>
      </c>
      <c r="BI28" s="199">
        <f t="shared" si="10"/>
        <v>0</v>
      </c>
      <c r="BK28" s="199">
        <f t="shared" si="6"/>
        <v>0</v>
      </c>
    </row>
    <row r="29" spans="1:63" hidden="1">
      <c r="A29" s="201"/>
      <c r="B29" s="197" t="s">
        <v>249</v>
      </c>
      <c r="C29" s="372"/>
      <c r="D29" s="372"/>
      <c r="E29" s="199">
        <v>0</v>
      </c>
      <c r="G29" s="199">
        <f t="shared" si="7"/>
        <v>0</v>
      </c>
      <c r="I29" s="199">
        <v>0</v>
      </c>
      <c r="K29" s="199">
        <v>0</v>
      </c>
      <c r="L29" s="206"/>
      <c r="M29" s="199">
        <v>0</v>
      </c>
      <c r="O29" s="199">
        <v>0</v>
      </c>
      <c r="Q29" s="199">
        <v>0</v>
      </c>
      <c r="S29" s="199">
        <v>0</v>
      </c>
      <c r="U29" s="199">
        <v>0</v>
      </c>
      <c r="V29" s="206"/>
      <c r="W29" s="199">
        <v>0</v>
      </c>
      <c r="X29" s="206"/>
      <c r="Y29" s="199">
        <v>0</v>
      </c>
      <c r="Z29" s="206"/>
      <c r="AA29" s="199">
        <v>0</v>
      </c>
      <c r="AB29" s="206"/>
      <c r="AC29" s="199">
        <v>0</v>
      </c>
      <c r="AD29" s="206"/>
      <c r="AE29" s="199">
        <v>0</v>
      </c>
      <c r="AF29" s="206"/>
      <c r="AG29" s="199">
        <v>0</v>
      </c>
      <c r="AI29" s="199">
        <v>0</v>
      </c>
      <c r="AK29" s="199">
        <f t="shared" si="5"/>
        <v>0</v>
      </c>
      <c r="AM29" s="206">
        <v>0</v>
      </c>
      <c r="AO29" s="199">
        <v>0</v>
      </c>
      <c r="AQ29" s="206">
        <v>0</v>
      </c>
      <c r="AS29" s="206">
        <v>0</v>
      </c>
      <c r="AU29" s="206">
        <v>0</v>
      </c>
      <c r="AW29" s="206">
        <v>0</v>
      </c>
      <c r="AY29" s="206">
        <v>0</v>
      </c>
      <c r="BA29" s="206">
        <v>0</v>
      </c>
      <c r="BC29" s="206">
        <v>0</v>
      </c>
      <c r="BD29" s="206">
        <v>0</v>
      </c>
      <c r="BE29" s="199">
        <f t="shared" si="8"/>
        <v>0</v>
      </c>
      <c r="BG29" s="199">
        <f t="shared" si="9"/>
        <v>0</v>
      </c>
      <c r="BI29" s="199">
        <f t="shared" si="10"/>
        <v>0</v>
      </c>
      <c r="BK29" s="199">
        <f t="shared" si="6"/>
        <v>0</v>
      </c>
    </row>
    <row r="30" spans="1:63" hidden="1">
      <c r="A30" s="201"/>
      <c r="B30" s="197" t="s">
        <v>250</v>
      </c>
      <c r="C30" s="372"/>
      <c r="D30" s="372"/>
      <c r="E30" s="199">
        <v>0</v>
      </c>
      <c r="G30" s="199">
        <f t="shared" si="7"/>
        <v>0</v>
      </c>
      <c r="I30" s="199">
        <v>0</v>
      </c>
      <c r="K30" s="199">
        <v>0</v>
      </c>
      <c r="L30" s="206"/>
      <c r="M30" s="199">
        <v>0</v>
      </c>
      <c r="O30" s="199">
        <v>0</v>
      </c>
      <c r="Q30" s="199">
        <v>0</v>
      </c>
      <c r="S30" s="199">
        <v>0</v>
      </c>
      <c r="U30" s="199">
        <v>0</v>
      </c>
      <c r="V30" s="206"/>
      <c r="W30" s="199">
        <v>0</v>
      </c>
      <c r="X30" s="206"/>
      <c r="Y30" s="199">
        <v>0</v>
      </c>
      <c r="Z30" s="206"/>
      <c r="AA30" s="199">
        <v>0</v>
      </c>
      <c r="AB30" s="206"/>
      <c r="AC30" s="199">
        <v>0</v>
      </c>
      <c r="AD30" s="206"/>
      <c r="AE30" s="199">
        <v>0</v>
      </c>
      <c r="AF30" s="206"/>
      <c r="AG30" s="199">
        <v>0</v>
      </c>
      <c r="AI30" s="199">
        <v>0</v>
      </c>
      <c r="AK30" s="199">
        <f t="shared" si="5"/>
        <v>0</v>
      </c>
      <c r="AM30" s="206">
        <v>0</v>
      </c>
      <c r="AO30" s="199">
        <v>0</v>
      </c>
      <c r="AQ30" s="206">
        <v>0</v>
      </c>
      <c r="AS30" s="206">
        <v>0</v>
      </c>
      <c r="AU30" s="206">
        <v>0</v>
      </c>
      <c r="AW30" s="206">
        <v>0</v>
      </c>
      <c r="AY30" s="206">
        <v>0</v>
      </c>
      <c r="BA30" s="206">
        <v>0</v>
      </c>
      <c r="BC30" s="206">
        <v>0</v>
      </c>
      <c r="BD30" s="206">
        <v>0</v>
      </c>
      <c r="BE30" s="199">
        <f t="shared" si="8"/>
        <v>0</v>
      </c>
      <c r="BG30" s="199">
        <f t="shared" si="9"/>
        <v>0</v>
      </c>
      <c r="BI30" s="199">
        <f t="shared" si="10"/>
        <v>0</v>
      </c>
      <c r="BK30" s="199">
        <f t="shared" si="6"/>
        <v>0</v>
      </c>
    </row>
    <row r="31" spans="1:63" hidden="1">
      <c r="A31" s="201"/>
      <c r="B31" s="197" t="s">
        <v>254</v>
      </c>
      <c r="C31" s="402"/>
      <c r="D31" s="402"/>
      <c r="E31" s="206">
        <v>0</v>
      </c>
      <c r="G31" s="199">
        <f t="shared" si="7"/>
        <v>0</v>
      </c>
      <c r="I31" s="206">
        <v>0</v>
      </c>
      <c r="K31" s="206">
        <v>0</v>
      </c>
      <c r="L31" s="206"/>
      <c r="M31" s="206">
        <v>0</v>
      </c>
      <c r="O31" s="206">
        <v>0</v>
      </c>
      <c r="Q31" s="206">
        <v>0</v>
      </c>
      <c r="S31" s="206">
        <v>0</v>
      </c>
      <c r="U31" s="206">
        <v>0</v>
      </c>
      <c r="V31" s="206"/>
      <c r="W31" s="206">
        <v>0</v>
      </c>
      <c r="X31" s="206"/>
      <c r="Y31" s="206">
        <v>0</v>
      </c>
      <c r="Z31" s="206"/>
      <c r="AA31" s="206">
        <v>0</v>
      </c>
      <c r="AB31" s="206"/>
      <c r="AC31" s="206">
        <v>0</v>
      </c>
      <c r="AD31" s="206"/>
      <c r="AE31" s="206">
        <v>0</v>
      </c>
      <c r="AF31" s="206"/>
      <c r="AG31" s="206">
        <v>0</v>
      </c>
      <c r="AI31" s="206">
        <v>0</v>
      </c>
      <c r="AK31" s="206">
        <f t="shared" si="5"/>
        <v>0</v>
      </c>
      <c r="AM31" s="206">
        <v>0</v>
      </c>
      <c r="AO31" s="206">
        <v>0</v>
      </c>
      <c r="AQ31" s="206">
        <v>0</v>
      </c>
      <c r="AS31" s="206">
        <v>0</v>
      </c>
      <c r="AU31" s="206">
        <v>0</v>
      </c>
      <c r="AW31" s="206">
        <v>0</v>
      </c>
      <c r="AY31" s="206">
        <v>0</v>
      </c>
      <c r="BA31" s="206">
        <v>0</v>
      </c>
      <c r="BC31" s="206">
        <v>0</v>
      </c>
      <c r="BD31" s="206">
        <v>0</v>
      </c>
      <c r="BE31" s="206">
        <f t="shared" si="8"/>
        <v>0</v>
      </c>
      <c r="BG31" s="199">
        <f t="shared" si="9"/>
        <v>0</v>
      </c>
      <c r="BI31" s="199">
        <f t="shared" si="10"/>
        <v>0</v>
      </c>
      <c r="BK31" s="199">
        <f t="shared" si="6"/>
        <v>0</v>
      </c>
    </row>
    <row r="32" spans="1:63" hidden="1">
      <c r="A32" s="201"/>
      <c r="B32" s="212" t="s">
        <v>436</v>
      </c>
      <c r="C32" s="372"/>
      <c r="D32" s="372"/>
      <c r="E32" s="206"/>
      <c r="G32" s="199">
        <f t="shared" si="7"/>
        <v>0</v>
      </c>
      <c r="I32" s="206">
        <v>0</v>
      </c>
      <c r="K32" s="206">
        <v>0</v>
      </c>
      <c r="L32" s="206"/>
      <c r="M32" s="206">
        <v>0</v>
      </c>
      <c r="O32" s="206">
        <v>0</v>
      </c>
      <c r="Q32" s="206">
        <v>0</v>
      </c>
      <c r="S32" s="206">
        <v>0</v>
      </c>
      <c r="U32" s="206">
        <v>0</v>
      </c>
      <c r="V32" s="206"/>
      <c r="W32" s="206">
        <v>0</v>
      </c>
      <c r="X32" s="206"/>
      <c r="Y32" s="206">
        <v>0</v>
      </c>
      <c r="Z32" s="206"/>
      <c r="AA32" s="206">
        <v>0</v>
      </c>
      <c r="AB32" s="206"/>
      <c r="AC32" s="206">
        <v>0</v>
      </c>
      <c r="AD32" s="206"/>
      <c r="AE32" s="206">
        <v>0</v>
      </c>
      <c r="AF32" s="206"/>
      <c r="AG32" s="206">
        <v>0</v>
      </c>
      <c r="AI32" s="206">
        <v>0</v>
      </c>
      <c r="AK32" s="206">
        <f t="shared" si="5"/>
        <v>0</v>
      </c>
      <c r="AM32" s="206">
        <v>0</v>
      </c>
      <c r="AO32" s="206">
        <v>0</v>
      </c>
      <c r="AQ32" s="206">
        <v>0</v>
      </c>
      <c r="AS32" s="206">
        <v>0</v>
      </c>
      <c r="AU32" s="206">
        <v>0</v>
      </c>
      <c r="AW32" s="206">
        <v>0</v>
      </c>
      <c r="AY32" s="206">
        <v>0</v>
      </c>
      <c r="BA32" s="206">
        <v>0</v>
      </c>
      <c r="BC32" s="206">
        <v>0</v>
      </c>
      <c r="BD32" s="206">
        <v>0</v>
      </c>
      <c r="BE32" s="206">
        <f t="shared" si="8"/>
        <v>0</v>
      </c>
      <c r="BG32" s="199">
        <f t="shared" si="9"/>
        <v>0</v>
      </c>
      <c r="BI32" s="199">
        <f t="shared" si="10"/>
        <v>0</v>
      </c>
      <c r="BK32" s="199">
        <f t="shared" si="6"/>
        <v>0</v>
      </c>
    </row>
    <row r="33" spans="1:64" hidden="1">
      <c r="A33" s="201"/>
      <c r="B33" s="197"/>
      <c r="C33" s="372"/>
      <c r="D33" s="372"/>
      <c r="E33" s="206"/>
      <c r="G33" s="206"/>
      <c r="I33" s="206"/>
      <c r="K33" s="206"/>
      <c r="L33" s="206"/>
      <c r="M33" s="206"/>
      <c r="O33" s="206"/>
      <c r="Q33" s="206"/>
      <c r="S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I33" s="206"/>
      <c r="AK33" s="206"/>
      <c r="AM33" s="206"/>
      <c r="AO33" s="206"/>
      <c r="BE33" s="206"/>
      <c r="BG33" s="199">
        <f t="shared" si="9"/>
        <v>0</v>
      </c>
      <c r="BI33" s="206"/>
      <c r="BK33" s="206"/>
    </row>
    <row r="34" spans="1:64">
      <c r="A34" s="201"/>
      <c r="B34" s="197" t="s">
        <v>437</v>
      </c>
      <c r="C34" s="372"/>
      <c r="D34" s="372"/>
      <c r="E34" s="209">
        <f>SUM(E23:E33)</f>
        <v>252826</v>
      </c>
      <c r="G34" s="209">
        <f>SUM(G23:G33)</f>
        <v>252826</v>
      </c>
      <c r="I34" s="209">
        <f>SUM(I23:I33)</f>
        <v>0</v>
      </c>
      <c r="K34" s="209">
        <f>SUM(K23:K33)</f>
        <v>0</v>
      </c>
      <c r="L34" s="206"/>
      <c r="M34" s="209">
        <f>SUM(M23:M33)</f>
        <v>0</v>
      </c>
      <c r="O34" s="209">
        <f>SUM(O23:O33)</f>
        <v>0</v>
      </c>
      <c r="Q34" s="209">
        <f>SUM(Q23:Q33)</f>
        <v>0</v>
      </c>
      <c r="S34" s="209">
        <f>SUM(S23:S33)</f>
        <v>0</v>
      </c>
      <c r="U34" s="209">
        <f>SUM(U23:U33)</f>
        <v>0</v>
      </c>
      <c r="V34" s="206"/>
      <c r="W34" s="209">
        <f>SUM(W23:W33)</f>
        <v>0</v>
      </c>
      <c r="X34" s="206"/>
      <c r="Y34" s="209">
        <f>SUM(Y23:Y33)</f>
        <v>0</v>
      </c>
      <c r="Z34" s="206"/>
      <c r="AA34" s="209">
        <f>SUM(AA23:AA33)</f>
        <v>0</v>
      </c>
      <c r="AB34" s="206"/>
      <c r="AC34" s="209">
        <f>SUM(AC23:AC33)</f>
        <v>0</v>
      </c>
      <c r="AD34" s="206"/>
      <c r="AE34" s="209">
        <f>SUM(AE23:AE33)</f>
        <v>0</v>
      </c>
      <c r="AF34" s="206"/>
      <c r="AG34" s="209">
        <f>SUM(AG23:AG33)</f>
        <v>240786</v>
      </c>
      <c r="AI34" s="209">
        <f>SUM(AI23:AI33)</f>
        <v>0</v>
      </c>
      <c r="AK34" s="209">
        <f>SUM(AK23:AK33)</f>
        <v>240786</v>
      </c>
      <c r="AM34" s="206">
        <f>SUM(AM23:AM33)</f>
        <v>0</v>
      </c>
      <c r="AO34" s="209">
        <f>SUM(AO23:AO33)</f>
        <v>0</v>
      </c>
      <c r="AQ34" s="209">
        <f>SUM(AQ23:AQ33)</f>
        <v>0</v>
      </c>
      <c r="AS34" s="209">
        <f>SUM(AS23:AS33)</f>
        <v>0</v>
      </c>
      <c r="AU34" s="209">
        <f>SUM(AU23:AU33)</f>
        <v>0</v>
      </c>
      <c r="AW34" s="209">
        <f>SUM(AW23:AW33)</f>
        <v>12040</v>
      </c>
      <c r="AY34" s="209">
        <f>SUM(AY23:AY33)</f>
        <v>0</v>
      </c>
      <c r="BA34" s="209">
        <f>SUM(BA23:BA33)</f>
        <v>0</v>
      </c>
      <c r="BC34" s="209">
        <f>SUM(BC23:BC33)</f>
        <v>0</v>
      </c>
      <c r="BD34" s="206">
        <f>SUM(BD23:BD33)</f>
        <v>0</v>
      </c>
      <c r="BE34" s="209">
        <f>SUM(BE23:BE33)</f>
        <v>252826</v>
      </c>
      <c r="BG34" s="209">
        <f>SUM(BG23:BG33)</f>
        <v>0</v>
      </c>
      <c r="BI34" s="209">
        <f>SUM(BI23:BI33)</f>
        <v>252826</v>
      </c>
      <c r="BK34" s="209">
        <f>SUM(BK23:BK33)</f>
        <v>0</v>
      </c>
    </row>
    <row r="35" spans="1:64" s="200" customFormat="1">
      <c r="A35" s="201"/>
      <c r="B35" s="197"/>
      <c r="C35" s="403"/>
      <c r="D35" s="403"/>
      <c r="E35" s="217"/>
      <c r="F35" s="217"/>
      <c r="G35" s="217"/>
      <c r="H35" s="217"/>
      <c r="I35" s="217"/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  <c r="X35" s="217"/>
      <c r="Y35" s="217"/>
      <c r="Z35" s="217"/>
      <c r="AA35" s="217"/>
      <c r="AB35" s="217"/>
      <c r="AC35" s="217"/>
      <c r="AD35" s="217"/>
      <c r="AE35" s="217"/>
      <c r="AF35" s="217"/>
      <c r="AG35" s="217"/>
      <c r="AH35" s="217"/>
      <c r="AI35" s="217"/>
      <c r="AJ35" s="217"/>
      <c r="AK35" s="217"/>
      <c r="AL35" s="217"/>
      <c r="AM35" s="217"/>
      <c r="AN35" s="217"/>
      <c r="AO35" s="217"/>
      <c r="AP35" s="217"/>
      <c r="AQ35" s="217"/>
      <c r="AR35" s="217"/>
      <c r="AS35" s="217"/>
      <c r="AT35" s="217"/>
      <c r="AU35" s="217"/>
      <c r="AV35" s="217"/>
      <c r="AW35" s="217"/>
      <c r="AX35" s="217"/>
      <c r="AY35" s="217"/>
      <c r="AZ35" s="217"/>
      <c r="BA35" s="217"/>
      <c r="BB35" s="217"/>
      <c r="BC35" s="217"/>
      <c r="BD35" s="217"/>
      <c r="BE35" s="217"/>
      <c r="BF35" s="217"/>
      <c r="BG35" s="217"/>
      <c r="BH35" s="217"/>
      <c r="BI35" s="217"/>
      <c r="BJ35" s="217"/>
      <c r="BK35" s="217"/>
      <c r="BL35" s="217"/>
    </row>
    <row r="36" spans="1:64" s="222" customFormat="1">
      <c r="A36" s="404"/>
      <c r="B36" s="212" t="s">
        <v>242</v>
      </c>
      <c r="E36" s="222">
        <f>+E34+E22</f>
        <v>80400455.829999998</v>
      </c>
      <c r="F36" s="223"/>
      <c r="G36" s="222">
        <f>+G34+G22</f>
        <v>85825650.629999995</v>
      </c>
      <c r="H36" s="223"/>
      <c r="I36" s="222">
        <f>+I34+I22</f>
        <v>5425194.8000000007</v>
      </c>
      <c r="J36" s="223"/>
      <c r="K36" s="222">
        <f>+K34+K22</f>
        <v>21150000</v>
      </c>
      <c r="L36" s="223"/>
      <c r="M36" s="222">
        <f>+M34+M22</f>
        <v>4263906.4800000004</v>
      </c>
      <c r="N36" s="223"/>
      <c r="O36" s="222">
        <f>+O34+O22</f>
        <v>3055146.4</v>
      </c>
      <c r="P36" s="223"/>
      <c r="Q36" s="222">
        <f>+Q34+Q22</f>
        <v>1650000</v>
      </c>
      <c r="R36" s="223"/>
      <c r="S36" s="222">
        <f>+S34+S22</f>
        <v>2814117</v>
      </c>
      <c r="T36" s="223"/>
      <c r="U36" s="222">
        <f>+U34+U22</f>
        <v>4389866.41</v>
      </c>
      <c r="V36" s="223"/>
      <c r="W36" s="222">
        <f>+W34+W22</f>
        <v>2662213.1399999997</v>
      </c>
      <c r="X36" s="223"/>
      <c r="Y36" s="222">
        <f>+Y34+Y22</f>
        <v>167441.37000000011</v>
      </c>
      <c r="Z36" s="223"/>
      <c r="AA36" s="222">
        <f>+AA34+AA22</f>
        <v>3251216.99</v>
      </c>
      <c r="AB36" s="223"/>
      <c r="AC36" s="222">
        <f>+AC34+AC22</f>
        <v>3049213.96</v>
      </c>
      <c r="AD36" s="223"/>
      <c r="AE36" s="222">
        <f>+AE34+AE22</f>
        <v>5927496.9900000002</v>
      </c>
      <c r="AF36" s="223"/>
      <c r="AG36" s="222">
        <f>+AG34+AG22</f>
        <v>5678132</v>
      </c>
      <c r="AH36" s="223"/>
      <c r="AI36" s="222">
        <f>+AI34+AI22</f>
        <v>3562993.54</v>
      </c>
      <c r="AJ36" s="223"/>
      <c r="AK36" s="222">
        <f>+AK34+AK22</f>
        <v>62279400.480000004</v>
      </c>
      <c r="AL36" s="223"/>
      <c r="AM36" s="223">
        <f>+AM34+AM22</f>
        <v>0</v>
      </c>
      <c r="AN36" s="223"/>
      <c r="AO36" s="222">
        <f>+AO34+AO22</f>
        <v>3791912.0899999994</v>
      </c>
      <c r="AP36" s="223"/>
      <c r="AQ36" s="223">
        <f>+AQ34+AQ22</f>
        <v>2831574.4799999995</v>
      </c>
      <c r="AR36" s="223"/>
      <c r="AS36" s="223">
        <f>+AS34+AS22</f>
        <v>8834136.8800000008</v>
      </c>
      <c r="AT36" s="223"/>
      <c r="AU36" s="223">
        <f>+AU34+AU22</f>
        <v>1483779.08</v>
      </c>
      <c r="AV36" s="223"/>
      <c r="AW36" s="223">
        <f>+AW34+AW22</f>
        <v>1686359.82</v>
      </c>
      <c r="AX36" s="223"/>
      <c r="AY36" s="223">
        <f>+AY34+AY22</f>
        <v>2481901.6666666665</v>
      </c>
      <c r="AZ36" s="223"/>
      <c r="BA36" s="223">
        <f>+BA34+BA22</f>
        <v>623666.66666666674</v>
      </c>
      <c r="BB36" s="223"/>
      <c r="BC36" s="223">
        <f>+BC34+BC22</f>
        <v>298666.66666666669</v>
      </c>
      <c r="BD36" s="223">
        <f>+BD34+BD22</f>
        <v>0</v>
      </c>
      <c r="BE36" s="222">
        <f>+BE34+BE22</f>
        <v>84311397.830000013</v>
      </c>
      <c r="BF36" s="223"/>
      <c r="BG36" s="222">
        <f>+BG34+BG22</f>
        <v>0.22000000003026798</v>
      </c>
      <c r="BH36" s="223"/>
      <c r="BI36" s="222">
        <f>+BI34+BI22</f>
        <v>84059398.050000012</v>
      </c>
      <c r="BJ36" s="223"/>
      <c r="BK36" s="222">
        <f>+BK34+BK22</f>
        <v>-3658942.2200000025</v>
      </c>
      <c r="BL36" s="223"/>
    </row>
    <row r="37" spans="1:64" s="200" customFormat="1" hidden="1">
      <c r="A37" s="201"/>
      <c r="B37" s="197"/>
      <c r="C37" s="403"/>
      <c r="D37" s="403"/>
      <c r="F37" s="217"/>
      <c r="H37" s="217"/>
      <c r="J37" s="217"/>
      <c r="L37" s="217"/>
      <c r="N37" s="217"/>
      <c r="P37" s="217"/>
      <c r="R37" s="217"/>
      <c r="T37" s="217"/>
      <c r="V37" s="217"/>
      <c r="X37" s="217"/>
      <c r="Z37" s="217"/>
      <c r="AB37" s="217"/>
      <c r="AD37" s="217"/>
      <c r="AF37" s="217"/>
      <c r="AH37" s="217"/>
      <c r="AJ37" s="217"/>
      <c r="AL37" s="217"/>
      <c r="AM37" s="217"/>
      <c r="AN37" s="217"/>
      <c r="AP37" s="217"/>
      <c r="AQ37" s="217"/>
      <c r="AR37" s="217"/>
      <c r="AS37" s="217"/>
      <c r="AT37" s="217"/>
      <c r="AU37" s="217"/>
      <c r="AV37" s="217"/>
      <c r="AW37" s="217"/>
      <c r="AX37" s="217"/>
      <c r="AY37" s="217"/>
      <c r="AZ37" s="217"/>
      <c r="BA37" s="217"/>
      <c r="BB37" s="217"/>
      <c r="BC37" s="217"/>
      <c r="BD37" s="217"/>
      <c r="BF37" s="217"/>
      <c r="BH37" s="217"/>
      <c r="BJ37" s="217"/>
      <c r="BL37" s="217"/>
    </row>
    <row r="38" spans="1:64" s="200" customFormat="1" hidden="1">
      <c r="A38" s="196" t="s">
        <v>256</v>
      </c>
      <c r="B38" s="217"/>
      <c r="C38" s="403"/>
      <c r="D38" s="403"/>
      <c r="F38" s="217"/>
      <c r="H38" s="217"/>
      <c r="J38" s="217"/>
      <c r="L38" s="217"/>
      <c r="N38" s="217"/>
      <c r="P38" s="217"/>
      <c r="R38" s="217"/>
      <c r="T38" s="217"/>
      <c r="V38" s="217"/>
      <c r="X38" s="217"/>
      <c r="Z38" s="217"/>
      <c r="AB38" s="217"/>
      <c r="AD38" s="217"/>
      <c r="AF38" s="217"/>
      <c r="AH38" s="217"/>
      <c r="AJ38" s="217"/>
      <c r="AL38" s="217"/>
      <c r="AM38" s="217"/>
      <c r="AN38" s="217"/>
      <c r="AP38" s="217"/>
      <c r="AQ38" s="217"/>
      <c r="AR38" s="217"/>
      <c r="AS38" s="217"/>
      <c r="AT38" s="217"/>
      <c r="AU38" s="217"/>
      <c r="AV38" s="217"/>
      <c r="AW38" s="217"/>
      <c r="AX38" s="217"/>
      <c r="AY38" s="217"/>
      <c r="AZ38" s="217"/>
      <c r="BA38" s="217"/>
      <c r="BB38" s="217"/>
      <c r="BC38" s="217"/>
      <c r="BD38" s="217"/>
      <c r="BF38" s="217"/>
      <c r="BH38" s="217"/>
      <c r="BJ38" s="217"/>
      <c r="BK38" s="405"/>
      <c r="BL38" s="217"/>
    </row>
    <row r="39" spans="1:64" s="200" customFormat="1" hidden="1">
      <c r="A39" s="367"/>
      <c r="B39" s="197" t="s">
        <v>1659</v>
      </c>
      <c r="C39" s="403"/>
      <c r="D39" s="403"/>
      <c r="E39" s="200">
        <v>896000</v>
      </c>
      <c r="F39" s="217"/>
      <c r="G39" s="200">
        <v>896000</v>
      </c>
      <c r="H39" s="217"/>
      <c r="I39" s="200">
        <f t="shared" ref="I39:I44" si="11">+G39-E39</f>
        <v>0</v>
      </c>
      <c r="J39" s="217"/>
      <c r="K39" s="200">
        <v>0</v>
      </c>
      <c r="L39" s="217"/>
      <c r="M39" s="200">
        <v>0</v>
      </c>
      <c r="N39" s="217"/>
      <c r="O39" s="200">
        <v>0</v>
      </c>
      <c r="P39" s="217"/>
      <c r="Q39" s="200">
        <v>0</v>
      </c>
      <c r="R39" s="217"/>
      <c r="S39" s="200">
        <v>0</v>
      </c>
      <c r="T39" s="217"/>
      <c r="U39" s="200">
        <v>0</v>
      </c>
      <c r="V39" s="217"/>
      <c r="W39" s="200">
        <v>0</v>
      </c>
      <c r="X39" s="217"/>
      <c r="Y39" s="200">
        <v>0</v>
      </c>
      <c r="Z39" s="217"/>
      <c r="AA39" s="200">
        <v>0</v>
      </c>
      <c r="AB39" s="217"/>
      <c r="AC39" s="200">
        <v>0</v>
      </c>
      <c r="AD39" s="217"/>
      <c r="AE39" s="200">
        <v>0</v>
      </c>
      <c r="AF39" s="217"/>
      <c r="AG39" s="200">
        <v>0</v>
      </c>
      <c r="AH39" s="217"/>
      <c r="AI39" s="200">
        <v>192000</v>
      </c>
      <c r="AJ39" s="217"/>
      <c r="AK39" s="200">
        <f t="shared" ref="AK39:AK44" si="12">SUM(K39:AJ39)</f>
        <v>192000</v>
      </c>
      <c r="AL39" s="217"/>
      <c r="AM39" s="217">
        <v>0</v>
      </c>
      <c r="AN39" s="217"/>
      <c r="AO39" s="200">
        <v>0</v>
      </c>
      <c r="AP39" s="217"/>
      <c r="AQ39" s="217">
        <f>64000+64000</f>
        <v>128000</v>
      </c>
      <c r="AR39" s="217"/>
      <c r="AS39" s="217">
        <v>115200</v>
      </c>
      <c r="AT39" s="217"/>
      <c r="AU39" s="217">
        <f>115201-21</f>
        <v>115180</v>
      </c>
      <c r="AV39" s="217"/>
      <c r="AW39" s="217">
        <v>115202</v>
      </c>
      <c r="AX39" s="217"/>
      <c r="AY39" s="217">
        <v>115203</v>
      </c>
      <c r="AZ39" s="217"/>
      <c r="BA39" s="217">
        <v>115204</v>
      </c>
      <c r="BB39" s="217"/>
      <c r="BC39" s="217">
        <v>115204</v>
      </c>
      <c r="BD39" s="217"/>
      <c r="BE39" s="200">
        <f>SUM(AK39:BA39)</f>
        <v>895989</v>
      </c>
      <c r="BF39" s="217"/>
      <c r="BG39" s="200">
        <f>+MAX(0,G39-BE39+AM39)</f>
        <v>11</v>
      </c>
      <c r="BH39" s="217"/>
      <c r="BI39" s="200">
        <f>SUM(BE39:BG39)</f>
        <v>896000</v>
      </c>
      <c r="BJ39" s="217"/>
      <c r="BK39" s="405">
        <f t="shared" ref="BK39:BK44" si="13">+G39-BI39</f>
        <v>0</v>
      </c>
      <c r="BL39" s="217"/>
    </row>
    <row r="40" spans="1:64" s="200" customFormat="1" hidden="1">
      <c r="A40" s="367"/>
      <c r="B40" s="197" t="s">
        <v>1660</v>
      </c>
      <c r="C40" s="403"/>
      <c r="D40" s="403"/>
      <c r="E40" s="200">
        <f>255400+341200</f>
        <v>596600</v>
      </c>
      <c r="F40" s="217"/>
      <c r="G40" s="200">
        <f>255400+341200</f>
        <v>596600</v>
      </c>
      <c r="H40" s="217"/>
      <c r="I40" s="200">
        <f t="shared" si="11"/>
        <v>0</v>
      </c>
      <c r="J40" s="217"/>
      <c r="K40" s="200">
        <v>0</v>
      </c>
      <c r="L40" s="217"/>
      <c r="M40" s="200">
        <v>0</v>
      </c>
      <c r="N40" s="217"/>
      <c r="O40" s="200">
        <v>0</v>
      </c>
      <c r="P40" s="217"/>
      <c r="Q40" s="200">
        <v>0</v>
      </c>
      <c r="R40" s="217"/>
      <c r="S40" s="200">
        <v>0</v>
      </c>
      <c r="T40" s="217"/>
      <c r="U40" s="200">
        <v>0</v>
      </c>
      <c r="V40" s="217"/>
      <c r="W40" s="200">
        <v>0</v>
      </c>
      <c r="X40" s="217"/>
      <c r="Y40" s="200">
        <v>0</v>
      </c>
      <c r="Z40" s="217"/>
      <c r="AA40" s="200">
        <v>0</v>
      </c>
      <c r="AB40" s="217"/>
      <c r="AC40" s="200">
        <v>0</v>
      </c>
      <c r="AD40" s="217"/>
      <c r="AE40" s="200">
        <v>0</v>
      </c>
      <c r="AF40" s="217"/>
      <c r="AG40" s="200">
        <v>0</v>
      </c>
      <c r="AH40" s="217"/>
      <c r="AI40" s="200">
        <f>73114.29+49353.76</f>
        <v>122468.04999999999</v>
      </c>
      <c r="AJ40" s="217"/>
      <c r="AK40" s="200">
        <f t="shared" si="12"/>
        <v>122468.04999999999</v>
      </c>
      <c r="AL40" s="217"/>
      <c r="AM40" s="217">
        <v>0</v>
      </c>
      <c r="AN40" s="217"/>
      <c r="AO40" s="200">
        <v>0</v>
      </c>
      <c r="AP40" s="217"/>
      <c r="AQ40" s="217">
        <f>26674.32+24371.43+24371.43</f>
        <v>75417.179999999993</v>
      </c>
      <c r="AR40" s="217"/>
      <c r="AS40" s="217">
        <v>79743</v>
      </c>
      <c r="AT40" s="217"/>
      <c r="AU40" s="217">
        <v>79743</v>
      </c>
      <c r="AV40" s="217"/>
      <c r="AW40" s="217">
        <v>79743</v>
      </c>
      <c r="AX40" s="217"/>
      <c r="AY40" s="217">
        <v>79743</v>
      </c>
      <c r="AZ40" s="217"/>
      <c r="BA40" s="217">
        <f>79743</f>
        <v>79743</v>
      </c>
      <c r="BB40" s="217"/>
      <c r="BC40" s="217">
        <f>79743</f>
        <v>79743</v>
      </c>
      <c r="BD40" s="217"/>
      <c r="BE40" s="200">
        <f>SUM(AK40:BA40)</f>
        <v>596600.23</v>
      </c>
      <c r="BF40" s="217"/>
      <c r="BG40" s="200">
        <f>+MAX(0,G40-BE40+AM40)</f>
        <v>0</v>
      </c>
      <c r="BH40" s="217"/>
      <c r="BI40" s="200">
        <f>SUM(BE40:BG40)</f>
        <v>596600.23</v>
      </c>
      <c r="BJ40" s="217"/>
      <c r="BK40" s="405">
        <f t="shared" si="13"/>
        <v>-0.22999999998137355</v>
      </c>
      <c r="BL40" s="217"/>
    </row>
    <row r="41" spans="1:64" s="200" customFormat="1" hidden="1">
      <c r="A41" s="367"/>
      <c r="B41" s="197" t="s">
        <v>1661</v>
      </c>
      <c r="C41" s="403"/>
      <c r="D41" s="403"/>
      <c r="E41" s="200">
        <v>136622</v>
      </c>
      <c r="F41" s="217"/>
      <c r="G41" s="200">
        <v>136622</v>
      </c>
      <c r="H41" s="217"/>
      <c r="I41" s="200">
        <f t="shared" si="11"/>
        <v>0</v>
      </c>
      <c r="J41" s="217"/>
      <c r="K41" s="200">
        <v>0</v>
      </c>
      <c r="L41" s="217"/>
      <c r="M41" s="200">
        <v>0</v>
      </c>
      <c r="N41" s="217"/>
      <c r="O41" s="200">
        <v>0</v>
      </c>
      <c r="P41" s="217"/>
      <c r="Q41" s="200">
        <v>0</v>
      </c>
      <c r="R41" s="217"/>
      <c r="S41" s="200">
        <v>0</v>
      </c>
      <c r="T41" s="217"/>
      <c r="U41" s="200">
        <v>0</v>
      </c>
      <c r="V41" s="217"/>
      <c r="W41" s="200">
        <v>0</v>
      </c>
      <c r="X41" s="217"/>
      <c r="Y41" s="200">
        <v>0</v>
      </c>
      <c r="Z41" s="217"/>
      <c r="AA41" s="200">
        <v>0</v>
      </c>
      <c r="AB41" s="217"/>
      <c r="AC41" s="200">
        <v>0</v>
      </c>
      <c r="AD41" s="217"/>
      <c r="AE41" s="200">
        <v>0</v>
      </c>
      <c r="AF41" s="217"/>
      <c r="AG41" s="200">
        <v>0</v>
      </c>
      <c r="AH41" s="217"/>
      <c r="AI41" s="200">
        <v>0</v>
      </c>
      <c r="AJ41" s="217"/>
      <c r="AK41" s="200">
        <f t="shared" si="12"/>
        <v>0</v>
      </c>
      <c r="AL41" s="217"/>
      <c r="AM41" s="217">
        <v>0</v>
      </c>
      <c r="AN41" s="217"/>
      <c r="AO41" s="200">
        <v>0</v>
      </c>
      <c r="AP41" s="217"/>
      <c r="AQ41" s="217">
        <v>136622.32999999999</v>
      </c>
      <c r="AR41" s="217"/>
      <c r="AS41" s="217">
        <v>0</v>
      </c>
      <c r="AT41" s="217"/>
      <c r="AU41" s="217">
        <v>0</v>
      </c>
      <c r="AV41" s="217"/>
      <c r="AW41" s="217">
        <v>0</v>
      </c>
      <c r="AX41" s="217"/>
      <c r="AY41" s="217">
        <v>0</v>
      </c>
      <c r="AZ41" s="217"/>
      <c r="BA41" s="217">
        <v>0</v>
      </c>
      <c r="BB41" s="217"/>
      <c r="BC41" s="217">
        <v>0</v>
      </c>
      <c r="BD41" s="217">
        <v>0</v>
      </c>
      <c r="BE41" s="200">
        <f>SUM(AK41:BA41)</f>
        <v>136622.32999999999</v>
      </c>
      <c r="BF41" s="217"/>
      <c r="BG41" s="200">
        <f>+MAX(0,G41-BE41+AM41)</f>
        <v>0</v>
      </c>
      <c r="BH41" s="217"/>
      <c r="BI41" s="200">
        <f>SUM(BE41:BG41)</f>
        <v>136622.32999999999</v>
      </c>
      <c r="BJ41" s="217"/>
      <c r="BK41" s="405">
        <f t="shared" si="13"/>
        <v>-0.32999999998719431</v>
      </c>
      <c r="BL41" s="217"/>
    </row>
    <row r="42" spans="1:64" s="200" customFormat="1" hidden="1">
      <c r="A42" s="367"/>
      <c r="B42" s="197" t="s">
        <v>1662</v>
      </c>
      <c r="C42" s="403"/>
      <c r="D42" s="403"/>
      <c r="E42" s="217">
        <v>0</v>
      </c>
      <c r="F42" s="217"/>
      <c r="G42" s="200">
        <v>664550</v>
      </c>
      <c r="H42" s="217"/>
      <c r="I42" s="217">
        <f t="shared" si="11"/>
        <v>664550</v>
      </c>
      <c r="J42" s="217"/>
      <c r="K42" s="217">
        <v>0</v>
      </c>
      <c r="L42" s="217"/>
      <c r="M42" s="217">
        <v>0</v>
      </c>
      <c r="N42" s="217"/>
      <c r="O42" s="217">
        <v>0</v>
      </c>
      <c r="P42" s="217"/>
      <c r="Q42" s="217">
        <v>0</v>
      </c>
      <c r="R42" s="217"/>
      <c r="S42" s="217">
        <v>0</v>
      </c>
      <c r="T42" s="217"/>
      <c r="U42" s="217">
        <v>0</v>
      </c>
      <c r="V42" s="217"/>
      <c r="W42" s="217">
        <v>0</v>
      </c>
      <c r="X42" s="217"/>
      <c r="Y42" s="217">
        <v>0</v>
      </c>
      <c r="Z42" s="217"/>
      <c r="AA42" s="217">
        <v>0</v>
      </c>
      <c r="AB42" s="217"/>
      <c r="AC42" s="217">
        <v>0</v>
      </c>
      <c r="AD42" s="217"/>
      <c r="AE42" s="217">
        <v>0</v>
      </c>
      <c r="AF42" s="217"/>
      <c r="AG42" s="217">
        <v>0</v>
      </c>
      <c r="AH42" s="217"/>
      <c r="AI42" s="217">
        <v>0</v>
      </c>
      <c r="AJ42" s="217"/>
      <c r="AK42" s="217">
        <f t="shared" si="12"/>
        <v>0</v>
      </c>
      <c r="AL42" s="217"/>
      <c r="AM42" s="217">
        <v>0</v>
      </c>
      <c r="AN42" s="217"/>
      <c r="AO42" s="217">
        <v>0</v>
      </c>
      <c r="AP42" s="217"/>
      <c r="AQ42" s="217">
        <v>0</v>
      </c>
      <c r="AR42" s="217"/>
      <c r="AS42" s="217">
        <v>132910</v>
      </c>
      <c r="AT42" s="217"/>
      <c r="AU42" s="217">
        <f>132911-10</f>
        <v>132901</v>
      </c>
      <c r="AV42" s="217"/>
      <c r="AW42" s="217">
        <v>132912</v>
      </c>
      <c r="AX42" s="217"/>
      <c r="AY42" s="217">
        <v>132913</v>
      </c>
      <c r="AZ42" s="217"/>
      <c r="BA42" s="217">
        <v>132914</v>
      </c>
      <c r="BB42" s="217"/>
      <c r="BC42" s="217">
        <v>132914</v>
      </c>
      <c r="BD42" s="217"/>
      <c r="BE42" s="200">
        <f>SUM(AK42:BA42)</f>
        <v>664550</v>
      </c>
      <c r="BF42" s="217"/>
      <c r="BG42" s="200">
        <f>+MAX(0,G42-BE42+AM42)</f>
        <v>0</v>
      </c>
      <c r="BH42" s="217"/>
      <c r="BI42" s="200">
        <f>SUM(BE42:BG42)</f>
        <v>664550</v>
      </c>
      <c r="BJ42" s="217"/>
      <c r="BK42" s="405">
        <f t="shared" si="13"/>
        <v>0</v>
      </c>
      <c r="BL42" s="217"/>
    </row>
    <row r="43" spans="1:64" s="217" customFormat="1" hidden="1">
      <c r="A43" s="367"/>
      <c r="B43" s="197"/>
      <c r="C43" s="406"/>
      <c r="D43" s="406"/>
      <c r="E43" s="217">
        <v>0</v>
      </c>
      <c r="G43" s="200">
        <v>0</v>
      </c>
      <c r="I43" s="217">
        <f t="shared" si="11"/>
        <v>0</v>
      </c>
      <c r="K43" s="217">
        <v>0</v>
      </c>
      <c r="M43" s="217">
        <v>0</v>
      </c>
      <c r="O43" s="217">
        <v>0</v>
      </c>
      <c r="Q43" s="217">
        <v>0</v>
      </c>
      <c r="S43" s="217">
        <v>0</v>
      </c>
      <c r="U43" s="217">
        <v>0</v>
      </c>
      <c r="W43" s="217">
        <v>0</v>
      </c>
      <c r="Y43" s="217">
        <v>0</v>
      </c>
      <c r="AA43" s="217">
        <v>0</v>
      </c>
      <c r="AC43" s="217">
        <v>0</v>
      </c>
      <c r="AE43" s="217">
        <v>0</v>
      </c>
      <c r="AG43" s="217">
        <v>0</v>
      </c>
      <c r="AI43" s="217">
        <v>0</v>
      </c>
      <c r="AK43" s="217">
        <f t="shared" si="12"/>
        <v>0</v>
      </c>
      <c r="AM43" s="217">
        <v>0</v>
      </c>
      <c r="AO43" s="217">
        <v>0</v>
      </c>
      <c r="AQ43" s="217">
        <v>0</v>
      </c>
      <c r="AS43" s="217">
        <v>0</v>
      </c>
      <c r="AU43" s="217">
        <v>0</v>
      </c>
      <c r="AW43" s="217">
        <v>0</v>
      </c>
      <c r="AY43" s="217">
        <v>0</v>
      </c>
      <c r="BA43" s="217">
        <v>0</v>
      </c>
      <c r="BC43" s="217">
        <v>0</v>
      </c>
      <c r="BD43" s="217">
        <v>0</v>
      </c>
      <c r="BE43" s="217">
        <f>SUM(AC43:BD43)</f>
        <v>0</v>
      </c>
      <c r="BG43" s="217">
        <f>+MAX(0,G43-AK43+AM43)</f>
        <v>0</v>
      </c>
      <c r="BI43" s="200">
        <f>+AK43+BG43</f>
        <v>0</v>
      </c>
      <c r="BK43" s="405">
        <f t="shared" si="13"/>
        <v>0</v>
      </c>
    </row>
    <row r="44" spans="1:64" s="200" customFormat="1" ht="14.25" hidden="1" customHeight="1">
      <c r="A44" s="367"/>
      <c r="B44" s="197"/>
      <c r="C44" s="403"/>
      <c r="D44" s="403"/>
      <c r="E44" s="381">
        <v>0</v>
      </c>
      <c r="F44" s="217"/>
      <c r="G44" s="200">
        <v>0</v>
      </c>
      <c r="H44" s="217"/>
      <c r="I44" s="217">
        <f t="shared" si="11"/>
        <v>0</v>
      </c>
      <c r="J44" s="217"/>
      <c r="K44" s="217">
        <v>0</v>
      </c>
      <c r="L44" s="217"/>
      <c r="M44" s="217">
        <v>0</v>
      </c>
      <c r="N44" s="217"/>
      <c r="O44" s="217">
        <v>0</v>
      </c>
      <c r="P44" s="217"/>
      <c r="Q44" s="217">
        <v>0</v>
      </c>
      <c r="R44" s="217"/>
      <c r="S44" s="217">
        <v>0</v>
      </c>
      <c r="T44" s="217"/>
      <c r="U44" s="217">
        <v>0</v>
      </c>
      <c r="V44" s="217"/>
      <c r="W44" s="217">
        <v>0</v>
      </c>
      <c r="X44" s="217"/>
      <c r="Y44" s="217">
        <v>0</v>
      </c>
      <c r="Z44" s="217"/>
      <c r="AA44" s="217">
        <v>0</v>
      </c>
      <c r="AB44" s="217"/>
      <c r="AC44" s="217">
        <v>0</v>
      </c>
      <c r="AD44" s="217"/>
      <c r="AE44" s="217">
        <v>0</v>
      </c>
      <c r="AF44" s="217"/>
      <c r="AG44" s="217">
        <v>0</v>
      </c>
      <c r="AH44" s="217"/>
      <c r="AI44" s="217"/>
      <c r="AJ44" s="217"/>
      <c r="AK44" s="217">
        <f t="shared" si="12"/>
        <v>0</v>
      </c>
      <c r="AL44" s="217"/>
      <c r="AM44" s="217">
        <v>0</v>
      </c>
      <c r="AN44" s="217"/>
      <c r="AO44" s="217"/>
      <c r="AP44" s="217"/>
      <c r="AQ44" s="217"/>
      <c r="AR44" s="217"/>
      <c r="AS44" s="217"/>
      <c r="AT44" s="217"/>
      <c r="AU44" s="217"/>
      <c r="AV44" s="217"/>
      <c r="AW44" s="217"/>
      <c r="AX44" s="217"/>
      <c r="AY44" s="217"/>
      <c r="AZ44" s="217"/>
      <c r="BA44" s="217"/>
      <c r="BB44" s="217"/>
      <c r="BC44" s="217"/>
      <c r="BD44" s="217"/>
      <c r="BE44" s="217">
        <f>SUM(AC44:BD44)</f>
        <v>0</v>
      </c>
      <c r="BF44" s="217"/>
      <c r="BG44" s="217">
        <f>+MAX(0,G44-AK44+AM44)</f>
        <v>0</v>
      </c>
      <c r="BH44" s="217"/>
      <c r="BI44" s="200">
        <f>+AK44+BG44</f>
        <v>0</v>
      </c>
      <c r="BJ44" s="217"/>
      <c r="BK44" s="405">
        <f t="shared" si="13"/>
        <v>0</v>
      </c>
      <c r="BL44" s="217"/>
    </row>
    <row r="45" spans="1:64" s="200" customFormat="1">
      <c r="A45" s="367"/>
      <c r="B45" s="197"/>
      <c r="C45" s="403"/>
      <c r="D45" s="403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  <c r="AA45" s="217"/>
      <c r="AB45" s="217"/>
      <c r="AC45" s="217"/>
      <c r="AD45" s="217"/>
      <c r="AE45" s="217"/>
      <c r="AF45" s="217"/>
      <c r="AG45" s="217"/>
      <c r="AH45" s="217"/>
      <c r="AI45" s="217"/>
      <c r="AJ45" s="217"/>
      <c r="AK45" s="217"/>
      <c r="AL45" s="217"/>
      <c r="AM45" s="217"/>
      <c r="AN45" s="217"/>
      <c r="AO45" s="217"/>
      <c r="AP45" s="217"/>
      <c r="AQ45" s="217"/>
      <c r="AR45" s="217"/>
      <c r="AS45" s="217"/>
      <c r="AT45" s="217"/>
      <c r="AU45" s="217"/>
      <c r="AV45" s="217"/>
      <c r="AW45" s="217"/>
      <c r="AX45" s="217"/>
      <c r="AY45" s="217"/>
      <c r="AZ45" s="217"/>
      <c r="BA45" s="217"/>
      <c r="BB45" s="217"/>
      <c r="BC45" s="217"/>
      <c r="BD45" s="217"/>
      <c r="BE45" s="217"/>
      <c r="BF45" s="217"/>
      <c r="BG45" s="217"/>
      <c r="BH45" s="217"/>
      <c r="BI45" s="217"/>
      <c r="BJ45" s="217"/>
      <c r="BK45" s="405"/>
      <c r="BL45" s="217"/>
    </row>
    <row r="46" spans="1:64" s="222" customFormat="1">
      <c r="A46" s="404"/>
      <c r="B46" s="212" t="s">
        <v>256</v>
      </c>
      <c r="E46" s="222">
        <v>1582156</v>
      </c>
      <c r="F46" s="223"/>
      <c r="G46" s="222">
        <f>ENA!G46</f>
        <v>2538865</v>
      </c>
      <c r="H46" s="223"/>
      <c r="I46" s="222">
        <f>SUM(I39:I45)</f>
        <v>664550</v>
      </c>
      <c r="J46" s="223"/>
      <c r="K46" s="222">
        <f>SUM(K39:K45)</f>
        <v>0</v>
      </c>
      <c r="L46" s="223"/>
      <c r="M46" s="222">
        <f>SUM(M39:M45)</f>
        <v>0</v>
      </c>
      <c r="N46" s="223"/>
      <c r="O46" s="222">
        <f>SUM(O39:O45)</f>
        <v>0</v>
      </c>
      <c r="P46" s="223"/>
      <c r="Q46" s="222">
        <f>SUM(Q39:Q45)</f>
        <v>0</v>
      </c>
      <c r="R46" s="223"/>
      <c r="S46" s="222">
        <f>SUM(S39:S45)</f>
        <v>0</v>
      </c>
      <c r="T46" s="223"/>
      <c r="U46" s="222">
        <f>SUM(U39:U45)</f>
        <v>0</v>
      </c>
      <c r="V46" s="223"/>
      <c r="W46" s="222">
        <f>SUM(W39:W45)</f>
        <v>0</v>
      </c>
      <c r="X46" s="223"/>
      <c r="Y46" s="222">
        <f>SUM(Y39:Y45)</f>
        <v>0</v>
      </c>
      <c r="Z46" s="223"/>
      <c r="AA46" s="222">
        <f>SUM(AA39:AA45)</f>
        <v>0</v>
      </c>
      <c r="AB46" s="223"/>
      <c r="AC46" s="222">
        <f>SUM(AC39:AC45)</f>
        <v>0</v>
      </c>
      <c r="AD46" s="223"/>
      <c r="AE46" s="222">
        <f>SUM(AE39:AE45)</f>
        <v>0</v>
      </c>
      <c r="AF46" s="223"/>
      <c r="AG46" s="222">
        <f>SUM(AG39:AG45)</f>
        <v>0</v>
      </c>
      <c r="AH46" s="223"/>
      <c r="AI46" s="222">
        <f>SUM(AI39:AI45)</f>
        <v>314468.05</v>
      </c>
      <c r="AJ46" s="223"/>
      <c r="AK46" s="222">
        <v>354690</v>
      </c>
      <c r="AL46" s="223"/>
      <c r="AM46" s="223">
        <f>SUM(AM39:AM45)</f>
        <v>0</v>
      </c>
      <c r="AN46" s="223"/>
      <c r="AO46" s="222">
        <f>SUM(AO39:AO45)</f>
        <v>0</v>
      </c>
      <c r="AP46" s="223"/>
      <c r="AQ46" s="223">
        <v>360872</v>
      </c>
      <c r="AR46" s="223"/>
      <c r="AS46" s="223">
        <v>73171</v>
      </c>
      <c r="AT46" s="223"/>
      <c r="AU46" s="223">
        <v>169633</v>
      </c>
      <c r="AV46" s="223"/>
      <c r="AW46" s="223">
        <v>159566</v>
      </c>
      <c r="AX46" s="223"/>
      <c r="AY46" s="223">
        <f>SUM(AY39:AY45)+343395</f>
        <v>671254</v>
      </c>
      <c r="AZ46" s="223"/>
      <c r="BA46" s="223">
        <v>327871</v>
      </c>
      <c r="BB46" s="223"/>
      <c r="BC46" s="223">
        <f>2293772-2117057</f>
        <v>176715</v>
      </c>
      <c r="BD46" s="223">
        <f>SUM(BD39:BD45)</f>
        <v>0</v>
      </c>
      <c r="BE46" s="222">
        <f>SUM(AK46:BC46)</f>
        <v>2293772</v>
      </c>
      <c r="BF46" s="223"/>
      <c r="BG46" s="222">
        <f>SUM(BG39:BG45)</f>
        <v>11</v>
      </c>
      <c r="BH46" s="223"/>
      <c r="BI46" s="222">
        <f>SUM(BI39:BI45)</f>
        <v>2293772.56</v>
      </c>
      <c r="BJ46" s="223"/>
      <c r="BK46" s="405">
        <f>SUM(BK39:BK45)</f>
        <v>-0.55999999996856786</v>
      </c>
      <c r="BL46" s="223"/>
    </row>
    <row r="47" spans="1:64" s="200" customFormat="1" hidden="1">
      <c r="A47" s="367"/>
      <c r="B47" s="197"/>
      <c r="C47" s="403"/>
      <c r="D47" s="403"/>
      <c r="F47" s="217"/>
      <c r="H47" s="217"/>
      <c r="J47" s="217"/>
      <c r="L47" s="217"/>
      <c r="N47" s="217"/>
      <c r="P47" s="217"/>
      <c r="R47" s="217"/>
      <c r="T47" s="217"/>
      <c r="V47" s="217"/>
      <c r="X47" s="217"/>
      <c r="Z47" s="217"/>
      <c r="AB47" s="217"/>
      <c r="AD47" s="217"/>
      <c r="AF47" s="217"/>
      <c r="AH47" s="217"/>
      <c r="AJ47" s="217"/>
      <c r="AL47" s="217"/>
      <c r="AM47" s="217"/>
      <c r="AN47" s="217"/>
      <c r="AP47" s="217"/>
      <c r="AQ47" s="217"/>
      <c r="AR47" s="217"/>
      <c r="AS47" s="217"/>
      <c r="AT47" s="217"/>
      <c r="AU47" s="217"/>
      <c r="AV47" s="217"/>
      <c r="AW47" s="217"/>
      <c r="AX47" s="217"/>
      <c r="AY47" s="217"/>
      <c r="AZ47" s="217"/>
      <c r="BA47" s="217"/>
      <c r="BB47" s="217"/>
      <c r="BC47" s="217"/>
      <c r="BD47" s="217"/>
      <c r="BF47" s="217"/>
      <c r="BH47" s="217"/>
      <c r="BJ47" s="217"/>
      <c r="BL47" s="217"/>
    </row>
    <row r="48" spans="1:64" s="200" customFormat="1" hidden="1">
      <c r="A48" s="216"/>
      <c r="B48" s="197"/>
      <c r="C48" s="403"/>
      <c r="D48" s="403"/>
      <c r="F48" s="217"/>
      <c r="H48" s="217"/>
      <c r="J48" s="217"/>
      <c r="L48" s="217"/>
      <c r="N48" s="217"/>
      <c r="P48" s="217"/>
      <c r="R48" s="217"/>
      <c r="T48" s="217"/>
      <c r="V48" s="217"/>
      <c r="X48" s="217"/>
      <c r="Z48" s="217"/>
      <c r="AB48" s="217"/>
      <c r="AD48" s="217"/>
      <c r="AF48" s="217"/>
      <c r="AH48" s="217"/>
      <c r="AJ48" s="217"/>
      <c r="AL48" s="217"/>
      <c r="AM48" s="217"/>
      <c r="AN48" s="217"/>
      <c r="AP48" s="217"/>
      <c r="AQ48" s="217"/>
      <c r="AR48" s="217"/>
      <c r="AS48" s="217"/>
      <c r="AT48" s="217"/>
      <c r="AU48" s="217"/>
      <c r="AV48" s="217"/>
      <c r="AW48" s="217"/>
      <c r="AX48" s="217"/>
      <c r="AY48" s="217"/>
      <c r="AZ48" s="217"/>
      <c r="BA48" s="217"/>
      <c r="BB48" s="217"/>
      <c r="BC48" s="217"/>
      <c r="BD48" s="217"/>
      <c r="BF48" s="217"/>
      <c r="BH48" s="217"/>
      <c r="BJ48" s="217"/>
      <c r="BL48" s="217"/>
    </row>
    <row r="49" spans="1:64" s="200" customFormat="1" hidden="1">
      <c r="A49" s="215" t="s">
        <v>1502</v>
      </c>
      <c r="B49" s="197"/>
      <c r="C49" s="403"/>
      <c r="D49" s="403"/>
      <c r="E49" s="36"/>
      <c r="F49" s="217"/>
      <c r="G49" s="36"/>
      <c r="H49" s="217"/>
      <c r="I49" s="36"/>
      <c r="J49" s="217"/>
      <c r="L49" s="217"/>
      <c r="N49" s="217"/>
      <c r="P49" s="217"/>
      <c r="R49" s="217"/>
      <c r="T49" s="217"/>
      <c r="V49" s="217"/>
      <c r="X49" s="217"/>
      <c r="Z49" s="217"/>
      <c r="AB49" s="217"/>
      <c r="AD49" s="217"/>
      <c r="AF49" s="217"/>
      <c r="AH49" s="217"/>
      <c r="AJ49" s="217"/>
      <c r="AL49" s="217"/>
      <c r="AM49" s="217"/>
      <c r="AN49" s="217"/>
      <c r="AP49" s="217"/>
      <c r="AQ49" s="217"/>
      <c r="AR49" s="217"/>
      <c r="AS49" s="217"/>
      <c r="AT49" s="217"/>
      <c r="AU49" s="217"/>
      <c r="AV49" s="217"/>
      <c r="AW49" s="217"/>
      <c r="AX49" s="217"/>
      <c r="AY49" s="217"/>
      <c r="AZ49" s="217"/>
      <c r="BA49" s="217"/>
      <c r="BB49" s="217"/>
      <c r="BC49" s="217"/>
      <c r="BD49" s="217"/>
      <c r="BF49" s="217"/>
      <c r="BH49" s="217"/>
      <c r="BJ49" s="217"/>
      <c r="BL49" s="217"/>
    </row>
    <row r="50" spans="1:64" s="200" customFormat="1" hidden="1">
      <c r="A50" s="216"/>
      <c r="B50" s="197" t="s">
        <v>1448</v>
      </c>
      <c r="C50" s="403"/>
      <c r="D50" s="403"/>
      <c r="E50" s="407">
        <v>1321202</v>
      </c>
      <c r="F50" s="407">
        <v>1296974</v>
      </c>
      <c r="G50" s="407">
        <v>1321202</v>
      </c>
      <c r="H50" s="217"/>
      <c r="I50" s="407">
        <f t="shared" ref="I50:I63" si="14">G50-E50</f>
        <v>0</v>
      </c>
      <c r="J50" s="217"/>
      <c r="K50" s="407">
        <v>0</v>
      </c>
      <c r="L50" s="407">
        <v>0</v>
      </c>
      <c r="M50" s="407">
        <v>0</v>
      </c>
      <c r="N50" s="407">
        <v>0</v>
      </c>
      <c r="O50" s="407">
        <v>0</v>
      </c>
      <c r="P50" s="407">
        <v>0</v>
      </c>
      <c r="Q50" s="407">
        <v>0</v>
      </c>
      <c r="R50" s="407">
        <v>0</v>
      </c>
      <c r="S50" s="407">
        <v>0</v>
      </c>
      <c r="T50" s="407">
        <v>0</v>
      </c>
      <c r="U50" s="407">
        <v>0</v>
      </c>
      <c r="V50" s="407">
        <v>0</v>
      </c>
      <c r="W50" s="407">
        <v>0</v>
      </c>
      <c r="X50" s="407">
        <v>0</v>
      </c>
      <c r="Y50" s="407">
        <v>0</v>
      </c>
      <c r="Z50" s="407">
        <v>0</v>
      </c>
      <c r="AA50" s="407">
        <v>0</v>
      </c>
      <c r="AB50" s="407"/>
      <c r="AC50" s="407">
        <v>0</v>
      </c>
      <c r="AD50" s="407"/>
      <c r="AE50" s="407">
        <v>0</v>
      </c>
      <c r="AF50" s="407"/>
      <c r="AG50" s="359">
        <v>1975</v>
      </c>
      <c r="AH50" s="407"/>
      <c r="AI50" s="407">
        <f>7400-AG50</f>
        <v>5425</v>
      </c>
      <c r="AJ50" s="407"/>
      <c r="AK50" s="359">
        <f t="shared" ref="AK50:AK61" si="15">SUM(K50:AI50)</f>
        <v>7400</v>
      </c>
      <c r="AL50" s="407"/>
      <c r="AM50" s="407"/>
      <c r="AN50" s="407"/>
      <c r="AO50" s="407">
        <f>121198-AK50</f>
        <v>113798</v>
      </c>
      <c r="AP50" s="407"/>
      <c r="AQ50" s="407">
        <v>0</v>
      </c>
      <c r="AR50" s="407"/>
      <c r="AS50" s="407">
        <v>0</v>
      </c>
      <c r="AT50" s="407"/>
      <c r="AU50" s="407">
        <v>0</v>
      </c>
      <c r="AV50" s="407"/>
      <c r="AW50" s="407">
        <v>0</v>
      </c>
      <c r="AX50" s="407"/>
      <c r="AY50" s="407">
        <v>0</v>
      </c>
      <c r="AZ50" s="407"/>
      <c r="BA50" s="407">
        <v>0</v>
      </c>
      <c r="BB50" s="407"/>
      <c r="BC50" s="407">
        <v>0</v>
      </c>
      <c r="BD50" s="407">
        <v>0</v>
      </c>
      <c r="BE50" s="359">
        <f t="shared" ref="BE50:BE63" si="16">SUM(AK50:BD50)</f>
        <v>121198</v>
      </c>
      <c r="BF50" s="407"/>
      <c r="BG50" s="200">
        <f t="shared" ref="BG50:BG63" si="17">+MAX(0,G50-BE50+AM50)</f>
        <v>1200004</v>
      </c>
      <c r="BH50" s="359"/>
      <c r="BI50" s="200">
        <f t="shared" ref="BI50:BI63" si="18">SUM(BE50:BG50)</f>
        <v>1321202</v>
      </c>
      <c r="BJ50" s="359"/>
      <c r="BK50" s="405">
        <f t="shared" ref="BK50:BK63" si="19">G50-BI50</f>
        <v>0</v>
      </c>
      <c r="BL50" s="217"/>
    </row>
    <row r="51" spans="1:64" s="200" customFormat="1" hidden="1">
      <c r="A51" s="216"/>
      <c r="B51" s="197" t="s">
        <v>1449</v>
      </c>
      <c r="C51" s="403"/>
      <c r="D51" s="403"/>
      <c r="E51" s="407">
        <v>1144865</v>
      </c>
      <c r="F51" s="407">
        <v>1043067</v>
      </c>
      <c r="G51" s="407">
        <v>1144865</v>
      </c>
      <c r="H51" s="217"/>
      <c r="I51" s="407">
        <f t="shared" si="14"/>
        <v>0</v>
      </c>
      <c r="J51" s="217"/>
      <c r="K51" s="407">
        <v>0</v>
      </c>
      <c r="L51" s="407">
        <v>0</v>
      </c>
      <c r="M51" s="407">
        <v>0</v>
      </c>
      <c r="N51" s="407">
        <v>0</v>
      </c>
      <c r="O51" s="407">
        <v>0</v>
      </c>
      <c r="P51" s="407">
        <v>0</v>
      </c>
      <c r="Q51" s="407">
        <v>0</v>
      </c>
      <c r="R51" s="407">
        <v>0</v>
      </c>
      <c r="S51" s="407">
        <v>0</v>
      </c>
      <c r="T51" s="407">
        <v>0</v>
      </c>
      <c r="U51" s="407">
        <v>0</v>
      </c>
      <c r="V51" s="407">
        <v>0</v>
      </c>
      <c r="W51" s="407">
        <v>0</v>
      </c>
      <c r="X51" s="407">
        <v>0</v>
      </c>
      <c r="Y51" s="407">
        <v>0</v>
      </c>
      <c r="Z51" s="407">
        <v>0</v>
      </c>
      <c r="AA51" s="407">
        <v>0</v>
      </c>
      <c r="AB51" s="407"/>
      <c r="AC51" s="407">
        <v>0</v>
      </c>
      <c r="AD51" s="407"/>
      <c r="AE51" s="407">
        <v>0</v>
      </c>
      <c r="AF51" s="407"/>
      <c r="AG51" s="359">
        <v>52268</v>
      </c>
      <c r="AH51" s="407"/>
      <c r="AI51" s="407">
        <f>117249-AG51</f>
        <v>64981</v>
      </c>
      <c r="AJ51" s="407"/>
      <c r="AK51" s="359">
        <f t="shared" si="15"/>
        <v>117249</v>
      </c>
      <c r="AL51" s="407"/>
      <c r="AM51" s="407"/>
      <c r="AN51" s="407"/>
      <c r="AO51" s="407">
        <f>307836-AK51</f>
        <v>190587</v>
      </c>
      <c r="AP51" s="407"/>
      <c r="AQ51" s="407">
        <v>0</v>
      </c>
      <c r="AR51" s="407"/>
      <c r="AS51" s="407">
        <v>0</v>
      </c>
      <c r="AT51" s="407"/>
      <c r="AU51" s="407">
        <v>0</v>
      </c>
      <c r="AV51" s="407"/>
      <c r="AW51" s="407">
        <v>0</v>
      </c>
      <c r="AX51" s="407"/>
      <c r="AY51" s="407">
        <v>0</v>
      </c>
      <c r="AZ51" s="407"/>
      <c r="BA51" s="407">
        <v>0</v>
      </c>
      <c r="BB51" s="407"/>
      <c r="BC51" s="407">
        <v>0</v>
      </c>
      <c r="BD51" s="407">
        <v>0</v>
      </c>
      <c r="BE51" s="359">
        <f t="shared" si="16"/>
        <v>307836</v>
      </c>
      <c r="BF51" s="407"/>
      <c r="BG51" s="200">
        <f t="shared" si="17"/>
        <v>837029</v>
      </c>
      <c r="BH51" s="359"/>
      <c r="BI51" s="200">
        <f t="shared" si="18"/>
        <v>1144865</v>
      </c>
      <c r="BJ51" s="359"/>
      <c r="BK51" s="405">
        <f t="shared" si="19"/>
        <v>0</v>
      </c>
      <c r="BL51" s="217"/>
    </row>
    <row r="52" spans="1:64" s="200" customFormat="1" hidden="1">
      <c r="A52" s="216"/>
      <c r="B52" s="197" t="s">
        <v>1450</v>
      </c>
      <c r="C52" s="403"/>
      <c r="D52" s="403"/>
      <c r="E52" s="407">
        <v>614691</v>
      </c>
      <c r="F52" s="407">
        <v>603264</v>
      </c>
      <c r="G52" s="407">
        <v>614691</v>
      </c>
      <c r="H52" s="217"/>
      <c r="I52" s="407">
        <f t="shared" si="14"/>
        <v>0</v>
      </c>
      <c r="J52" s="217"/>
      <c r="K52" s="407">
        <v>0</v>
      </c>
      <c r="L52" s="407">
        <v>0</v>
      </c>
      <c r="M52" s="407">
        <v>0</v>
      </c>
      <c r="N52" s="407">
        <v>0</v>
      </c>
      <c r="O52" s="407">
        <v>0</v>
      </c>
      <c r="P52" s="407">
        <v>0</v>
      </c>
      <c r="Q52" s="407">
        <v>0</v>
      </c>
      <c r="R52" s="407">
        <v>0</v>
      </c>
      <c r="S52" s="407">
        <v>0</v>
      </c>
      <c r="T52" s="407">
        <v>0</v>
      </c>
      <c r="U52" s="407">
        <v>0</v>
      </c>
      <c r="V52" s="407">
        <v>0</v>
      </c>
      <c r="W52" s="407">
        <v>0</v>
      </c>
      <c r="X52" s="407">
        <v>0</v>
      </c>
      <c r="Y52" s="407">
        <v>0</v>
      </c>
      <c r="Z52" s="407">
        <v>0</v>
      </c>
      <c r="AA52" s="407">
        <v>0</v>
      </c>
      <c r="AB52" s="407"/>
      <c r="AC52" s="407">
        <v>0</v>
      </c>
      <c r="AD52" s="407"/>
      <c r="AE52" s="407">
        <v>0</v>
      </c>
      <c r="AF52" s="407"/>
      <c r="AG52" s="359">
        <v>3551</v>
      </c>
      <c r="AH52" s="407"/>
      <c r="AI52" s="407">
        <f>26079-AG52</f>
        <v>22528</v>
      </c>
      <c r="AJ52" s="407"/>
      <c r="AK52" s="359">
        <f t="shared" si="15"/>
        <v>26079</v>
      </c>
      <c r="AL52" s="407"/>
      <c r="AM52" s="407"/>
      <c r="AN52" s="407"/>
      <c r="AO52" s="407">
        <f>170575-AK52</f>
        <v>144496</v>
      </c>
      <c r="AP52" s="407"/>
      <c r="AQ52" s="407">
        <v>0</v>
      </c>
      <c r="AR52" s="407"/>
      <c r="AS52" s="407">
        <v>0</v>
      </c>
      <c r="AT52" s="407"/>
      <c r="AU52" s="407">
        <v>0</v>
      </c>
      <c r="AV52" s="407"/>
      <c r="AW52" s="407">
        <v>0</v>
      </c>
      <c r="AX52" s="407"/>
      <c r="AY52" s="407">
        <v>0</v>
      </c>
      <c r="AZ52" s="407"/>
      <c r="BA52" s="407">
        <v>0</v>
      </c>
      <c r="BB52" s="407"/>
      <c r="BC52" s="407">
        <v>0</v>
      </c>
      <c r="BD52" s="407">
        <v>0</v>
      </c>
      <c r="BE52" s="359">
        <f t="shared" si="16"/>
        <v>170575</v>
      </c>
      <c r="BF52" s="407"/>
      <c r="BG52" s="200">
        <f t="shared" si="17"/>
        <v>444116</v>
      </c>
      <c r="BH52" s="359"/>
      <c r="BI52" s="200">
        <f t="shared" si="18"/>
        <v>614691</v>
      </c>
      <c r="BJ52" s="359"/>
      <c r="BK52" s="405">
        <f t="shared" si="19"/>
        <v>0</v>
      </c>
      <c r="BL52" s="217"/>
    </row>
    <row r="53" spans="1:64" s="200" customFormat="1" hidden="1">
      <c r="A53" s="216"/>
      <c r="B53" s="197" t="s">
        <v>1451</v>
      </c>
      <c r="C53" s="403"/>
      <c r="D53" s="403"/>
      <c r="E53" s="407">
        <v>388912</v>
      </c>
      <c r="F53" s="407">
        <v>384400</v>
      </c>
      <c r="G53" s="407">
        <v>388912</v>
      </c>
      <c r="H53" s="217"/>
      <c r="I53" s="407">
        <f t="shared" si="14"/>
        <v>0</v>
      </c>
      <c r="J53" s="217"/>
      <c r="K53" s="407">
        <v>0</v>
      </c>
      <c r="L53" s="407">
        <v>0</v>
      </c>
      <c r="M53" s="407">
        <v>0</v>
      </c>
      <c r="N53" s="407">
        <v>0</v>
      </c>
      <c r="O53" s="407">
        <v>0</v>
      </c>
      <c r="P53" s="407">
        <v>0</v>
      </c>
      <c r="Q53" s="407">
        <v>0</v>
      </c>
      <c r="R53" s="407">
        <v>0</v>
      </c>
      <c r="S53" s="407">
        <v>0</v>
      </c>
      <c r="T53" s="407">
        <v>0</v>
      </c>
      <c r="U53" s="407">
        <v>0</v>
      </c>
      <c r="V53" s="407">
        <v>0</v>
      </c>
      <c r="W53" s="407">
        <v>0</v>
      </c>
      <c r="X53" s="407">
        <v>0</v>
      </c>
      <c r="Y53" s="407">
        <v>0</v>
      </c>
      <c r="Z53" s="407">
        <v>0</v>
      </c>
      <c r="AA53" s="407">
        <v>0</v>
      </c>
      <c r="AB53" s="407"/>
      <c r="AC53" s="407">
        <v>0</v>
      </c>
      <c r="AD53" s="407"/>
      <c r="AE53" s="407">
        <v>0</v>
      </c>
      <c r="AF53" s="407"/>
      <c r="AG53" s="359">
        <v>8394</v>
      </c>
      <c r="AH53" s="407"/>
      <c r="AI53" s="407">
        <f>16982-AG53</f>
        <v>8588</v>
      </c>
      <c r="AJ53" s="407"/>
      <c r="AK53" s="359">
        <f t="shared" si="15"/>
        <v>16982</v>
      </c>
      <c r="AL53" s="407"/>
      <c r="AM53" s="407"/>
      <c r="AN53" s="407"/>
      <c r="AO53" s="407">
        <f>108138-AK53</f>
        <v>91156</v>
      </c>
      <c r="AP53" s="407"/>
      <c r="AQ53" s="407">
        <v>0</v>
      </c>
      <c r="AR53" s="407"/>
      <c r="AS53" s="407">
        <v>0</v>
      </c>
      <c r="AT53" s="407"/>
      <c r="AU53" s="407">
        <v>0</v>
      </c>
      <c r="AV53" s="407"/>
      <c r="AW53" s="407">
        <v>0</v>
      </c>
      <c r="AX53" s="407"/>
      <c r="AY53" s="407">
        <v>0</v>
      </c>
      <c r="AZ53" s="407"/>
      <c r="BA53" s="407">
        <v>0</v>
      </c>
      <c r="BB53" s="407"/>
      <c r="BC53" s="407">
        <v>0</v>
      </c>
      <c r="BD53" s="407">
        <v>0</v>
      </c>
      <c r="BE53" s="359">
        <f t="shared" si="16"/>
        <v>108138</v>
      </c>
      <c r="BF53" s="407"/>
      <c r="BG53" s="200">
        <f t="shared" si="17"/>
        <v>280774</v>
      </c>
      <c r="BH53" s="359"/>
      <c r="BI53" s="200">
        <f t="shared" si="18"/>
        <v>388912</v>
      </c>
      <c r="BJ53" s="359"/>
      <c r="BK53" s="405">
        <f t="shared" si="19"/>
        <v>0</v>
      </c>
      <c r="BL53" s="217"/>
    </row>
    <row r="54" spans="1:64" s="200" customFormat="1" hidden="1">
      <c r="A54" s="216"/>
      <c r="B54" s="197" t="s">
        <v>1452</v>
      </c>
      <c r="C54" s="403"/>
      <c r="D54" s="403"/>
      <c r="E54" s="407">
        <v>2989004</v>
      </c>
      <c r="F54" s="407">
        <v>2876774</v>
      </c>
      <c r="G54" s="407">
        <v>2989004</v>
      </c>
      <c r="H54" s="217"/>
      <c r="I54" s="407">
        <f t="shared" si="14"/>
        <v>0</v>
      </c>
      <c r="J54" s="217"/>
      <c r="K54" s="407">
        <v>0</v>
      </c>
      <c r="L54" s="407">
        <v>0</v>
      </c>
      <c r="M54" s="407">
        <v>0</v>
      </c>
      <c r="N54" s="407">
        <v>0</v>
      </c>
      <c r="O54" s="407">
        <v>0</v>
      </c>
      <c r="P54" s="407">
        <v>0</v>
      </c>
      <c r="Q54" s="407">
        <v>0</v>
      </c>
      <c r="R54" s="407">
        <v>0</v>
      </c>
      <c r="S54" s="407">
        <v>0</v>
      </c>
      <c r="T54" s="407">
        <v>0</v>
      </c>
      <c r="U54" s="407">
        <v>0</v>
      </c>
      <c r="V54" s="407">
        <v>0</v>
      </c>
      <c r="W54" s="407">
        <v>0</v>
      </c>
      <c r="X54" s="407">
        <v>0</v>
      </c>
      <c r="Y54" s="407">
        <v>0</v>
      </c>
      <c r="Z54" s="407">
        <v>0</v>
      </c>
      <c r="AA54" s="407">
        <v>0</v>
      </c>
      <c r="AB54" s="407"/>
      <c r="AC54" s="407">
        <v>0</v>
      </c>
      <c r="AD54" s="407"/>
      <c r="AE54" s="407">
        <v>0</v>
      </c>
      <c r="AF54" s="407"/>
      <c r="AG54" s="359">
        <v>61847</v>
      </c>
      <c r="AH54" s="407"/>
      <c r="AI54" s="407">
        <f>240898-AG54</f>
        <v>179051</v>
      </c>
      <c r="AJ54" s="407"/>
      <c r="AK54" s="359">
        <f t="shared" si="15"/>
        <v>240898</v>
      </c>
      <c r="AL54" s="407"/>
      <c r="AM54" s="407"/>
      <c r="AN54" s="407"/>
      <c r="AO54" s="407">
        <f>713796-AK54</f>
        <v>472898</v>
      </c>
      <c r="AP54" s="407"/>
      <c r="AQ54" s="407">
        <v>0</v>
      </c>
      <c r="AR54" s="407"/>
      <c r="AS54" s="407">
        <v>0</v>
      </c>
      <c r="AT54" s="407"/>
      <c r="AU54" s="407">
        <v>0</v>
      </c>
      <c r="AV54" s="407"/>
      <c r="AW54" s="407">
        <v>0</v>
      </c>
      <c r="AX54" s="407"/>
      <c r="AY54" s="407">
        <v>0</v>
      </c>
      <c r="AZ54" s="407"/>
      <c r="BA54" s="407">
        <v>0</v>
      </c>
      <c r="BB54" s="407"/>
      <c r="BC54" s="407">
        <v>0</v>
      </c>
      <c r="BD54" s="407">
        <v>0</v>
      </c>
      <c r="BE54" s="359">
        <f t="shared" si="16"/>
        <v>713796</v>
      </c>
      <c r="BF54" s="407"/>
      <c r="BG54" s="200">
        <f t="shared" si="17"/>
        <v>2275208</v>
      </c>
      <c r="BH54" s="359"/>
      <c r="BI54" s="200">
        <f t="shared" si="18"/>
        <v>2989004</v>
      </c>
      <c r="BJ54" s="359"/>
      <c r="BK54" s="405">
        <f t="shared" si="19"/>
        <v>0</v>
      </c>
      <c r="BL54" s="217"/>
    </row>
    <row r="55" spans="1:64" s="200" customFormat="1" hidden="1">
      <c r="A55" s="216"/>
      <c r="B55" s="197" t="s">
        <v>1453</v>
      </c>
      <c r="C55" s="403"/>
      <c r="D55" s="403"/>
      <c r="E55" s="407">
        <v>109057</v>
      </c>
      <c r="F55" s="407">
        <v>109057</v>
      </c>
      <c r="G55" s="407">
        <v>109057</v>
      </c>
      <c r="H55" s="217"/>
      <c r="I55" s="407">
        <f t="shared" si="14"/>
        <v>0</v>
      </c>
      <c r="J55" s="217"/>
      <c r="K55" s="407">
        <v>0</v>
      </c>
      <c r="L55" s="407">
        <v>0</v>
      </c>
      <c r="M55" s="407">
        <v>0</v>
      </c>
      <c r="N55" s="407">
        <v>0</v>
      </c>
      <c r="O55" s="407">
        <v>0</v>
      </c>
      <c r="P55" s="407">
        <v>0</v>
      </c>
      <c r="Q55" s="407">
        <v>0</v>
      </c>
      <c r="R55" s="407">
        <v>0</v>
      </c>
      <c r="S55" s="407">
        <v>0</v>
      </c>
      <c r="T55" s="407">
        <v>0</v>
      </c>
      <c r="U55" s="407">
        <v>0</v>
      </c>
      <c r="V55" s="407">
        <v>0</v>
      </c>
      <c r="W55" s="407">
        <v>0</v>
      </c>
      <c r="X55" s="407">
        <v>0</v>
      </c>
      <c r="Y55" s="407">
        <v>0</v>
      </c>
      <c r="Z55" s="407">
        <v>0</v>
      </c>
      <c r="AA55" s="407">
        <v>0</v>
      </c>
      <c r="AB55" s="407"/>
      <c r="AC55" s="407">
        <v>0</v>
      </c>
      <c r="AD55" s="407"/>
      <c r="AE55" s="407">
        <v>0</v>
      </c>
      <c r="AF55" s="407"/>
      <c r="AG55" s="359">
        <v>37866</v>
      </c>
      <c r="AH55" s="407"/>
      <c r="AI55" s="407">
        <f>60603-AG55</f>
        <v>22737</v>
      </c>
      <c r="AJ55" s="407"/>
      <c r="AK55" s="359">
        <f t="shared" si="15"/>
        <v>60603</v>
      </c>
      <c r="AL55" s="407"/>
      <c r="AM55" s="407"/>
      <c r="AN55" s="407"/>
      <c r="AO55" s="407">
        <f>91643-AK55</f>
        <v>31040</v>
      </c>
      <c r="AP55" s="407"/>
      <c r="AQ55" s="407">
        <v>0</v>
      </c>
      <c r="AR55" s="407"/>
      <c r="AS55" s="407">
        <v>0</v>
      </c>
      <c r="AT55" s="407"/>
      <c r="AU55" s="407">
        <v>0</v>
      </c>
      <c r="AV55" s="407"/>
      <c r="AW55" s="407">
        <v>0</v>
      </c>
      <c r="AX55" s="407"/>
      <c r="AY55" s="407">
        <v>0</v>
      </c>
      <c r="AZ55" s="407"/>
      <c r="BA55" s="407">
        <v>0</v>
      </c>
      <c r="BB55" s="407"/>
      <c r="BC55" s="407">
        <v>0</v>
      </c>
      <c r="BD55" s="407">
        <v>0</v>
      </c>
      <c r="BE55" s="359">
        <f t="shared" si="16"/>
        <v>91643</v>
      </c>
      <c r="BF55" s="407"/>
      <c r="BG55" s="200">
        <f t="shared" si="17"/>
        <v>17414</v>
      </c>
      <c r="BH55" s="359"/>
      <c r="BI55" s="200">
        <f t="shared" si="18"/>
        <v>109057</v>
      </c>
      <c r="BJ55" s="359"/>
      <c r="BK55" s="405">
        <f t="shared" si="19"/>
        <v>0</v>
      </c>
      <c r="BL55" s="217"/>
    </row>
    <row r="56" spans="1:64" s="200" customFormat="1" hidden="1">
      <c r="A56" s="216"/>
      <c r="B56" s="197" t="s">
        <v>1454</v>
      </c>
      <c r="C56" s="403"/>
      <c r="D56" s="403"/>
      <c r="E56" s="407">
        <v>611825</v>
      </c>
      <c r="F56" s="407">
        <v>611825</v>
      </c>
      <c r="G56" s="407">
        <v>611825</v>
      </c>
      <c r="H56" s="217"/>
      <c r="I56" s="407">
        <f t="shared" si="14"/>
        <v>0</v>
      </c>
      <c r="J56" s="217"/>
      <c r="K56" s="407">
        <v>0</v>
      </c>
      <c r="L56" s="407">
        <v>0</v>
      </c>
      <c r="M56" s="407">
        <v>0</v>
      </c>
      <c r="N56" s="407">
        <v>0</v>
      </c>
      <c r="O56" s="407">
        <v>0</v>
      </c>
      <c r="P56" s="407">
        <v>0</v>
      </c>
      <c r="Q56" s="407">
        <v>0</v>
      </c>
      <c r="R56" s="407">
        <v>0</v>
      </c>
      <c r="S56" s="407">
        <v>0</v>
      </c>
      <c r="T56" s="407">
        <v>0</v>
      </c>
      <c r="U56" s="407">
        <v>0</v>
      </c>
      <c r="V56" s="407">
        <v>0</v>
      </c>
      <c r="W56" s="407">
        <v>0</v>
      </c>
      <c r="X56" s="407">
        <v>0</v>
      </c>
      <c r="Y56" s="407">
        <v>0</v>
      </c>
      <c r="Z56" s="407">
        <v>0</v>
      </c>
      <c r="AA56" s="407">
        <v>0</v>
      </c>
      <c r="AB56" s="407"/>
      <c r="AC56" s="407">
        <v>0</v>
      </c>
      <c r="AD56" s="407"/>
      <c r="AE56" s="407">
        <v>0</v>
      </c>
      <c r="AF56" s="407"/>
      <c r="AG56" s="359">
        <v>68325</v>
      </c>
      <c r="AH56" s="407"/>
      <c r="AI56" s="407">
        <f>119877-AG56</f>
        <v>51552</v>
      </c>
      <c r="AJ56" s="407"/>
      <c r="AK56" s="359">
        <f t="shared" si="15"/>
        <v>119877</v>
      </c>
      <c r="AL56" s="407"/>
      <c r="AM56" s="407"/>
      <c r="AN56" s="407"/>
      <c r="AO56" s="407">
        <f>192255-AK56</f>
        <v>72378</v>
      </c>
      <c r="AP56" s="407"/>
      <c r="AQ56" s="407">
        <v>0</v>
      </c>
      <c r="AR56" s="407"/>
      <c r="AS56" s="407">
        <v>0</v>
      </c>
      <c r="AT56" s="407"/>
      <c r="AU56" s="407">
        <v>0</v>
      </c>
      <c r="AV56" s="407"/>
      <c r="AW56" s="407">
        <v>0</v>
      </c>
      <c r="AX56" s="407"/>
      <c r="AY56" s="407">
        <v>0</v>
      </c>
      <c r="AZ56" s="407"/>
      <c r="BA56" s="407">
        <v>0</v>
      </c>
      <c r="BB56" s="407"/>
      <c r="BC56" s="407">
        <v>0</v>
      </c>
      <c r="BD56" s="407">
        <v>0</v>
      </c>
      <c r="BE56" s="359">
        <f t="shared" si="16"/>
        <v>192255</v>
      </c>
      <c r="BF56" s="407"/>
      <c r="BG56" s="200">
        <f t="shared" si="17"/>
        <v>419570</v>
      </c>
      <c r="BH56" s="359"/>
      <c r="BI56" s="200">
        <f t="shared" si="18"/>
        <v>611825</v>
      </c>
      <c r="BJ56" s="359"/>
      <c r="BK56" s="405">
        <f t="shared" si="19"/>
        <v>0</v>
      </c>
      <c r="BL56" s="217"/>
    </row>
    <row r="57" spans="1:64" s="200" customFormat="1" hidden="1">
      <c r="A57" s="216"/>
      <c r="B57" s="197" t="s">
        <v>1455</v>
      </c>
      <c r="C57" s="403"/>
      <c r="D57" s="403"/>
      <c r="E57" s="407">
        <v>74199</v>
      </c>
      <c r="F57" s="407">
        <v>74199</v>
      </c>
      <c r="G57" s="407">
        <v>74199</v>
      </c>
      <c r="H57" s="217"/>
      <c r="I57" s="407">
        <f t="shared" si="14"/>
        <v>0</v>
      </c>
      <c r="J57" s="217"/>
      <c r="K57" s="407">
        <v>0</v>
      </c>
      <c r="L57" s="407">
        <v>0</v>
      </c>
      <c r="M57" s="407">
        <v>0</v>
      </c>
      <c r="N57" s="407">
        <v>0</v>
      </c>
      <c r="O57" s="407">
        <v>0</v>
      </c>
      <c r="P57" s="407">
        <v>0</v>
      </c>
      <c r="Q57" s="407">
        <v>0</v>
      </c>
      <c r="R57" s="407">
        <v>0</v>
      </c>
      <c r="S57" s="407">
        <v>0</v>
      </c>
      <c r="T57" s="407">
        <v>0</v>
      </c>
      <c r="U57" s="407">
        <v>0</v>
      </c>
      <c r="V57" s="407">
        <v>0</v>
      </c>
      <c r="W57" s="407">
        <v>0</v>
      </c>
      <c r="X57" s="407">
        <v>0</v>
      </c>
      <c r="Y57" s="407">
        <v>0</v>
      </c>
      <c r="Z57" s="407">
        <v>0</v>
      </c>
      <c r="AA57" s="407">
        <v>0</v>
      </c>
      <c r="AB57" s="407"/>
      <c r="AC57" s="407">
        <v>0</v>
      </c>
      <c r="AD57" s="407"/>
      <c r="AE57" s="407">
        <v>0</v>
      </c>
      <c r="AF57" s="407"/>
      <c r="AG57" s="359">
        <v>18554</v>
      </c>
      <c r="AH57" s="407"/>
      <c r="AI57" s="407">
        <f>30858-AG57</f>
        <v>12304</v>
      </c>
      <c r="AJ57" s="407"/>
      <c r="AK57" s="359">
        <f t="shared" si="15"/>
        <v>30858</v>
      </c>
      <c r="AL57" s="407"/>
      <c r="AM57" s="407"/>
      <c r="AN57" s="407"/>
      <c r="AO57" s="407">
        <f>62126-AK57</f>
        <v>31268</v>
      </c>
      <c r="AP57" s="407"/>
      <c r="AQ57" s="407">
        <v>0</v>
      </c>
      <c r="AR57" s="407"/>
      <c r="AS57" s="407">
        <v>0</v>
      </c>
      <c r="AT57" s="407"/>
      <c r="AU57" s="407">
        <v>0</v>
      </c>
      <c r="AV57" s="407"/>
      <c r="AW57" s="407">
        <v>0</v>
      </c>
      <c r="AX57" s="407"/>
      <c r="AY57" s="407">
        <v>0</v>
      </c>
      <c r="AZ57" s="407"/>
      <c r="BA57" s="407">
        <v>0</v>
      </c>
      <c r="BB57" s="407"/>
      <c r="BC57" s="407">
        <v>0</v>
      </c>
      <c r="BD57" s="407">
        <v>0</v>
      </c>
      <c r="BE57" s="359">
        <f t="shared" si="16"/>
        <v>62126</v>
      </c>
      <c r="BF57" s="407"/>
      <c r="BG57" s="200">
        <f t="shared" si="17"/>
        <v>12073</v>
      </c>
      <c r="BH57" s="359"/>
      <c r="BI57" s="200">
        <f t="shared" si="18"/>
        <v>74199</v>
      </c>
      <c r="BJ57" s="359"/>
      <c r="BK57" s="405">
        <f t="shared" si="19"/>
        <v>0</v>
      </c>
      <c r="BL57" s="217"/>
    </row>
    <row r="58" spans="1:64" s="200" customFormat="1" hidden="1">
      <c r="A58" s="216"/>
      <c r="B58" s="197" t="s">
        <v>1456</v>
      </c>
      <c r="C58" s="403"/>
      <c r="D58" s="403"/>
      <c r="E58" s="407">
        <v>120318</v>
      </c>
      <c r="F58" s="407">
        <v>120318</v>
      </c>
      <c r="G58" s="407">
        <v>120318</v>
      </c>
      <c r="H58" s="217"/>
      <c r="I58" s="407">
        <f t="shared" si="14"/>
        <v>0</v>
      </c>
      <c r="J58" s="217"/>
      <c r="K58" s="407">
        <v>0</v>
      </c>
      <c r="L58" s="407">
        <v>0</v>
      </c>
      <c r="M58" s="407">
        <v>0</v>
      </c>
      <c r="N58" s="407">
        <v>0</v>
      </c>
      <c r="O58" s="407">
        <v>0</v>
      </c>
      <c r="P58" s="407">
        <v>0</v>
      </c>
      <c r="Q58" s="407">
        <v>0</v>
      </c>
      <c r="R58" s="407">
        <v>0</v>
      </c>
      <c r="S58" s="407">
        <v>0</v>
      </c>
      <c r="T58" s="407">
        <v>0</v>
      </c>
      <c r="U58" s="407">
        <v>0</v>
      </c>
      <c r="V58" s="407">
        <v>0</v>
      </c>
      <c r="W58" s="407">
        <v>0</v>
      </c>
      <c r="X58" s="407">
        <v>0</v>
      </c>
      <c r="Y58" s="407">
        <v>0</v>
      </c>
      <c r="Z58" s="407">
        <v>0</v>
      </c>
      <c r="AA58" s="407">
        <v>0</v>
      </c>
      <c r="AB58" s="407"/>
      <c r="AC58" s="407">
        <v>0</v>
      </c>
      <c r="AD58" s="407"/>
      <c r="AE58" s="407">
        <v>0</v>
      </c>
      <c r="AF58" s="407"/>
      <c r="AG58" s="359">
        <v>4681</v>
      </c>
      <c r="AH58" s="407"/>
      <c r="AI58" s="407">
        <f>76662-AG58</f>
        <v>71981</v>
      </c>
      <c r="AJ58" s="407"/>
      <c r="AK58" s="359">
        <f t="shared" si="15"/>
        <v>76662</v>
      </c>
      <c r="AL58" s="407"/>
      <c r="AM58" s="407"/>
      <c r="AN58" s="407"/>
      <c r="AO58" s="407">
        <f>99166-AK58</f>
        <v>22504</v>
      </c>
      <c r="AP58" s="407"/>
      <c r="AQ58" s="407">
        <v>0</v>
      </c>
      <c r="AR58" s="407"/>
      <c r="AS58" s="407">
        <v>0</v>
      </c>
      <c r="AT58" s="407"/>
      <c r="AU58" s="407">
        <v>0</v>
      </c>
      <c r="AV58" s="407"/>
      <c r="AW58" s="407">
        <v>0</v>
      </c>
      <c r="AX58" s="407"/>
      <c r="AY58" s="407">
        <v>0</v>
      </c>
      <c r="AZ58" s="407"/>
      <c r="BA58" s="407">
        <v>0</v>
      </c>
      <c r="BB58" s="407"/>
      <c r="BC58" s="407">
        <v>0</v>
      </c>
      <c r="BD58" s="407">
        <v>0</v>
      </c>
      <c r="BE58" s="359">
        <f t="shared" si="16"/>
        <v>99166</v>
      </c>
      <c r="BF58" s="407"/>
      <c r="BG58" s="200">
        <f t="shared" si="17"/>
        <v>21152</v>
      </c>
      <c r="BH58" s="359"/>
      <c r="BI58" s="200">
        <f t="shared" si="18"/>
        <v>120318</v>
      </c>
      <c r="BJ58" s="359"/>
      <c r="BK58" s="405">
        <f t="shared" si="19"/>
        <v>0</v>
      </c>
      <c r="BL58" s="217"/>
    </row>
    <row r="59" spans="1:64" s="200" customFormat="1" hidden="1">
      <c r="A59" s="216"/>
      <c r="B59" s="197" t="s">
        <v>1457</v>
      </c>
      <c r="C59" s="403"/>
      <c r="D59" s="403"/>
      <c r="E59" s="407">
        <v>361113</v>
      </c>
      <c r="F59" s="407">
        <v>420103</v>
      </c>
      <c r="G59" s="407">
        <v>361113</v>
      </c>
      <c r="H59" s="217"/>
      <c r="I59" s="407">
        <f t="shared" si="14"/>
        <v>0</v>
      </c>
      <c r="J59" s="217"/>
      <c r="K59" s="407">
        <v>0</v>
      </c>
      <c r="L59" s="407">
        <v>0</v>
      </c>
      <c r="M59" s="407">
        <v>0</v>
      </c>
      <c r="N59" s="407">
        <v>0</v>
      </c>
      <c r="O59" s="407">
        <v>0</v>
      </c>
      <c r="P59" s="407">
        <v>0</v>
      </c>
      <c r="Q59" s="407">
        <v>0</v>
      </c>
      <c r="R59" s="407">
        <v>0</v>
      </c>
      <c r="S59" s="407">
        <v>0</v>
      </c>
      <c r="T59" s="407">
        <v>0</v>
      </c>
      <c r="U59" s="407">
        <v>0</v>
      </c>
      <c r="V59" s="407">
        <v>0</v>
      </c>
      <c r="W59" s="407">
        <v>0</v>
      </c>
      <c r="X59" s="407">
        <v>0</v>
      </c>
      <c r="Y59" s="407">
        <v>0</v>
      </c>
      <c r="Z59" s="407">
        <v>0</v>
      </c>
      <c r="AA59" s="407">
        <v>0</v>
      </c>
      <c r="AB59" s="407"/>
      <c r="AC59" s="407">
        <v>0</v>
      </c>
      <c r="AD59" s="407"/>
      <c r="AE59" s="407">
        <v>0</v>
      </c>
      <c r="AF59" s="407"/>
      <c r="AG59" s="359">
        <v>29018</v>
      </c>
      <c r="AH59" s="407"/>
      <c r="AI59" s="407">
        <f>66422-AG59</f>
        <v>37404</v>
      </c>
      <c r="AJ59" s="407"/>
      <c r="AK59" s="359">
        <f t="shared" si="15"/>
        <v>66422</v>
      </c>
      <c r="AL59" s="407"/>
      <c r="AM59" s="407"/>
      <c r="AN59" s="407"/>
      <c r="AO59" s="407">
        <f>211996-AK59</f>
        <v>145574</v>
      </c>
      <c r="AP59" s="407"/>
      <c r="AQ59" s="407">
        <v>0</v>
      </c>
      <c r="AR59" s="407"/>
      <c r="AS59" s="407">
        <v>0</v>
      </c>
      <c r="AT59" s="407"/>
      <c r="AU59" s="407">
        <v>0</v>
      </c>
      <c r="AV59" s="407"/>
      <c r="AW59" s="407">
        <v>0</v>
      </c>
      <c r="AX59" s="407"/>
      <c r="AY59" s="407">
        <v>0</v>
      </c>
      <c r="AZ59" s="407"/>
      <c r="BA59" s="407">
        <v>0</v>
      </c>
      <c r="BB59" s="407"/>
      <c r="BC59" s="407">
        <v>0</v>
      </c>
      <c r="BD59" s="407">
        <v>0</v>
      </c>
      <c r="BE59" s="359">
        <f t="shared" si="16"/>
        <v>211996</v>
      </c>
      <c r="BF59" s="407"/>
      <c r="BG59" s="200">
        <f t="shared" si="17"/>
        <v>149117</v>
      </c>
      <c r="BH59" s="359"/>
      <c r="BI59" s="200">
        <f t="shared" si="18"/>
        <v>361113</v>
      </c>
      <c r="BJ59" s="359"/>
      <c r="BK59" s="405">
        <f t="shared" si="19"/>
        <v>0</v>
      </c>
      <c r="BL59" s="217"/>
    </row>
    <row r="60" spans="1:64" s="200" customFormat="1" hidden="1">
      <c r="A60" s="216"/>
      <c r="B60" s="197" t="s">
        <v>1458</v>
      </c>
      <c r="C60" s="403"/>
      <c r="D60" s="403"/>
      <c r="E60" s="407">
        <v>101715</v>
      </c>
      <c r="F60" s="407">
        <v>101715</v>
      </c>
      <c r="G60" s="407">
        <v>101715</v>
      </c>
      <c r="H60" s="217"/>
      <c r="I60" s="407">
        <f t="shared" si="14"/>
        <v>0</v>
      </c>
      <c r="J60" s="217"/>
      <c r="K60" s="407">
        <v>0</v>
      </c>
      <c r="L60" s="407">
        <v>0</v>
      </c>
      <c r="M60" s="407">
        <v>0</v>
      </c>
      <c r="N60" s="407">
        <v>0</v>
      </c>
      <c r="O60" s="407">
        <v>0</v>
      </c>
      <c r="P60" s="407">
        <v>0</v>
      </c>
      <c r="Q60" s="407">
        <v>0</v>
      </c>
      <c r="R60" s="407">
        <v>0</v>
      </c>
      <c r="S60" s="407">
        <v>0</v>
      </c>
      <c r="T60" s="407">
        <v>0</v>
      </c>
      <c r="U60" s="407">
        <v>0</v>
      </c>
      <c r="V60" s="407">
        <v>0</v>
      </c>
      <c r="W60" s="407">
        <v>0</v>
      </c>
      <c r="X60" s="407">
        <v>0</v>
      </c>
      <c r="Y60" s="407">
        <v>0</v>
      </c>
      <c r="Z60" s="407">
        <v>0</v>
      </c>
      <c r="AA60" s="407">
        <v>0</v>
      </c>
      <c r="AB60" s="407"/>
      <c r="AC60" s="407">
        <v>0</v>
      </c>
      <c r="AD60" s="407"/>
      <c r="AE60" s="407">
        <v>0</v>
      </c>
      <c r="AF60" s="407"/>
      <c r="AG60" s="359">
        <v>0</v>
      </c>
      <c r="AH60" s="407"/>
      <c r="AI60" s="407">
        <v>5143</v>
      </c>
      <c r="AJ60" s="407"/>
      <c r="AK60" s="359">
        <f t="shared" si="15"/>
        <v>5143</v>
      </c>
      <c r="AL60" s="407"/>
      <c r="AM60" s="407"/>
      <c r="AN60" s="407"/>
      <c r="AO60" s="407">
        <f>30221-AK60</f>
        <v>25078</v>
      </c>
      <c r="AP60" s="407"/>
      <c r="AQ60" s="407">
        <v>0</v>
      </c>
      <c r="AR60" s="407"/>
      <c r="AS60" s="407">
        <v>0</v>
      </c>
      <c r="AT60" s="407"/>
      <c r="AU60" s="407">
        <v>0</v>
      </c>
      <c r="AV60" s="407"/>
      <c r="AW60" s="407">
        <v>0</v>
      </c>
      <c r="AX60" s="407"/>
      <c r="AY60" s="407">
        <v>0</v>
      </c>
      <c r="AZ60" s="407"/>
      <c r="BA60" s="407">
        <v>0</v>
      </c>
      <c r="BB60" s="407"/>
      <c r="BC60" s="407">
        <v>0</v>
      </c>
      <c r="BD60" s="407">
        <v>0</v>
      </c>
      <c r="BE60" s="359">
        <f t="shared" si="16"/>
        <v>30221</v>
      </c>
      <c r="BF60" s="407"/>
      <c r="BG60" s="200">
        <f t="shared" si="17"/>
        <v>71494</v>
      </c>
      <c r="BH60" s="359"/>
      <c r="BI60" s="200">
        <f t="shared" si="18"/>
        <v>101715</v>
      </c>
      <c r="BJ60" s="359"/>
      <c r="BK60" s="405">
        <f t="shared" si="19"/>
        <v>0</v>
      </c>
      <c r="BL60" s="217"/>
    </row>
    <row r="61" spans="1:64" s="200" customFormat="1" hidden="1">
      <c r="A61" s="216"/>
      <c r="B61" s="197" t="s">
        <v>1459</v>
      </c>
      <c r="C61" s="403"/>
      <c r="D61" s="403"/>
      <c r="E61" s="407">
        <v>49000</v>
      </c>
      <c r="F61" s="407">
        <v>49000</v>
      </c>
      <c r="G61" s="407">
        <v>49000</v>
      </c>
      <c r="H61" s="217"/>
      <c r="I61" s="407">
        <f t="shared" si="14"/>
        <v>0</v>
      </c>
      <c r="J61" s="217"/>
      <c r="K61" s="407">
        <v>0</v>
      </c>
      <c r="L61" s="407">
        <v>0</v>
      </c>
      <c r="M61" s="407">
        <v>0</v>
      </c>
      <c r="N61" s="407">
        <v>0</v>
      </c>
      <c r="O61" s="407">
        <v>0</v>
      </c>
      <c r="P61" s="407">
        <v>0</v>
      </c>
      <c r="Q61" s="407">
        <v>0</v>
      </c>
      <c r="R61" s="407">
        <v>0</v>
      </c>
      <c r="S61" s="407">
        <v>0</v>
      </c>
      <c r="T61" s="407">
        <v>0</v>
      </c>
      <c r="U61" s="407">
        <v>0</v>
      </c>
      <c r="V61" s="407">
        <v>0</v>
      </c>
      <c r="W61" s="407">
        <v>0</v>
      </c>
      <c r="X61" s="407">
        <v>0</v>
      </c>
      <c r="Y61" s="407">
        <v>0</v>
      </c>
      <c r="Z61" s="407">
        <v>0</v>
      </c>
      <c r="AA61" s="407">
        <v>0</v>
      </c>
      <c r="AB61" s="407"/>
      <c r="AC61" s="407">
        <v>0</v>
      </c>
      <c r="AD61" s="407"/>
      <c r="AE61" s="407">
        <v>0</v>
      </c>
      <c r="AF61" s="407"/>
      <c r="AG61" s="359">
        <v>0</v>
      </c>
      <c r="AH61" s="407"/>
      <c r="AI61" s="407">
        <v>0</v>
      </c>
      <c r="AJ61" s="407"/>
      <c r="AK61" s="359">
        <f t="shared" si="15"/>
        <v>0</v>
      </c>
      <c r="AL61" s="407"/>
      <c r="AM61" s="407"/>
      <c r="AN61" s="407"/>
      <c r="AO61" s="407">
        <v>0</v>
      </c>
      <c r="AP61" s="407"/>
      <c r="AQ61" s="407">
        <v>0</v>
      </c>
      <c r="AR61" s="407"/>
      <c r="AS61" s="407">
        <v>0</v>
      </c>
      <c r="AT61" s="407"/>
      <c r="AU61" s="407">
        <v>0</v>
      </c>
      <c r="AV61" s="407"/>
      <c r="AW61" s="407">
        <v>0</v>
      </c>
      <c r="AX61" s="407"/>
      <c r="AY61" s="407">
        <v>0</v>
      </c>
      <c r="AZ61" s="407"/>
      <c r="BA61" s="407">
        <v>0</v>
      </c>
      <c r="BB61" s="407"/>
      <c r="BC61" s="407">
        <v>0</v>
      </c>
      <c r="BD61" s="407">
        <v>0</v>
      </c>
      <c r="BE61" s="359">
        <f t="shared" si="16"/>
        <v>0</v>
      </c>
      <c r="BF61" s="407"/>
      <c r="BG61" s="200">
        <f t="shared" si="17"/>
        <v>49000</v>
      </c>
      <c r="BH61" s="359"/>
      <c r="BI61" s="200">
        <f t="shared" si="18"/>
        <v>49000</v>
      </c>
      <c r="BJ61" s="359"/>
      <c r="BK61" s="405">
        <f t="shared" si="19"/>
        <v>0</v>
      </c>
      <c r="BL61" s="217"/>
    </row>
    <row r="62" spans="1:64" s="200" customFormat="1" hidden="1">
      <c r="A62" s="216"/>
      <c r="B62" s="197" t="s">
        <v>1460</v>
      </c>
      <c r="C62" s="403"/>
      <c r="D62" s="403"/>
      <c r="E62" s="407">
        <v>7917</v>
      </c>
      <c r="F62" s="407">
        <v>7917</v>
      </c>
      <c r="G62" s="407">
        <v>7917</v>
      </c>
      <c r="H62" s="217"/>
      <c r="I62" s="407">
        <f t="shared" si="14"/>
        <v>0</v>
      </c>
      <c r="J62" s="217"/>
      <c r="K62" s="407">
        <v>0</v>
      </c>
      <c r="L62" s="407">
        <v>0</v>
      </c>
      <c r="M62" s="407">
        <v>0</v>
      </c>
      <c r="N62" s="407">
        <v>0</v>
      </c>
      <c r="O62" s="407">
        <v>0</v>
      </c>
      <c r="P62" s="407">
        <v>0</v>
      </c>
      <c r="Q62" s="407">
        <v>0</v>
      </c>
      <c r="R62" s="407">
        <v>0</v>
      </c>
      <c r="S62" s="407">
        <v>0</v>
      </c>
      <c r="T62" s="407">
        <v>0</v>
      </c>
      <c r="U62" s="407">
        <v>0</v>
      </c>
      <c r="V62" s="407">
        <v>0</v>
      </c>
      <c r="W62" s="407">
        <v>0</v>
      </c>
      <c r="X62" s="407">
        <v>0</v>
      </c>
      <c r="Y62" s="407">
        <v>0</v>
      </c>
      <c r="Z62" s="407">
        <v>0</v>
      </c>
      <c r="AA62" s="407">
        <v>0</v>
      </c>
      <c r="AB62" s="407"/>
      <c r="AC62" s="407">
        <v>0</v>
      </c>
      <c r="AD62" s="407"/>
      <c r="AE62" s="407">
        <v>0</v>
      </c>
      <c r="AF62" s="407"/>
      <c r="AG62" s="359">
        <v>0</v>
      </c>
      <c r="AH62" s="407"/>
      <c r="AI62" s="407">
        <v>0</v>
      </c>
      <c r="AJ62" s="407"/>
      <c r="AK62" s="359">
        <v>0</v>
      </c>
      <c r="AL62" s="407"/>
      <c r="AM62" s="407"/>
      <c r="AN62" s="407"/>
      <c r="AO62" s="407">
        <f>-12494</f>
        <v>-12494</v>
      </c>
      <c r="AP62" s="407"/>
      <c r="AQ62" s="407">
        <v>0</v>
      </c>
      <c r="AR62" s="407"/>
      <c r="AS62" s="407">
        <v>0</v>
      </c>
      <c r="AT62" s="407"/>
      <c r="AU62" s="407">
        <v>0</v>
      </c>
      <c r="AV62" s="407"/>
      <c r="AW62" s="407">
        <v>0</v>
      </c>
      <c r="AX62" s="407"/>
      <c r="AY62" s="407">
        <v>0</v>
      </c>
      <c r="AZ62" s="407"/>
      <c r="BA62" s="407">
        <v>0</v>
      </c>
      <c r="BB62" s="407"/>
      <c r="BC62" s="407">
        <v>0</v>
      </c>
      <c r="BD62" s="407">
        <v>0</v>
      </c>
      <c r="BE62" s="359">
        <f t="shared" si="16"/>
        <v>-12494</v>
      </c>
      <c r="BF62" s="407"/>
      <c r="BG62" s="200">
        <f t="shared" si="17"/>
        <v>20411</v>
      </c>
      <c r="BH62" s="359"/>
      <c r="BI62" s="200">
        <f t="shared" si="18"/>
        <v>7917</v>
      </c>
      <c r="BJ62" s="359"/>
      <c r="BK62" s="405">
        <f t="shared" si="19"/>
        <v>0</v>
      </c>
      <c r="BL62" s="217"/>
    </row>
    <row r="63" spans="1:64" s="200" customFormat="1" hidden="1">
      <c r="A63" s="216"/>
      <c r="B63" s="197" t="s">
        <v>8</v>
      </c>
      <c r="C63" s="403"/>
      <c r="D63" s="403"/>
      <c r="E63" s="407">
        <v>458990</v>
      </c>
      <c r="F63" s="407">
        <v>0</v>
      </c>
      <c r="G63" s="407">
        <v>458990</v>
      </c>
      <c r="H63" s="217"/>
      <c r="I63" s="407">
        <f t="shared" si="14"/>
        <v>0</v>
      </c>
      <c r="J63" s="217"/>
      <c r="K63" s="407">
        <v>0</v>
      </c>
      <c r="L63" s="407">
        <v>0</v>
      </c>
      <c r="M63" s="407">
        <v>0</v>
      </c>
      <c r="N63" s="407">
        <v>0</v>
      </c>
      <c r="O63" s="407">
        <v>0</v>
      </c>
      <c r="P63" s="407">
        <v>0</v>
      </c>
      <c r="Q63" s="407">
        <v>0</v>
      </c>
      <c r="R63" s="407">
        <v>0</v>
      </c>
      <c r="S63" s="407">
        <v>0</v>
      </c>
      <c r="T63" s="407">
        <v>0</v>
      </c>
      <c r="U63" s="407">
        <v>0</v>
      </c>
      <c r="V63" s="407">
        <v>0</v>
      </c>
      <c r="W63" s="407">
        <v>0</v>
      </c>
      <c r="X63" s="407">
        <v>0</v>
      </c>
      <c r="Y63" s="407">
        <v>0</v>
      </c>
      <c r="Z63" s="407">
        <v>0</v>
      </c>
      <c r="AA63" s="407">
        <v>0</v>
      </c>
      <c r="AB63" s="407"/>
      <c r="AC63" s="407">
        <v>0</v>
      </c>
      <c r="AD63" s="407"/>
      <c r="AE63" s="407">
        <v>0</v>
      </c>
      <c r="AF63" s="407"/>
      <c r="AG63" s="359">
        <v>0</v>
      </c>
      <c r="AH63" s="407"/>
      <c r="AI63" s="407">
        <v>0</v>
      </c>
      <c r="AJ63" s="407"/>
      <c r="AK63" s="359">
        <v>0</v>
      </c>
      <c r="AL63" s="407"/>
      <c r="AM63" s="407"/>
      <c r="AN63" s="407"/>
      <c r="AO63" s="407">
        <v>0</v>
      </c>
      <c r="AP63" s="407"/>
      <c r="AQ63" s="407">
        <v>0</v>
      </c>
      <c r="AR63" s="407"/>
      <c r="AS63" s="407">
        <v>0</v>
      </c>
      <c r="AT63" s="407"/>
      <c r="AU63" s="407">
        <v>0</v>
      </c>
      <c r="AV63" s="407"/>
      <c r="AW63" s="407">
        <v>0</v>
      </c>
      <c r="AX63" s="407"/>
      <c r="AY63" s="407">
        <v>0</v>
      </c>
      <c r="AZ63" s="407"/>
      <c r="BA63" s="407">
        <v>0</v>
      </c>
      <c r="BB63" s="407"/>
      <c r="BC63" s="407">
        <v>0</v>
      </c>
      <c r="BD63" s="407">
        <v>0</v>
      </c>
      <c r="BE63" s="359">
        <f t="shared" si="16"/>
        <v>0</v>
      </c>
      <c r="BF63" s="407"/>
      <c r="BG63" s="200">
        <f t="shared" si="17"/>
        <v>458990</v>
      </c>
      <c r="BH63" s="359"/>
      <c r="BI63" s="200">
        <f t="shared" si="18"/>
        <v>458990</v>
      </c>
      <c r="BJ63" s="359"/>
      <c r="BK63" s="405">
        <f t="shared" si="19"/>
        <v>0</v>
      </c>
      <c r="BL63" s="217"/>
    </row>
    <row r="64" spans="1:64" s="200" customFormat="1" hidden="1">
      <c r="A64" s="216"/>
      <c r="B64" s="212" t="s">
        <v>1506</v>
      </c>
      <c r="C64" s="403"/>
      <c r="D64" s="403"/>
      <c r="E64" s="408">
        <f>SUM(E50:E63)</f>
        <v>8352808</v>
      </c>
      <c r="F64" s="217"/>
      <c r="G64" s="408">
        <f>SUBTOTAL(9,G50:G63)</f>
        <v>8352808</v>
      </c>
      <c r="H64" s="217"/>
      <c r="I64" s="408">
        <f t="shared" ref="I64:AB64" si="20">SUM(I50:I63)</f>
        <v>0</v>
      </c>
      <c r="J64" s="198">
        <f t="shared" si="20"/>
        <v>0</v>
      </c>
      <c r="K64" s="408">
        <f t="shared" si="20"/>
        <v>0</v>
      </c>
      <c r="L64" s="198">
        <f t="shared" si="20"/>
        <v>0</v>
      </c>
      <c r="M64" s="408">
        <f t="shared" si="20"/>
        <v>0</v>
      </c>
      <c r="N64" s="198">
        <f t="shared" si="20"/>
        <v>0</v>
      </c>
      <c r="O64" s="408">
        <f t="shared" si="20"/>
        <v>0</v>
      </c>
      <c r="P64" s="198">
        <f t="shared" si="20"/>
        <v>0</v>
      </c>
      <c r="Q64" s="408">
        <f t="shared" si="20"/>
        <v>0</v>
      </c>
      <c r="R64" s="198">
        <f t="shared" si="20"/>
        <v>0</v>
      </c>
      <c r="S64" s="408">
        <f t="shared" si="20"/>
        <v>0</v>
      </c>
      <c r="T64" s="198">
        <f t="shared" si="20"/>
        <v>0</v>
      </c>
      <c r="U64" s="408">
        <f t="shared" si="20"/>
        <v>0</v>
      </c>
      <c r="V64" s="198">
        <f t="shared" si="20"/>
        <v>0</v>
      </c>
      <c r="W64" s="408">
        <f t="shared" si="20"/>
        <v>0</v>
      </c>
      <c r="X64" s="198">
        <f t="shared" si="20"/>
        <v>0</v>
      </c>
      <c r="Y64" s="408">
        <f t="shared" si="20"/>
        <v>0</v>
      </c>
      <c r="Z64" s="198">
        <f t="shared" si="20"/>
        <v>0</v>
      </c>
      <c r="AA64" s="408">
        <f t="shared" si="20"/>
        <v>0</v>
      </c>
      <c r="AB64" s="198">
        <f t="shared" si="20"/>
        <v>0</v>
      </c>
      <c r="AC64" s="408">
        <f>SUM(AC50:AC62)</f>
        <v>0</v>
      </c>
      <c r="AD64" s="198">
        <f>SUM(AD50:AD62)</f>
        <v>0</v>
      </c>
      <c r="AE64" s="408">
        <f>SUM(AE50:AE62)</f>
        <v>0</v>
      </c>
      <c r="AF64" s="198"/>
      <c r="AG64" s="409">
        <f>SUM(AG50:AG62)</f>
        <v>286479</v>
      </c>
      <c r="AH64" s="198">
        <f>SUM(AC64:AG64)</f>
        <v>286479</v>
      </c>
      <c r="AI64" s="408">
        <f>SUM(AI50:AI63)</f>
        <v>481694</v>
      </c>
      <c r="AJ64" s="198"/>
      <c r="AK64" s="409">
        <f>SUM(AK50:AK63)</f>
        <v>768173</v>
      </c>
      <c r="AL64" s="198">
        <f>SUM(AL50:AL63)</f>
        <v>0</v>
      </c>
      <c r="AM64" s="198">
        <f>SUM(AM50:AM63)</f>
        <v>0</v>
      </c>
      <c r="AN64" s="198">
        <f>SUM(AN50:AN63)</f>
        <v>0</v>
      </c>
      <c r="AO64" s="408">
        <f>SUM(AO50:AO63)</f>
        <v>1328283</v>
      </c>
      <c r="AP64" s="198"/>
      <c r="AQ64" s="408">
        <f>SUM(AQ50:AQ63)</f>
        <v>0</v>
      </c>
      <c r="AR64" s="198"/>
      <c r="AS64" s="198">
        <f>SUM(AS50:AS63)</f>
        <v>0</v>
      </c>
      <c r="AT64" s="198"/>
      <c r="AU64" s="198">
        <f>SUM(AU50:AU63)</f>
        <v>0</v>
      </c>
      <c r="AV64" s="198"/>
      <c r="AW64" s="198">
        <f>SUM(AW50:AW63)</f>
        <v>0</v>
      </c>
      <c r="AX64" s="198"/>
      <c r="AY64" s="198">
        <f>SUM(AY50:AY63)</f>
        <v>0</v>
      </c>
      <c r="AZ64" s="198"/>
      <c r="BA64" s="198">
        <f>SUM(BA50:BA63)</f>
        <v>0</v>
      </c>
      <c r="BB64" s="198"/>
      <c r="BC64" s="198">
        <f>SUM(BC50:BC63)</f>
        <v>0</v>
      </c>
      <c r="BD64" s="198">
        <f>SUM(BD50:BD63)</f>
        <v>0</v>
      </c>
      <c r="BE64" s="409">
        <f>SUM(BE50:BE63)</f>
        <v>2096456</v>
      </c>
      <c r="BF64" s="198"/>
      <c r="BG64" s="409">
        <f t="shared" ref="BG64:BL64" si="21">SUM(BG50:BG63)</f>
        <v>6256352</v>
      </c>
      <c r="BH64" s="360">
        <f t="shared" si="21"/>
        <v>0</v>
      </c>
      <c r="BI64" s="409">
        <f t="shared" si="21"/>
        <v>8352808</v>
      </c>
      <c r="BJ64" s="360">
        <f t="shared" si="21"/>
        <v>0</v>
      </c>
      <c r="BK64" s="409">
        <f t="shared" si="21"/>
        <v>0</v>
      </c>
      <c r="BL64" s="198">
        <f t="shared" si="21"/>
        <v>0</v>
      </c>
    </row>
    <row r="65" spans="1:64" s="200" customFormat="1" hidden="1">
      <c r="A65" s="216"/>
      <c r="B65" s="197"/>
      <c r="C65" s="403"/>
      <c r="D65" s="403"/>
      <c r="E65" s="357"/>
      <c r="F65" s="217"/>
      <c r="G65" s="357"/>
      <c r="H65" s="217"/>
      <c r="I65" s="357"/>
      <c r="J65" s="217"/>
      <c r="K65" s="357"/>
      <c r="L65" s="357"/>
      <c r="M65" s="357"/>
      <c r="N65" s="357"/>
      <c r="O65" s="357"/>
      <c r="P65" s="357"/>
      <c r="Q65" s="357"/>
      <c r="R65" s="357"/>
      <c r="S65" s="357"/>
      <c r="T65" s="357"/>
      <c r="U65" s="357"/>
      <c r="V65" s="357"/>
      <c r="W65" s="357"/>
      <c r="X65" s="357"/>
      <c r="Y65" s="357"/>
      <c r="Z65" s="357"/>
      <c r="AA65" s="357"/>
      <c r="AB65" s="357"/>
      <c r="AC65" s="357"/>
      <c r="AD65" s="357"/>
      <c r="AE65" s="357"/>
      <c r="AF65" s="357"/>
      <c r="AG65" s="360"/>
      <c r="AH65" s="357"/>
      <c r="AI65" s="357"/>
      <c r="AJ65" s="357"/>
      <c r="AK65" s="360"/>
      <c r="AL65" s="357"/>
      <c r="AM65" s="357"/>
      <c r="AN65" s="357"/>
      <c r="AO65" s="357"/>
      <c r="AP65" s="357"/>
      <c r="AQ65" s="357"/>
      <c r="AR65" s="357"/>
      <c r="AS65" s="357"/>
      <c r="AT65" s="357"/>
      <c r="AU65" s="357"/>
      <c r="AV65" s="357"/>
      <c r="AW65" s="357"/>
      <c r="AX65" s="357"/>
      <c r="AY65" s="357"/>
      <c r="AZ65" s="357"/>
      <c r="BA65" s="357"/>
      <c r="BB65" s="357"/>
      <c r="BC65" s="357"/>
      <c r="BD65" s="357"/>
      <c r="BE65" s="360"/>
      <c r="BF65" s="357"/>
      <c r="BG65" s="360">
        <f>+MAX(0,G65-AK65+AM65)</f>
        <v>0</v>
      </c>
      <c r="BH65" s="360"/>
      <c r="BI65" s="360">
        <f>BG65+AK65</f>
        <v>0</v>
      </c>
      <c r="BJ65" s="360"/>
      <c r="BK65" s="360">
        <f t="shared" ref="BK65:BK89" si="22">G65-BI65</f>
        <v>0</v>
      </c>
      <c r="BL65" s="217"/>
    </row>
    <row r="66" spans="1:64" s="200" customFormat="1" hidden="1">
      <c r="A66" s="212" t="s">
        <v>1503</v>
      </c>
      <c r="C66" s="403"/>
      <c r="D66" s="403"/>
      <c r="E66" s="358"/>
      <c r="F66" s="217"/>
      <c r="G66" s="358"/>
      <c r="H66" s="217"/>
      <c r="I66" s="358"/>
      <c r="J66" s="217"/>
      <c r="K66" s="358"/>
      <c r="L66" s="358"/>
      <c r="M66" s="358"/>
      <c r="N66" s="358"/>
      <c r="O66" s="358"/>
      <c r="P66" s="358"/>
      <c r="Q66" s="358"/>
      <c r="R66" s="358"/>
      <c r="S66" s="358"/>
      <c r="T66" s="358"/>
      <c r="U66" s="358"/>
      <c r="V66" s="358"/>
      <c r="W66" s="358"/>
      <c r="X66" s="358"/>
      <c r="Y66" s="358"/>
      <c r="Z66" s="358"/>
      <c r="AA66" s="358"/>
      <c r="AB66" s="358"/>
      <c r="AC66" s="358"/>
      <c r="AD66" s="358"/>
      <c r="AE66" s="358"/>
      <c r="AF66" s="358"/>
      <c r="AG66" s="362"/>
      <c r="AH66" s="358"/>
      <c r="AI66" s="358"/>
      <c r="AJ66" s="358"/>
      <c r="AK66" s="362"/>
      <c r="AL66" s="358"/>
      <c r="AM66" s="358"/>
      <c r="AN66" s="358"/>
      <c r="AO66" s="358"/>
      <c r="AP66" s="358"/>
      <c r="AQ66" s="358"/>
      <c r="AR66" s="358"/>
      <c r="AS66" s="358"/>
      <c r="AT66" s="358"/>
      <c r="AU66" s="358"/>
      <c r="AV66" s="358"/>
      <c r="AW66" s="358"/>
      <c r="AX66" s="358"/>
      <c r="AY66" s="358"/>
      <c r="AZ66" s="358"/>
      <c r="BA66" s="358"/>
      <c r="BB66" s="358"/>
      <c r="BC66" s="358"/>
      <c r="BD66" s="358"/>
      <c r="BE66" s="362"/>
      <c r="BF66" s="358"/>
      <c r="BG66" s="362">
        <f>+MAX(0,G66-AK66+AM66)</f>
        <v>0</v>
      </c>
      <c r="BH66" s="362"/>
      <c r="BI66" s="362">
        <f>BG66+AK66</f>
        <v>0</v>
      </c>
      <c r="BJ66" s="362"/>
      <c r="BK66" s="362">
        <f t="shared" si="22"/>
        <v>0</v>
      </c>
      <c r="BL66" s="217"/>
    </row>
    <row r="67" spans="1:64" s="200" customFormat="1" hidden="1">
      <c r="A67" s="216"/>
      <c r="B67" s="197" t="s">
        <v>1461</v>
      </c>
      <c r="C67" s="403"/>
      <c r="D67" s="403"/>
      <c r="E67" s="359">
        <v>235231</v>
      </c>
      <c r="F67" s="359">
        <v>235231</v>
      </c>
      <c r="G67" s="359">
        <v>235231</v>
      </c>
      <c r="H67" s="217"/>
      <c r="I67" s="359">
        <f t="shared" ref="I67:I89" si="23">G67-E67</f>
        <v>0</v>
      </c>
      <c r="J67" s="217"/>
      <c r="K67" s="359">
        <v>0</v>
      </c>
      <c r="L67" s="359">
        <v>0</v>
      </c>
      <c r="M67" s="359">
        <v>0</v>
      </c>
      <c r="N67" s="359">
        <v>0</v>
      </c>
      <c r="O67" s="359">
        <v>0</v>
      </c>
      <c r="P67" s="359">
        <v>0</v>
      </c>
      <c r="Q67" s="359">
        <v>0</v>
      </c>
      <c r="R67" s="359">
        <v>0</v>
      </c>
      <c r="S67" s="359">
        <v>0</v>
      </c>
      <c r="T67" s="359">
        <v>0</v>
      </c>
      <c r="U67" s="359">
        <v>0</v>
      </c>
      <c r="V67" s="359">
        <v>0</v>
      </c>
      <c r="W67" s="359">
        <v>0</v>
      </c>
      <c r="X67" s="359">
        <v>0</v>
      </c>
      <c r="Y67" s="359">
        <v>0</v>
      </c>
      <c r="Z67" s="359">
        <v>0</v>
      </c>
      <c r="AA67" s="359">
        <v>0</v>
      </c>
      <c r="AB67" s="359"/>
      <c r="AC67" s="359">
        <v>0</v>
      </c>
      <c r="AD67" s="359"/>
      <c r="AE67" s="359">
        <v>0</v>
      </c>
      <c r="AF67" s="359"/>
      <c r="AG67" s="359">
        <v>0</v>
      </c>
      <c r="AH67" s="359"/>
      <c r="AI67" s="359">
        <v>0</v>
      </c>
      <c r="AJ67" s="359"/>
      <c r="AK67" s="359">
        <f t="shared" ref="AK67:AK89" si="24">SUM(K67:AI67)</f>
        <v>0</v>
      </c>
      <c r="AL67" s="359"/>
      <c r="AM67" s="359"/>
      <c r="AN67" s="359"/>
      <c r="AO67" s="359">
        <f>50961</f>
        <v>50961</v>
      </c>
      <c r="AP67" s="359"/>
      <c r="AQ67" s="359">
        <v>0</v>
      </c>
      <c r="AR67" s="359"/>
      <c r="AS67" s="359">
        <v>0</v>
      </c>
      <c r="AT67" s="359"/>
      <c r="AU67" s="359">
        <v>0</v>
      </c>
      <c r="AV67" s="359"/>
      <c r="AW67" s="359">
        <v>0</v>
      </c>
      <c r="AX67" s="359"/>
      <c r="AY67" s="359">
        <v>0</v>
      </c>
      <c r="AZ67" s="359"/>
      <c r="BA67" s="359">
        <v>0</v>
      </c>
      <c r="BB67" s="359"/>
      <c r="BC67" s="359">
        <v>0</v>
      </c>
      <c r="BD67" s="359">
        <v>0</v>
      </c>
      <c r="BE67" s="359">
        <f t="shared" ref="BE67:BE89" si="25">SUM(AK67:BD67)</f>
        <v>50961</v>
      </c>
      <c r="BF67" s="359"/>
      <c r="BG67" s="200">
        <f t="shared" ref="BG67:BG89" si="26">+MAX(0,G67-BE67+AM67)</f>
        <v>184270</v>
      </c>
      <c r="BH67" s="359"/>
      <c r="BI67" s="200">
        <f t="shared" ref="BI67:BI89" si="27">SUM(BE67:BG67)</f>
        <v>235231</v>
      </c>
      <c r="BJ67" s="359"/>
      <c r="BK67" s="405">
        <f t="shared" si="22"/>
        <v>0</v>
      </c>
      <c r="BL67" s="217"/>
    </row>
    <row r="68" spans="1:64" s="200" customFormat="1" hidden="1">
      <c r="A68" s="216"/>
      <c r="B68" s="197" t="s">
        <v>1462</v>
      </c>
      <c r="C68" s="403"/>
      <c r="D68" s="403"/>
      <c r="E68" s="359">
        <v>418046</v>
      </c>
      <c r="F68" s="359">
        <v>418046</v>
      </c>
      <c r="G68" s="359">
        <v>418046</v>
      </c>
      <c r="H68" s="217"/>
      <c r="I68" s="359">
        <f t="shared" si="23"/>
        <v>0</v>
      </c>
      <c r="J68" s="217"/>
      <c r="K68" s="359">
        <v>0</v>
      </c>
      <c r="L68" s="359">
        <v>0</v>
      </c>
      <c r="M68" s="359">
        <v>0</v>
      </c>
      <c r="N68" s="359">
        <v>0</v>
      </c>
      <c r="O68" s="359">
        <v>0</v>
      </c>
      <c r="P68" s="359">
        <v>0</v>
      </c>
      <c r="Q68" s="359">
        <v>0</v>
      </c>
      <c r="R68" s="359">
        <v>0</v>
      </c>
      <c r="S68" s="359">
        <v>0</v>
      </c>
      <c r="T68" s="359">
        <v>0</v>
      </c>
      <c r="U68" s="359">
        <v>0</v>
      </c>
      <c r="V68" s="359">
        <v>0</v>
      </c>
      <c r="W68" s="359">
        <v>0</v>
      </c>
      <c r="X68" s="359">
        <v>0</v>
      </c>
      <c r="Y68" s="359">
        <v>0</v>
      </c>
      <c r="Z68" s="359">
        <v>0</v>
      </c>
      <c r="AA68" s="359">
        <v>0</v>
      </c>
      <c r="AB68" s="359"/>
      <c r="AC68" s="359">
        <v>0</v>
      </c>
      <c r="AD68" s="359"/>
      <c r="AE68" s="359">
        <v>0</v>
      </c>
      <c r="AF68" s="359"/>
      <c r="AG68" s="359">
        <v>0</v>
      </c>
      <c r="AH68" s="359"/>
      <c r="AI68" s="359">
        <v>0</v>
      </c>
      <c r="AJ68" s="359"/>
      <c r="AK68" s="359">
        <f t="shared" si="24"/>
        <v>0</v>
      </c>
      <c r="AL68" s="359"/>
      <c r="AM68" s="359"/>
      <c r="AN68" s="359"/>
      <c r="AO68" s="359">
        <v>2923</v>
      </c>
      <c r="AP68" s="359"/>
      <c r="AQ68" s="359">
        <v>0</v>
      </c>
      <c r="AR68" s="359"/>
      <c r="AS68" s="359">
        <v>0</v>
      </c>
      <c r="AT68" s="359"/>
      <c r="AU68" s="359">
        <v>0</v>
      </c>
      <c r="AV68" s="359"/>
      <c r="AW68" s="359">
        <v>0</v>
      </c>
      <c r="AX68" s="359"/>
      <c r="AY68" s="359">
        <v>0</v>
      </c>
      <c r="AZ68" s="359"/>
      <c r="BA68" s="359">
        <v>0</v>
      </c>
      <c r="BB68" s="359"/>
      <c r="BC68" s="359">
        <v>0</v>
      </c>
      <c r="BD68" s="359">
        <v>0</v>
      </c>
      <c r="BE68" s="359">
        <f t="shared" si="25"/>
        <v>2923</v>
      </c>
      <c r="BF68" s="359"/>
      <c r="BG68" s="200">
        <f t="shared" si="26"/>
        <v>415123</v>
      </c>
      <c r="BH68" s="359"/>
      <c r="BI68" s="200">
        <f t="shared" si="27"/>
        <v>418046</v>
      </c>
      <c r="BJ68" s="359"/>
      <c r="BK68" s="405">
        <f t="shared" si="22"/>
        <v>0</v>
      </c>
      <c r="BL68" s="217"/>
    </row>
    <row r="69" spans="1:64" s="200" customFormat="1" hidden="1">
      <c r="A69" s="216"/>
      <c r="B69" s="197" t="s">
        <v>1463</v>
      </c>
      <c r="C69" s="403"/>
      <c r="D69" s="403"/>
      <c r="E69" s="359">
        <v>320844</v>
      </c>
      <c r="F69" s="359">
        <v>320844</v>
      </c>
      <c r="G69" s="359">
        <v>320844</v>
      </c>
      <c r="H69" s="217"/>
      <c r="I69" s="359">
        <f t="shared" si="23"/>
        <v>0</v>
      </c>
      <c r="J69" s="217"/>
      <c r="K69" s="359">
        <v>0</v>
      </c>
      <c r="L69" s="359">
        <v>0</v>
      </c>
      <c r="M69" s="359">
        <v>0</v>
      </c>
      <c r="N69" s="359">
        <v>0</v>
      </c>
      <c r="O69" s="359">
        <v>0</v>
      </c>
      <c r="P69" s="359">
        <v>0</v>
      </c>
      <c r="Q69" s="359">
        <v>0</v>
      </c>
      <c r="R69" s="359">
        <v>0</v>
      </c>
      <c r="S69" s="359">
        <v>0</v>
      </c>
      <c r="T69" s="359">
        <v>0</v>
      </c>
      <c r="U69" s="359">
        <v>0</v>
      </c>
      <c r="V69" s="359">
        <v>0</v>
      </c>
      <c r="W69" s="359">
        <v>0</v>
      </c>
      <c r="X69" s="359">
        <v>0</v>
      </c>
      <c r="Y69" s="359">
        <v>0</v>
      </c>
      <c r="Z69" s="359">
        <v>0</v>
      </c>
      <c r="AA69" s="359">
        <v>0</v>
      </c>
      <c r="AB69" s="359"/>
      <c r="AC69" s="359">
        <v>0</v>
      </c>
      <c r="AD69" s="359"/>
      <c r="AE69" s="359">
        <v>0</v>
      </c>
      <c r="AF69" s="359"/>
      <c r="AG69" s="359">
        <v>0</v>
      </c>
      <c r="AH69" s="359"/>
      <c r="AI69" s="359">
        <v>0</v>
      </c>
      <c r="AJ69" s="359"/>
      <c r="AK69" s="359">
        <f t="shared" si="24"/>
        <v>0</v>
      </c>
      <c r="AL69" s="359"/>
      <c r="AM69" s="359"/>
      <c r="AN69" s="359"/>
      <c r="AO69" s="359">
        <v>0</v>
      </c>
      <c r="AP69" s="359"/>
      <c r="AQ69" s="359">
        <v>0</v>
      </c>
      <c r="AR69" s="359"/>
      <c r="AS69" s="359">
        <v>0</v>
      </c>
      <c r="AT69" s="359"/>
      <c r="AU69" s="359">
        <v>0</v>
      </c>
      <c r="AV69" s="359"/>
      <c r="AW69" s="359">
        <v>0</v>
      </c>
      <c r="AX69" s="359"/>
      <c r="AY69" s="359">
        <v>0</v>
      </c>
      <c r="AZ69" s="359"/>
      <c r="BA69" s="359">
        <v>0</v>
      </c>
      <c r="BB69" s="359"/>
      <c r="BC69" s="359">
        <v>0</v>
      </c>
      <c r="BD69" s="359">
        <v>0</v>
      </c>
      <c r="BE69" s="359">
        <f t="shared" si="25"/>
        <v>0</v>
      </c>
      <c r="BF69" s="359"/>
      <c r="BG69" s="200">
        <f t="shared" si="26"/>
        <v>320844</v>
      </c>
      <c r="BH69" s="359"/>
      <c r="BI69" s="200">
        <f t="shared" si="27"/>
        <v>320844</v>
      </c>
      <c r="BJ69" s="359"/>
      <c r="BK69" s="405">
        <f t="shared" si="22"/>
        <v>0</v>
      </c>
      <c r="BL69" s="217"/>
    </row>
    <row r="70" spans="1:64" s="200" customFormat="1" hidden="1">
      <c r="A70" s="216"/>
      <c r="B70" s="197" t="s">
        <v>1464</v>
      </c>
      <c r="C70" s="403"/>
      <c r="D70" s="403"/>
      <c r="E70" s="359">
        <v>16500</v>
      </c>
      <c r="F70" s="359">
        <v>16500</v>
      </c>
      <c r="G70" s="359">
        <v>16500</v>
      </c>
      <c r="H70" s="217"/>
      <c r="I70" s="359">
        <f t="shared" si="23"/>
        <v>0</v>
      </c>
      <c r="J70" s="217"/>
      <c r="K70" s="359">
        <v>0</v>
      </c>
      <c r="L70" s="359">
        <v>0</v>
      </c>
      <c r="M70" s="359">
        <v>0</v>
      </c>
      <c r="N70" s="359">
        <v>0</v>
      </c>
      <c r="O70" s="359">
        <v>0</v>
      </c>
      <c r="P70" s="359">
        <v>0</v>
      </c>
      <c r="Q70" s="359">
        <v>0</v>
      </c>
      <c r="R70" s="359">
        <v>0</v>
      </c>
      <c r="S70" s="359">
        <v>0</v>
      </c>
      <c r="T70" s="359">
        <v>0</v>
      </c>
      <c r="U70" s="359">
        <v>0</v>
      </c>
      <c r="V70" s="359">
        <v>0</v>
      </c>
      <c r="W70" s="359">
        <v>0</v>
      </c>
      <c r="X70" s="359">
        <v>0</v>
      </c>
      <c r="Y70" s="359">
        <v>0</v>
      </c>
      <c r="Z70" s="359">
        <v>0</v>
      </c>
      <c r="AA70" s="359">
        <v>0</v>
      </c>
      <c r="AB70" s="359"/>
      <c r="AC70" s="359">
        <v>0</v>
      </c>
      <c r="AD70" s="359"/>
      <c r="AE70" s="359">
        <v>0</v>
      </c>
      <c r="AF70" s="359"/>
      <c r="AG70" s="359">
        <v>0</v>
      </c>
      <c r="AH70" s="359"/>
      <c r="AI70" s="359">
        <v>0</v>
      </c>
      <c r="AJ70" s="359"/>
      <c r="AK70" s="359">
        <f t="shared" si="24"/>
        <v>0</v>
      </c>
      <c r="AL70" s="359"/>
      <c r="AM70" s="359"/>
      <c r="AN70" s="359"/>
      <c r="AO70" s="359">
        <v>0</v>
      </c>
      <c r="AP70" s="359"/>
      <c r="AQ70" s="359">
        <v>0</v>
      </c>
      <c r="AR70" s="359"/>
      <c r="AS70" s="359">
        <v>0</v>
      </c>
      <c r="AT70" s="359"/>
      <c r="AU70" s="359">
        <v>0</v>
      </c>
      <c r="AV70" s="359"/>
      <c r="AW70" s="359">
        <v>0</v>
      </c>
      <c r="AX70" s="359"/>
      <c r="AY70" s="359">
        <v>0</v>
      </c>
      <c r="AZ70" s="359"/>
      <c r="BA70" s="359">
        <v>0</v>
      </c>
      <c r="BB70" s="359"/>
      <c r="BC70" s="359">
        <v>0</v>
      </c>
      <c r="BD70" s="359">
        <v>0</v>
      </c>
      <c r="BE70" s="359">
        <f t="shared" si="25"/>
        <v>0</v>
      </c>
      <c r="BF70" s="359"/>
      <c r="BG70" s="200">
        <f t="shared" si="26"/>
        <v>16500</v>
      </c>
      <c r="BH70" s="359"/>
      <c r="BI70" s="200">
        <f t="shared" si="27"/>
        <v>16500</v>
      </c>
      <c r="BJ70" s="359"/>
      <c r="BK70" s="405">
        <f t="shared" si="22"/>
        <v>0</v>
      </c>
      <c r="BL70" s="217"/>
    </row>
    <row r="71" spans="1:64" s="200" customFormat="1" hidden="1">
      <c r="A71" s="216"/>
      <c r="B71" s="197" t="s">
        <v>1465</v>
      </c>
      <c r="C71" s="403"/>
      <c r="D71" s="403"/>
      <c r="E71" s="359">
        <v>0</v>
      </c>
      <c r="F71" s="359">
        <v>0</v>
      </c>
      <c r="G71" s="359">
        <v>0</v>
      </c>
      <c r="H71" s="217"/>
      <c r="I71" s="359">
        <f t="shared" si="23"/>
        <v>0</v>
      </c>
      <c r="J71" s="217"/>
      <c r="K71" s="359">
        <v>0</v>
      </c>
      <c r="L71" s="359">
        <v>0</v>
      </c>
      <c r="M71" s="359">
        <v>0</v>
      </c>
      <c r="N71" s="359">
        <v>0</v>
      </c>
      <c r="O71" s="359">
        <v>0</v>
      </c>
      <c r="P71" s="359">
        <v>0</v>
      </c>
      <c r="Q71" s="359">
        <v>0</v>
      </c>
      <c r="R71" s="359">
        <v>0</v>
      </c>
      <c r="S71" s="359">
        <v>0</v>
      </c>
      <c r="T71" s="359">
        <v>0</v>
      </c>
      <c r="U71" s="359">
        <v>0</v>
      </c>
      <c r="V71" s="359">
        <v>0</v>
      </c>
      <c r="W71" s="359">
        <v>0</v>
      </c>
      <c r="X71" s="359">
        <v>0</v>
      </c>
      <c r="Y71" s="359">
        <v>0</v>
      </c>
      <c r="Z71" s="359">
        <v>0</v>
      </c>
      <c r="AA71" s="359">
        <v>0</v>
      </c>
      <c r="AB71" s="359"/>
      <c r="AC71" s="359">
        <v>0</v>
      </c>
      <c r="AD71" s="359"/>
      <c r="AE71" s="359">
        <v>0</v>
      </c>
      <c r="AF71" s="359"/>
      <c r="AG71" s="359">
        <v>0</v>
      </c>
      <c r="AH71" s="359"/>
      <c r="AI71" s="359">
        <v>0</v>
      </c>
      <c r="AJ71" s="359"/>
      <c r="AK71" s="359">
        <f t="shared" si="24"/>
        <v>0</v>
      </c>
      <c r="AL71" s="359"/>
      <c r="AM71" s="359"/>
      <c r="AN71" s="359"/>
      <c r="AO71" s="359">
        <v>0</v>
      </c>
      <c r="AP71" s="359"/>
      <c r="AQ71" s="359">
        <v>0</v>
      </c>
      <c r="AR71" s="359"/>
      <c r="AS71" s="359">
        <v>0</v>
      </c>
      <c r="AT71" s="359"/>
      <c r="AU71" s="359">
        <v>0</v>
      </c>
      <c r="AV71" s="359"/>
      <c r="AW71" s="359">
        <v>0</v>
      </c>
      <c r="AX71" s="359"/>
      <c r="AY71" s="359">
        <v>0</v>
      </c>
      <c r="AZ71" s="359"/>
      <c r="BA71" s="359">
        <v>0</v>
      </c>
      <c r="BB71" s="359"/>
      <c r="BC71" s="359">
        <v>0</v>
      </c>
      <c r="BD71" s="359">
        <v>0</v>
      </c>
      <c r="BE71" s="359">
        <f t="shared" si="25"/>
        <v>0</v>
      </c>
      <c r="BF71" s="359"/>
      <c r="BG71" s="200">
        <f t="shared" si="26"/>
        <v>0</v>
      </c>
      <c r="BH71" s="359"/>
      <c r="BI71" s="200">
        <f t="shared" si="27"/>
        <v>0</v>
      </c>
      <c r="BJ71" s="359"/>
      <c r="BK71" s="405">
        <f t="shared" si="22"/>
        <v>0</v>
      </c>
      <c r="BL71" s="217"/>
    </row>
    <row r="72" spans="1:64" s="200" customFormat="1" hidden="1">
      <c r="A72" s="216"/>
      <c r="B72" s="197" t="s">
        <v>1466</v>
      </c>
      <c r="C72" s="403"/>
      <c r="D72" s="403"/>
      <c r="E72" s="359">
        <v>136474</v>
      </c>
      <c r="F72" s="359">
        <v>136474</v>
      </c>
      <c r="G72" s="359">
        <v>136474</v>
      </c>
      <c r="H72" s="217"/>
      <c r="I72" s="359">
        <f t="shared" si="23"/>
        <v>0</v>
      </c>
      <c r="J72" s="217"/>
      <c r="K72" s="359">
        <v>0</v>
      </c>
      <c r="L72" s="359">
        <v>0</v>
      </c>
      <c r="M72" s="359">
        <v>0</v>
      </c>
      <c r="N72" s="359">
        <v>0</v>
      </c>
      <c r="O72" s="359">
        <v>0</v>
      </c>
      <c r="P72" s="359">
        <v>0</v>
      </c>
      <c r="Q72" s="359">
        <v>0</v>
      </c>
      <c r="R72" s="359">
        <v>0</v>
      </c>
      <c r="S72" s="359">
        <v>0</v>
      </c>
      <c r="T72" s="359">
        <v>0</v>
      </c>
      <c r="U72" s="359">
        <v>0</v>
      </c>
      <c r="V72" s="359">
        <v>0</v>
      </c>
      <c r="W72" s="359">
        <v>0</v>
      </c>
      <c r="X72" s="359">
        <v>0</v>
      </c>
      <c r="Y72" s="359">
        <v>0</v>
      </c>
      <c r="Z72" s="359">
        <v>0</v>
      </c>
      <c r="AA72" s="359">
        <v>0</v>
      </c>
      <c r="AB72" s="359"/>
      <c r="AC72" s="359">
        <v>0</v>
      </c>
      <c r="AD72" s="359"/>
      <c r="AE72" s="359">
        <v>0</v>
      </c>
      <c r="AF72" s="359"/>
      <c r="AG72" s="359">
        <v>0</v>
      </c>
      <c r="AH72" s="359"/>
      <c r="AI72" s="359">
        <v>0</v>
      </c>
      <c r="AJ72" s="359"/>
      <c r="AK72" s="359">
        <f t="shared" si="24"/>
        <v>0</v>
      </c>
      <c r="AL72" s="359"/>
      <c r="AM72" s="359"/>
      <c r="AN72" s="359"/>
      <c r="AO72" s="359">
        <v>31518</v>
      </c>
      <c r="AP72" s="359"/>
      <c r="AQ72" s="359">
        <v>0</v>
      </c>
      <c r="AR72" s="359"/>
      <c r="AS72" s="359">
        <v>0</v>
      </c>
      <c r="AT72" s="359"/>
      <c r="AU72" s="359">
        <v>0</v>
      </c>
      <c r="AV72" s="359"/>
      <c r="AW72" s="359">
        <v>0</v>
      </c>
      <c r="AX72" s="359"/>
      <c r="AY72" s="359">
        <v>0</v>
      </c>
      <c r="AZ72" s="359"/>
      <c r="BA72" s="359">
        <v>0</v>
      </c>
      <c r="BB72" s="359"/>
      <c r="BC72" s="359">
        <v>0</v>
      </c>
      <c r="BD72" s="359">
        <v>0</v>
      </c>
      <c r="BE72" s="359">
        <f t="shared" si="25"/>
        <v>31518</v>
      </c>
      <c r="BF72" s="359"/>
      <c r="BG72" s="200">
        <f t="shared" si="26"/>
        <v>104956</v>
      </c>
      <c r="BH72" s="359"/>
      <c r="BI72" s="200">
        <f t="shared" si="27"/>
        <v>136474</v>
      </c>
      <c r="BJ72" s="359"/>
      <c r="BK72" s="405">
        <f t="shared" si="22"/>
        <v>0</v>
      </c>
      <c r="BL72" s="217"/>
    </row>
    <row r="73" spans="1:64" s="200" customFormat="1" hidden="1">
      <c r="A73" s="216"/>
      <c r="B73" s="197" t="s">
        <v>1467</v>
      </c>
      <c r="C73" s="403"/>
      <c r="D73" s="403"/>
      <c r="E73" s="359">
        <v>234498</v>
      </c>
      <c r="F73" s="359">
        <v>234498</v>
      </c>
      <c r="G73" s="359">
        <v>234498</v>
      </c>
      <c r="H73" s="217"/>
      <c r="I73" s="359">
        <f t="shared" si="23"/>
        <v>0</v>
      </c>
      <c r="J73" s="217"/>
      <c r="K73" s="359">
        <v>0</v>
      </c>
      <c r="L73" s="359">
        <v>0</v>
      </c>
      <c r="M73" s="359">
        <v>0</v>
      </c>
      <c r="N73" s="359">
        <v>0</v>
      </c>
      <c r="O73" s="359">
        <v>0</v>
      </c>
      <c r="P73" s="359">
        <v>0</v>
      </c>
      <c r="Q73" s="359">
        <v>0</v>
      </c>
      <c r="R73" s="359">
        <v>0</v>
      </c>
      <c r="S73" s="359">
        <v>0</v>
      </c>
      <c r="T73" s="359">
        <v>0</v>
      </c>
      <c r="U73" s="359">
        <v>0</v>
      </c>
      <c r="V73" s="359">
        <v>0</v>
      </c>
      <c r="W73" s="359">
        <v>0</v>
      </c>
      <c r="X73" s="359">
        <v>0</v>
      </c>
      <c r="Y73" s="359">
        <v>0</v>
      </c>
      <c r="Z73" s="359">
        <v>0</v>
      </c>
      <c r="AA73" s="359">
        <v>0</v>
      </c>
      <c r="AB73" s="359"/>
      <c r="AC73" s="359">
        <v>0</v>
      </c>
      <c r="AD73" s="359"/>
      <c r="AE73" s="359">
        <v>0</v>
      </c>
      <c r="AF73" s="359"/>
      <c r="AG73" s="359">
        <v>0</v>
      </c>
      <c r="AH73" s="359"/>
      <c r="AI73" s="359">
        <v>0</v>
      </c>
      <c r="AJ73" s="359"/>
      <c r="AK73" s="359">
        <f t="shared" si="24"/>
        <v>0</v>
      </c>
      <c r="AL73" s="359"/>
      <c r="AM73" s="359"/>
      <c r="AN73" s="359"/>
      <c r="AO73" s="359">
        <v>0</v>
      </c>
      <c r="AP73" s="359"/>
      <c r="AQ73" s="359">
        <v>0</v>
      </c>
      <c r="AR73" s="359"/>
      <c r="AS73" s="359">
        <v>0</v>
      </c>
      <c r="AT73" s="359"/>
      <c r="AU73" s="359">
        <v>0</v>
      </c>
      <c r="AV73" s="359"/>
      <c r="AW73" s="359">
        <v>0</v>
      </c>
      <c r="AX73" s="359"/>
      <c r="AY73" s="359">
        <v>0</v>
      </c>
      <c r="AZ73" s="359"/>
      <c r="BA73" s="359">
        <v>0</v>
      </c>
      <c r="BB73" s="359"/>
      <c r="BC73" s="359">
        <v>0</v>
      </c>
      <c r="BD73" s="359">
        <v>0</v>
      </c>
      <c r="BE73" s="359">
        <f t="shared" si="25"/>
        <v>0</v>
      </c>
      <c r="BF73" s="359"/>
      <c r="BG73" s="200">
        <f t="shared" si="26"/>
        <v>234498</v>
      </c>
      <c r="BH73" s="359"/>
      <c r="BI73" s="200">
        <f t="shared" si="27"/>
        <v>234498</v>
      </c>
      <c r="BJ73" s="359"/>
      <c r="BK73" s="405">
        <f t="shared" si="22"/>
        <v>0</v>
      </c>
      <c r="BL73" s="217"/>
    </row>
    <row r="74" spans="1:64" s="200" customFormat="1" hidden="1">
      <c r="A74" s="216"/>
      <c r="B74" s="197" t="s">
        <v>1468</v>
      </c>
      <c r="C74" s="403"/>
      <c r="D74" s="403"/>
      <c r="E74" s="359">
        <v>17558</v>
      </c>
      <c r="F74" s="359">
        <v>17558</v>
      </c>
      <c r="G74" s="359">
        <v>17558</v>
      </c>
      <c r="H74" s="217"/>
      <c r="I74" s="359">
        <f t="shared" si="23"/>
        <v>0</v>
      </c>
      <c r="J74" s="217"/>
      <c r="K74" s="359">
        <v>0</v>
      </c>
      <c r="L74" s="359">
        <v>0</v>
      </c>
      <c r="M74" s="359">
        <v>0</v>
      </c>
      <c r="N74" s="359">
        <v>0</v>
      </c>
      <c r="O74" s="359">
        <v>0</v>
      </c>
      <c r="P74" s="359">
        <v>0</v>
      </c>
      <c r="Q74" s="359">
        <v>0</v>
      </c>
      <c r="R74" s="359">
        <v>0</v>
      </c>
      <c r="S74" s="359">
        <v>0</v>
      </c>
      <c r="T74" s="359">
        <v>0</v>
      </c>
      <c r="U74" s="359">
        <v>0</v>
      </c>
      <c r="V74" s="359">
        <v>0</v>
      </c>
      <c r="W74" s="359">
        <v>0</v>
      </c>
      <c r="X74" s="359">
        <v>0</v>
      </c>
      <c r="Y74" s="359">
        <v>0</v>
      </c>
      <c r="Z74" s="359">
        <v>0</v>
      </c>
      <c r="AA74" s="359">
        <v>0</v>
      </c>
      <c r="AB74" s="359"/>
      <c r="AC74" s="359">
        <v>0</v>
      </c>
      <c r="AD74" s="359"/>
      <c r="AE74" s="359">
        <v>0</v>
      </c>
      <c r="AF74" s="359"/>
      <c r="AG74" s="359">
        <v>0</v>
      </c>
      <c r="AH74" s="359"/>
      <c r="AI74" s="359">
        <v>0</v>
      </c>
      <c r="AJ74" s="359"/>
      <c r="AK74" s="359">
        <f t="shared" si="24"/>
        <v>0</v>
      </c>
      <c r="AL74" s="359"/>
      <c r="AM74" s="359"/>
      <c r="AN74" s="359"/>
      <c r="AO74" s="359">
        <v>0</v>
      </c>
      <c r="AP74" s="359"/>
      <c r="AQ74" s="359">
        <v>0</v>
      </c>
      <c r="AR74" s="359"/>
      <c r="AS74" s="359">
        <v>0</v>
      </c>
      <c r="AT74" s="359"/>
      <c r="AU74" s="359">
        <v>0</v>
      </c>
      <c r="AV74" s="359"/>
      <c r="AW74" s="359">
        <v>0</v>
      </c>
      <c r="AX74" s="359"/>
      <c r="AY74" s="359">
        <v>0</v>
      </c>
      <c r="AZ74" s="359"/>
      <c r="BA74" s="359">
        <v>0</v>
      </c>
      <c r="BB74" s="359"/>
      <c r="BC74" s="359">
        <v>0</v>
      </c>
      <c r="BD74" s="359">
        <v>0</v>
      </c>
      <c r="BE74" s="359">
        <f t="shared" si="25"/>
        <v>0</v>
      </c>
      <c r="BF74" s="359"/>
      <c r="BG74" s="200">
        <f t="shared" si="26"/>
        <v>17558</v>
      </c>
      <c r="BH74" s="359"/>
      <c r="BI74" s="200">
        <f t="shared" si="27"/>
        <v>17558</v>
      </c>
      <c r="BJ74" s="359"/>
      <c r="BK74" s="405">
        <f t="shared" si="22"/>
        <v>0</v>
      </c>
      <c r="BL74" s="217"/>
    </row>
    <row r="75" spans="1:64" s="200" customFormat="1" hidden="1">
      <c r="A75" s="216"/>
      <c r="B75" s="197" t="s">
        <v>1469</v>
      </c>
      <c r="C75" s="403"/>
      <c r="D75" s="403"/>
      <c r="E75" s="359">
        <v>3424</v>
      </c>
      <c r="F75" s="359">
        <v>3424</v>
      </c>
      <c r="G75" s="359">
        <v>3424</v>
      </c>
      <c r="H75" s="217"/>
      <c r="I75" s="359">
        <f t="shared" si="23"/>
        <v>0</v>
      </c>
      <c r="J75" s="217"/>
      <c r="K75" s="359">
        <v>0</v>
      </c>
      <c r="L75" s="359">
        <v>0</v>
      </c>
      <c r="M75" s="359">
        <v>0</v>
      </c>
      <c r="N75" s="359">
        <v>0</v>
      </c>
      <c r="O75" s="359">
        <v>0</v>
      </c>
      <c r="P75" s="359">
        <v>0</v>
      </c>
      <c r="Q75" s="359">
        <v>0</v>
      </c>
      <c r="R75" s="359">
        <v>0</v>
      </c>
      <c r="S75" s="359">
        <v>0</v>
      </c>
      <c r="T75" s="359">
        <v>0</v>
      </c>
      <c r="U75" s="359">
        <v>0</v>
      </c>
      <c r="V75" s="359">
        <v>0</v>
      </c>
      <c r="W75" s="359">
        <v>0</v>
      </c>
      <c r="X75" s="359">
        <v>0</v>
      </c>
      <c r="Y75" s="359">
        <v>0</v>
      </c>
      <c r="Z75" s="359">
        <v>0</v>
      </c>
      <c r="AA75" s="359">
        <v>0</v>
      </c>
      <c r="AB75" s="359"/>
      <c r="AC75" s="359">
        <v>0</v>
      </c>
      <c r="AD75" s="359"/>
      <c r="AE75" s="359">
        <v>0</v>
      </c>
      <c r="AF75" s="359"/>
      <c r="AG75" s="359">
        <v>0</v>
      </c>
      <c r="AH75" s="359"/>
      <c r="AI75" s="359">
        <v>0</v>
      </c>
      <c r="AJ75" s="359"/>
      <c r="AK75" s="359">
        <f t="shared" si="24"/>
        <v>0</v>
      </c>
      <c r="AL75" s="359"/>
      <c r="AM75" s="359"/>
      <c r="AN75" s="359"/>
      <c r="AO75" s="359">
        <v>0</v>
      </c>
      <c r="AP75" s="359"/>
      <c r="AQ75" s="359">
        <v>0</v>
      </c>
      <c r="AR75" s="359"/>
      <c r="AS75" s="359">
        <v>0</v>
      </c>
      <c r="AT75" s="359"/>
      <c r="AU75" s="359">
        <v>0</v>
      </c>
      <c r="AV75" s="359"/>
      <c r="AW75" s="359">
        <v>0</v>
      </c>
      <c r="AX75" s="359"/>
      <c r="AY75" s="359">
        <v>0</v>
      </c>
      <c r="AZ75" s="359"/>
      <c r="BA75" s="359">
        <v>0</v>
      </c>
      <c r="BB75" s="359"/>
      <c r="BC75" s="359">
        <v>0</v>
      </c>
      <c r="BD75" s="359">
        <v>0</v>
      </c>
      <c r="BE75" s="359">
        <f t="shared" si="25"/>
        <v>0</v>
      </c>
      <c r="BF75" s="359"/>
      <c r="BG75" s="200">
        <f t="shared" si="26"/>
        <v>3424</v>
      </c>
      <c r="BH75" s="359"/>
      <c r="BI75" s="200">
        <f t="shared" si="27"/>
        <v>3424</v>
      </c>
      <c r="BJ75" s="359"/>
      <c r="BK75" s="405">
        <f t="shared" si="22"/>
        <v>0</v>
      </c>
      <c r="BL75" s="217"/>
    </row>
    <row r="76" spans="1:64" s="200" customFormat="1" hidden="1">
      <c r="A76" s="216"/>
      <c r="B76" s="197" t="s">
        <v>1470</v>
      </c>
      <c r="C76" s="403"/>
      <c r="D76" s="403"/>
      <c r="E76" s="359">
        <v>112525</v>
      </c>
      <c r="F76" s="359">
        <v>112525</v>
      </c>
      <c r="G76" s="359">
        <v>112525</v>
      </c>
      <c r="H76" s="217"/>
      <c r="I76" s="359">
        <f t="shared" si="23"/>
        <v>0</v>
      </c>
      <c r="J76" s="217"/>
      <c r="K76" s="359">
        <v>0</v>
      </c>
      <c r="L76" s="359">
        <v>0</v>
      </c>
      <c r="M76" s="359">
        <v>0</v>
      </c>
      <c r="N76" s="359">
        <v>0</v>
      </c>
      <c r="O76" s="359">
        <v>0</v>
      </c>
      <c r="P76" s="359">
        <v>0</v>
      </c>
      <c r="Q76" s="359">
        <v>0</v>
      </c>
      <c r="R76" s="359">
        <v>0</v>
      </c>
      <c r="S76" s="359">
        <v>0</v>
      </c>
      <c r="T76" s="359">
        <v>0</v>
      </c>
      <c r="U76" s="359">
        <v>0</v>
      </c>
      <c r="V76" s="359">
        <v>0</v>
      </c>
      <c r="W76" s="359">
        <v>0</v>
      </c>
      <c r="X76" s="359">
        <v>0</v>
      </c>
      <c r="Y76" s="359">
        <v>0</v>
      </c>
      <c r="Z76" s="359">
        <v>0</v>
      </c>
      <c r="AA76" s="359">
        <v>0</v>
      </c>
      <c r="AB76" s="359"/>
      <c r="AC76" s="359">
        <v>0</v>
      </c>
      <c r="AD76" s="359"/>
      <c r="AE76" s="359">
        <v>0</v>
      </c>
      <c r="AF76" s="359"/>
      <c r="AG76" s="359">
        <v>0</v>
      </c>
      <c r="AH76" s="359"/>
      <c r="AI76" s="359">
        <v>0</v>
      </c>
      <c r="AJ76" s="359"/>
      <c r="AK76" s="359">
        <f t="shared" si="24"/>
        <v>0</v>
      </c>
      <c r="AL76" s="359"/>
      <c r="AM76" s="359"/>
      <c r="AN76" s="359"/>
      <c r="AO76" s="359">
        <f>43412</f>
        <v>43412</v>
      </c>
      <c r="AP76" s="359"/>
      <c r="AQ76" s="359">
        <v>0</v>
      </c>
      <c r="AR76" s="359"/>
      <c r="AS76" s="359">
        <v>0</v>
      </c>
      <c r="AT76" s="359"/>
      <c r="AU76" s="359">
        <v>0</v>
      </c>
      <c r="AV76" s="359"/>
      <c r="AW76" s="359">
        <v>0</v>
      </c>
      <c r="AX76" s="359"/>
      <c r="AY76" s="359">
        <v>0</v>
      </c>
      <c r="AZ76" s="359"/>
      <c r="BA76" s="359">
        <v>0</v>
      </c>
      <c r="BB76" s="359"/>
      <c r="BC76" s="359">
        <v>0</v>
      </c>
      <c r="BD76" s="359">
        <v>0</v>
      </c>
      <c r="BE76" s="359">
        <f t="shared" si="25"/>
        <v>43412</v>
      </c>
      <c r="BF76" s="359"/>
      <c r="BG76" s="200">
        <f t="shared" si="26"/>
        <v>69113</v>
      </c>
      <c r="BH76" s="359"/>
      <c r="BI76" s="200">
        <f t="shared" si="27"/>
        <v>112525</v>
      </c>
      <c r="BJ76" s="359"/>
      <c r="BK76" s="405">
        <f t="shared" si="22"/>
        <v>0</v>
      </c>
      <c r="BL76" s="217"/>
    </row>
    <row r="77" spans="1:64" s="200" customFormat="1" hidden="1">
      <c r="A77" s="216"/>
      <c r="B77" s="197" t="s">
        <v>1471</v>
      </c>
      <c r="C77" s="403"/>
      <c r="D77" s="403"/>
      <c r="E77" s="359">
        <v>16483</v>
      </c>
      <c r="F77" s="359">
        <v>16483</v>
      </c>
      <c r="G77" s="359">
        <v>16483</v>
      </c>
      <c r="H77" s="217"/>
      <c r="I77" s="359">
        <f t="shared" si="23"/>
        <v>0</v>
      </c>
      <c r="J77" s="217"/>
      <c r="K77" s="359">
        <v>0</v>
      </c>
      <c r="L77" s="359">
        <v>0</v>
      </c>
      <c r="M77" s="359">
        <v>0</v>
      </c>
      <c r="N77" s="359">
        <v>0</v>
      </c>
      <c r="O77" s="359">
        <v>0</v>
      </c>
      <c r="P77" s="359">
        <v>0</v>
      </c>
      <c r="Q77" s="359">
        <v>0</v>
      </c>
      <c r="R77" s="359">
        <v>0</v>
      </c>
      <c r="S77" s="359">
        <v>0</v>
      </c>
      <c r="T77" s="359">
        <v>0</v>
      </c>
      <c r="U77" s="359">
        <v>0</v>
      </c>
      <c r="V77" s="359">
        <v>0</v>
      </c>
      <c r="W77" s="359">
        <v>0</v>
      </c>
      <c r="X77" s="359">
        <v>0</v>
      </c>
      <c r="Y77" s="359">
        <v>0</v>
      </c>
      <c r="Z77" s="359">
        <v>0</v>
      </c>
      <c r="AA77" s="359">
        <v>0</v>
      </c>
      <c r="AB77" s="359"/>
      <c r="AC77" s="359">
        <v>0</v>
      </c>
      <c r="AD77" s="359"/>
      <c r="AE77" s="359">
        <v>0</v>
      </c>
      <c r="AF77" s="359"/>
      <c r="AG77" s="359">
        <v>0</v>
      </c>
      <c r="AH77" s="359"/>
      <c r="AI77" s="359">
        <v>0</v>
      </c>
      <c r="AJ77" s="359"/>
      <c r="AK77" s="359">
        <f t="shared" si="24"/>
        <v>0</v>
      </c>
      <c r="AL77" s="359"/>
      <c r="AM77" s="359"/>
      <c r="AN77" s="359"/>
      <c r="AO77" s="359">
        <v>0</v>
      </c>
      <c r="AP77" s="359"/>
      <c r="AQ77" s="359">
        <v>0</v>
      </c>
      <c r="AR77" s="359"/>
      <c r="AS77" s="359">
        <v>0</v>
      </c>
      <c r="AT77" s="359"/>
      <c r="AU77" s="359">
        <v>0</v>
      </c>
      <c r="AV77" s="359"/>
      <c r="AW77" s="359">
        <v>0</v>
      </c>
      <c r="AX77" s="359"/>
      <c r="AY77" s="359">
        <v>0</v>
      </c>
      <c r="AZ77" s="359"/>
      <c r="BA77" s="359">
        <v>0</v>
      </c>
      <c r="BB77" s="359"/>
      <c r="BC77" s="359">
        <v>0</v>
      </c>
      <c r="BD77" s="359">
        <v>0</v>
      </c>
      <c r="BE77" s="359">
        <f t="shared" si="25"/>
        <v>0</v>
      </c>
      <c r="BF77" s="359"/>
      <c r="BG77" s="200">
        <f t="shared" si="26"/>
        <v>16483</v>
      </c>
      <c r="BH77" s="359"/>
      <c r="BI77" s="200">
        <f t="shared" si="27"/>
        <v>16483</v>
      </c>
      <c r="BJ77" s="359"/>
      <c r="BK77" s="405">
        <f t="shared" si="22"/>
        <v>0</v>
      </c>
      <c r="BL77" s="217"/>
    </row>
    <row r="78" spans="1:64" s="200" customFormat="1" hidden="1">
      <c r="A78" s="216"/>
      <c r="B78" s="197" t="s">
        <v>1472</v>
      </c>
      <c r="C78" s="403"/>
      <c r="D78" s="403"/>
      <c r="E78" s="359">
        <v>159816</v>
      </c>
      <c r="F78" s="359">
        <v>159816</v>
      </c>
      <c r="G78" s="359">
        <v>159816</v>
      </c>
      <c r="H78" s="217"/>
      <c r="I78" s="359">
        <f t="shared" si="23"/>
        <v>0</v>
      </c>
      <c r="J78" s="217"/>
      <c r="K78" s="359">
        <v>0</v>
      </c>
      <c r="L78" s="359">
        <v>0</v>
      </c>
      <c r="M78" s="359">
        <v>0</v>
      </c>
      <c r="N78" s="359">
        <v>0</v>
      </c>
      <c r="O78" s="359">
        <v>0</v>
      </c>
      <c r="P78" s="359">
        <v>0</v>
      </c>
      <c r="Q78" s="359">
        <v>0</v>
      </c>
      <c r="R78" s="359">
        <v>0</v>
      </c>
      <c r="S78" s="359">
        <v>0</v>
      </c>
      <c r="T78" s="359">
        <v>0</v>
      </c>
      <c r="U78" s="359">
        <v>0</v>
      </c>
      <c r="V78" s="359">
        <v>0</v>
      </c>
      <c r="W78" s="359">
        <v>0</v>
      </c>
      <c r="X78" s="359">
        <v>0</v>
      </c>
      <c r="Y78" s="359">
        <v>0</v>
      </c>
      <c r="Z78" s="359">
        <v>0</v>
      </c>
      <c r="AA78" s="359">
        <v>0</v>
      </c>
      <c r="AB78" s="359"/>
      <c r="AC78" s="359">
        <v>0</v>
      </c>
      <c r="AD78" s="359"/>
      <c r="AE78" s="359">
        <v>0</v>
      </c>
      <c r="AF78" s="359"/>
      <c r="AG78" s="359">
        <v>0</v>
      </c>
      <c r="AH78" s="359"/>
      <c r="AI78" s="359">
        <v>0</v>
      </c>
      <c r="AJ78" s="359"/>
      <c r="AK78" s="359">
        <f t="shared" si="24"/>
        <v>0</v>
      </c>
      <c r="AL78" s="359"/>
      <c r="AM78" s="359"/>
      <c r="AN78" s="359"/>
      <c r="AO78" s="359">
        <v>0</v>
      </c>
      <c r="AP78" s="359"/>
      <c r="AQ78" s="359">
        <v>0</v>
      </c>
      <c r="AR78" s="359"/>
      <c r="AS78" s="359">
        <v>0</v>
      </c>
      <c r="AT78" s="359"/>
      <c r="AU78" s="359">
        <v>0</v>
      </c>
      <c r="AV78" s="359"/>
      <c r="AW78" s="359">
        <v>0</v>
      </c>
      <c r="AX78" s="359"/>
      <c r="AY78" s="359">
        <v>0</v>
      </c>
      <c r="AZ78" s="359"/>
      <c r="BA78" s="359">
        <v>0</v>
      </c>
      <c r="BB78" s="359"/>
      <c r="BC78" s="359">
        <v>0</v>
      </c>
      <c r="BD78" s="359">
        <v>0</v>
      </c>
      <c r="BE78" s="359">
        <f t="shared" si="25"/>
        <v>0</v>
      </c>
      <c r="BF78" s="359"/>
      <c r="BG78" s="200">
        <f t="shared" si="26"/>
        <v>159816</v>
      </c>
      <c r="BH78" s="359"/>
      <c r="BI78" s="200">
        <f t="shared" si="27"/>
        <v>159816</v>
      </c>
      <c r="BJ78" s="359"/>
      <c r="BK78" s="405">
        <f t="shared" si="22"/>
        <v>0</v>
      </c>
      <c r="BL78" s="217"/>
    </row>
    <row r="79" spans="1:64" s="200" customFormat="1" hidden="1">
      <c r="A79" s="216"/>
      <c r="B79" s="197" t="s">
        <v>1473</v>
      </c>
      <c r="C79" s="403"/>
      <c r="D79" s="403"/>
      <c r="E79" s="359">
        <v>84730</v>
      </c>
      <c r="F79" s="359">
        <v>84730</v>
      </c>
      <c r="G79" s="359">
        <v>84730</v>
      </c>
      <c r="H79" s="217"/>
      <c r="I79" s="359">
        <f t="shared" si="23"/>
        <v>0</v>
      </c>
      <c r="J79" s="217"/>
      <c r="K79" s="359">
        <v>0</v>
      </c>
      <c r="L79" s="359">
        <v>0</v>
      </c>
      <c r="M79" s="359">
        <v>0</v>
      </c>
      <c r="N79" s="359">
        <v>0</v>
      </c>
      <c r="O79" s="359">
        <v>0</v>
      </c>
      <c r="P79" s="359">
        <v>0</v>
      </c>
      <c r="Q79" s="359">
        <v>0</v>
      </c>
      <c r="R79" s="359">
        <v>0</v>
      </c>
      <c r="S79" s="359">
        <v>0</v>
      </c>
      <c r="T79" s="359">
        <v>0</v>
      </c>
      <c r="U79" s="359">
        <v>0</v>
      </c>
      <c r="V79" s="359">
        <v>0</v>
      </c>
      <c r="W79" s="359">
        <v>0</v>
      </c>
      <c r="X79" s="359">
        <v>0</v>
      </c>
      <c r="Y79" s="359">
        <v>0</v>
      </c>
      <c r="Z79" s="359">
        <v>0</v>
      </c>
      <c r="AA79" s="359">
        <v>0</v>
      </c>
      <c r="AB79" s="359"/>
      <c r="AC79" s="359">
        <v>0</v>
      </c>
      <c r="AD79" s="359"/>
      <c r="AE79" s="359">
        <v>0</v>
      </c>
      <c r="AF79" s="359"/>
      <c r="AG79" s="359">
        <v>0</v>
      </c>
      <c r="AH79" s="359"/>
      <c r="AI79" s="359">
        <v>0</v>
      </c>
      <c r="AJ79" s="359"/>
      <c r="AK79" s="359">
        <f t="shared" si="24"/>
        <v>0</v>
      </c>
      <c r="AL79" s="359"/>
      <c r="AM79" s="359"/>
      <c r="AN79" s="359"/>
      <c r="AO79" s="359">
        <v>0</v>
      </c>
      <c r="AP79" s="359"/>
      <c r="AQ79" s="359">
        <v>0</v>
      </c>
      <c r="AR79" s="359"/>
      <c r="AS79" s="359">
        <v>0</v>
      </c>
      <c r="AT79" s="359"/>
      <c r="AU79" s="359">
        <v>0</v>
      </c>
      <c r="AV79" s="359"/>
      <c r="AW79" s="359">
        <v>0</v>
      </c>
      <c r="AX79" s="359"/>
      <c r="AY79" s="359">
        <v>0</v>
      </c>
      <c r="AZ79" s="359"/>
      <c r="BA79" s="359">
        <v>0</v>
      </c>
      <c r="BB79" s="359"/>
      <c r="BC79" s="359">
        <v>0</v>
      </c>
      <c r="BD79" s="359">
        <v>0</v>
      </c>
      <c r="BE79" s="359">
        <f t="shared" si="25"/>
        <v>0</v>
      </c>
      <c r="BF79" s="359"/>
      <c r="BG79" s="200">
        <f t="shared" si="26"/>
        <v>84730</v>
      </c>
      <c r="BH79" s="359"/>
      <c r="BI79" s="200">
        <f t="shared" si="27"/>
        <v>84730</v>
      </c>
      <c r="BJ79" s="359"/>
      <c r="BK79" s="405">
        <f t="shared" si="22"/>
        <v>0</v>
      </c>
      <c r="BL79" s="217"/>
    </row>
    <row r="80" spans="1:64" s="200" customFormat="1" hidden="1">
      <c r="A80" s="216"/>
      <c r="B80" s="197" t="s">
        <v>1474</v>
      </c>
      <c r="C80" s="403"/>
      <c r="D80" s="403"/>
      <c r="E80" s="359">
        <v>420000</v>
      </c>
      <c r="F80" s="359">
        <v>420000</v>
      </c>
      <c r="G80" s="359">
        <v>420000</v>
      </c>
      <c r="H80" s="217"/>
      <c r="I80" s="359">
        <f t="shared" si="23"/>
        <v>0</v>
      </c>
      <c r="J80" s="217"/>
      <c r="K80" s="359">
        <v>0</v>
      </c>
      <c r="L80" s="359">
        <v>0</v>
      </c>
      <c r="M80" s="359">
        <v>0</v>
      </c>
      <c r="N80" s="359">
        <v>0</v>
      </c>
      <c r="O80" s="359">
        <v>0</v>
      </c>
      <c r="P80" s="359">
        <v>0</v>
      </c>
      <c r="Q80" s="359">
        <v>0</v>
      </c>
      <c r="R80" s="359">
        <v>0</v>
      </c>
      <c r="S80" s="359">
        <v>0</v>
      </c>
      <c r="T80" s="359">
        <v>0</v>
      </c>
      <c r="U80" s="359">
        <v>0</v>
      </c>
      <c r="V80" s="359">
        <v>0</v>
      </c>
      <c r="W80" s="359">
        <v>0</v>
      </c>
      <c r="X80" s="359">
        <v>0</v>
      </c>
      <c r="Y80" s="359">
        <v>0</v>
      </c>
      <c r="Z80" s="359">
        <v>0</v>
      </c>
      <c r="AA80" s="359">
        <v>0</v>
      </c>
      <c r="AB80" s="359"/>
      <c r="AC80" s="359">
        <v>0</v>
      </c>
      <c r="AD80" s="359"/>
      <c r="AE80" s="359">
        <v>0</v>
      </c>
      <c r="AF80" s="359"/>
      <c r="AG80" s="359">
        <v>0</v>
      </c>
      <c r="AH80" s="359"/>
      <c r="AI80" s="359">
        <v>0</v>
      </c>
      <c r="AJ80" s="359"/>
      <c r="AK80" s="359">
        <f t="shared" si="24"/>
        <v>0</v>
      </c>
      <c r="AL80" s="359"/>
      <c r="AM80" s="359"/>
      <c r="AN80" s="359"/>
      <c r="AO80" s="359">
        <v>0</v>
      </c>
      <c r="AP80" s="359"/>
      <c r="AQ80" s="359">
        <v>0</v>
      </c>
      <c r="AR80" s="359"/>
      <c r="AS80" s="359">
        <v>0</v>
      </c>
      <c r="AT80" s="359"/>
      <c r="AU80" s="359">
        <v>0</v>
      </c>
      <c r="AV80" s="359"/>
      <c r="AW80" s="359">
        <v>0</v>
      </c>
      <c r="AX80" s="359"/>
      <c r="AY80" s="359">
        <v>0</v>
      </c>
      <c r="AZ80" s="359"/>
      <c r="BA80" s="359">
        <v>0</v>
      </c>
      <c r="BB80" s="359"/>
      <c r="BC80" s="359">
        <v>0</v>
      </c>
      <c r="BD80" s="359">
        <v>0</v>
      </c>
      <c r="BE80" s="359">
        <f t="shared" si="25"/>
        <v>0</v>
      </c>
      <c r="BF80" s="359"/>
      <c r="BG80" s="200">
        <f t="shared" si="26"/>
        <v>420000</v>
      </c>
      <c r="BH80" s="359"/>
      <c r="BI80" s="200">
        <f t="shared" si="27"/>
        <v>420000</v>
      </c>
      <c r="BJ80" s="359"/>
      <c r="BK80" s="405">
        <f t="shared" si="22"/>
        <v>0</v>
      </c>
      <c r="BL80" s="217"/>
    </row>
    <row r="81" spans="1:64" s="200" customFormat="1" hidden="1">
      <c r="A81" s="216"/>
      <c r="B81" s="197" t="s">
        <v>1475</v>
      </c>
      <c r="C81" s="403"/>
      <c r="D81" s="403"/>
      <c r="E81" s="359">
        <v>77100</v>
      </c>
      <c r="F81" s="359">
        <v>77100</v>
      </c>
      <c r="G81" s="359">
        <v>77100</v>
      </c>
      <c r="H81" s="217"/>
      <c r="I81" s="359">
        <f t="shared" si="23"/>
        <v>0</v>
      </c>
      <c r="J81" s="217"/>
      <c r="K81" s="359">
        <v>0</v>
      </c>
      <c r="L81" s="359">
        <v>0</v>
      </c>
      <c r="M81" s="359">
        <v>0</v>
      </c>
      <c r="N81" s="359">
        <v>0</v>
      </c>
      <c r="O81" s="359">
        <v>0</v>
      </c>
      <c r="P81" s="359">
        <v>0</v>
      </c>
      <c r="Q81" s="359">
        <v>0</v>
      </c>
      <c r="R81" s="359">
        <v>0</v>
      </c>
      <c r="S81" s="359">
        <v>0</v>
      </c>
      <c r="T81" s="359">
        <v>0</v>
      </c>
      <c r="U81" s="359">
        <v>0</v>
      </c>
      <c r="V81" s="359">
        <v>0</v>
      </c>
      <c r="W81" s="359">
        <v>0</v>
      </c>
      <c r="X81" s="359">
        <v>0</v>
      </c>
      <c r="Y81" s="359">
        <v>0</v>
      </c>
      <c r="Z81" s="359">
        <v>0</v>
      </c>
      <c r="AA81" s="359">
        <v>0</v>
      </c>
      <c r="AB81" s="359"/>
      <c r="AC81" s="359">
        <v>0</v>
      </c>
      <c r="AD81" s="359"/>
      <c r="AE81" s="359">
        <v>0</v>
      </c>
      <c r="AF81" s="359"/>
      <c r="AG81" s="359">
        <v>0</v>
      </c>
      <c r="AH81" s="359"/>
      <c r="AI81" s="359">
        <v>0</v>
      </c>
      <c r="AJ81" s="359"/>
      <c r="AK81" s="359">
        <f t="shared" si="24"/>
        <v>0</v>
      </c>
      <c r="AL81" s="359"/>
      <c r="AM81" s="359"/>
      <c r="AN81" s="359"/>
      <c r="AO81" s="359">
        <v>0</v>
      </c>
      <c r="AP81" s="359"/>
      <c r="AQ81" s="359">
        <v>0</v>
      </c>
      <c r="AR81" s="359"/>
      <c r="AS81" s="359">
        <v>0</v>
      </c>
      <c r="AT81" s="359"/>
      <c r="AU81" s="359">
        <v>0</v>
      </c>
      <c r="AV81" s="359"/>
      <c r="AW81" s="359">
        <v>0</v>
      </c>
      <c r="AX81" s="359"/>
      <c r="AY81" s="359">
        <v>0</v>
      </c>
      <c r="AZ81" s="359"/>
      <c r="BA81" s="359">
        <v>0</v>
      </c>
      <c r="BB81" s="359"/>
      <c r="BC81" s="359">
        <v>0</v>
      </c>
      <c r="BD81" s="359">
        <v>0</v>
      </c>
      <c r="BE81" s="359">
        <f t="shared" si="25"/>
        <v>0</v>
      </c>
      <c r="BF81" s="359"/>
      <c r="BG81" s="200">
        <f t="shared" si="26"/>
        <v>77100</v>
      </c>
      <c r="BH81" s="359"/>
      <c r="BI81" s="200">
        <f t="shared" si="27"/>
        <v>77100</v>
      </c>
      <c r="BJ81" s="359"/>
      <c r="BK81" s="405">
        <f t="shared" si="22"/>
        <v>0</v>
      </c>
      <c r="BL81" s="217"/>
    </row>
    <row r="82" spans="1:64" s="200" customFormat="1" hidden="1">
      <c r="A82" s="216"/>
      <c r="B82" s="197" t="s">
        <v>1476</v>
      </c>
      <c r="C82" s="403"/>
      <c r="D82" s="403"/>
      <c r="E82" s="359">
        <v>13998</v>
      </c>
      <c r="F82" s="359">
        <v>13998</v>
      </c>
      <c r="G82" s="359">
        <v>13998</v>
      </c>
      <c r="H82" s="217"/>
      <c r="I82" s="359">
        <f t="shared" si="23"/>
        <v>0</v>
      </c>
      <c r="J82" s="217"/>
      <c r="K82" s="359">
        <v>0</v>
      </c>
      <c r="L82" s="359">
        <v>0</v>
      </c>
      <c r="M82" s="359">
        <v>0</v>
      </c>
      <c r="N82" s="359">
        <v>0</v>
      </c>
      <c r="O82" s="359">
        <v>0</v>
      </c>
      <c r="P82" s="359">
        <v>0</v>
      </c>
      <c r="Q82" s="359">
        <v>0</v>
      </c>
      <c r="R82" s="359">
        <v>0</v>
      </c>
      <c r="S82" s="359">
        <v>0</v>
      </c>
      <c r="T82" s="359">
        <v>0</v>
      </c>
      <c r="U82" s="359">
        <v>0</v>
      </c>
      <c r="V82" s="359">
        <v>0</v>
      </c>
      <c r="W82" s="359">
        <v>0</v>
      </c>
      <c r="X82" s="359">
        <v>0</v>
      </c>
      <c r="Y82" s="359">
        <v>0</v>
      </c>
      <c r="Z82" s="359">
        <v>0</v>
      </c>
      <c r="AA82" s="359">
        <v>0</v>
      </c>
      <c r="AB82" s="359"/>
      <c r="AC82" s="359">
        <v>0</v>
      </c>
      <c r="AD82" s="359"/>
      <c r="AE82" s="359">
        <v>0</v>
      </c>
      <c r="AF82" s="359"/>
      <c r="AG82" s="359">
        <v>0</v>
      </c>
      <c r="AH82" s="359"/>
      <c r="AI82" s="359">
        <v>0</v>
      </c>
      <c r="AJ82" s="359"/>
      <c r="AK82" s="359">
        <f t="shared" si="24"/>
        <v>0</v>
      </c>
      <c r="AL82" s="359"/>
      <c r="AM82" s="359"/>
      <c r="AN82" s="359"/>
      <c r="AO82" s="359">
        <v>0</v>
      </c>
      <c r="AP82" s="359"/>
      <c r="AQ82" s="359">
        <v>0</v>
      </c>
      <c r="AR82" s="359"/>
      <c r="AS82" s="359">
        <v>0</v>
      </c>
      <c r="AT82" s="359"/>
      <c r="AU82" s="359">
        <v>0</v>
      </c>
      <c r="AV82" s="359"/>
      <c r="AW82" s="359">
        <v>0</v>
      </c>
      <c r="AX82" s="359"/>
      <c r="AY82" s="359">
        <v>0</v>
      </c>
      <c r="AZ82" s="359"/>
      <c r="BA82" s="359">
        <v>0</v>
      </c>
      <c r="BB82" s="359"/>
      <c r="BC82" s="359">
        <v>0</v>
      </c>
      <c r="BD82" s="359">
        <v>0</v>
      </c>
      <c r="BE82" s="359">
        <f t="shared" si="25"/>
        <v>0</v>
      </c>
      <c r="BF82" s="359"/>
      <c r="BG82" s="200">
        <f t="shared" si="26"/>
        <v>13998</v>
      </c>
      <c r="BH82" s="359"/>
      <c r="BI82" s="200">
        <f t="shared" si="27"/>
        <v>13998</v>
      </c>
      <c r="BJ82" s="359"/>
      <c r="BK82" s="405">
        <f t="shared" si="22"/>
        <v>0</v>
      </c>
      <c r="BL82" s="217"/>
    </row>
    <row r="83" spans="1:64" s="200" customFormat="1" hidden="1">
      <c r="A83" s="216"/>
      <c r="B83" s="197" t="s">
        <v>299</v>
      </c>
      <c r="C83" s="403"/>
      <c r="D83" s="403"/>
      <c r="E83" s="359">
        <v>209400</v>
      </c>
      <c r="F83" s="359">
        <v>209400</v>
      </c>
      <c r="G83" s="359">
        <v>209400</v>
      </c>
      <c r="H83" s="217"/>
      <c r="I83" s="359">
        <f t="shared" si="23"/>
        <v>0</v>
      </c>
      <c r="J83" s="217"/>
      <c r="K83" s="359">
        <v>0</v>
      </c>
      <c r="L83" s="359">
        <v>0</v>
      </c>
      <c r="M83" s="359">
        <v>0</v>
      </c>
      <c r="N83" s="359">
        <v>0</v>
      </c>
      <c r="O83" s="359">
        <v>0</v>
      </c>
      <c r="P83" s="359">
        <v>0</v>
      </c>
      <c r="Q83" s="359">
        <v>0</v>
      </c>
      <c r="R83" s="359">
        <v>0</v>
      </c>
      <c r="S83" s="359">
        <v>0</v>
      </c>
      <c r="T83" s="359">
        <v>0</v>
      </c>
      <c r="U83" s="359">
        <v>0</v>
      </c>
      <c r="V83" s="359">
        <v>0</v>
      </c>
      <c r="W83" s="359">
        <v>0</v>
      </c>
      <c r="X83" s="359">
        <v>0</v>
      </c>
      <c r="Y83" s="359">
        <v>0</v>
      </c>
      <c r="Z83" s="359">
        <v>0</v>
      </c>
      <c r="AA83" s="359">
        <v>0</v>
      </c>
      <c r="AB83" s="359"/>
      <c r="AC83" s="359">
        <v>0</v>
      </c>
      <c r="AD83" s="359"/>
      <c r="AE83" s="359">
        <v>0</v>
      </c>
      <c r="AF83" s="359"/>
      <c r="AG83" s="359">
        <v>0</v>
      </c>
      <c r="AH83" s="359"/>
      <c r="AI83" s="359">
        <v>0</v>
      </c>
      <c r="AJ83" s="359"/>
      <c r="AK83" s="359">
        <f t="shared" si="24"/>
        <v>0</v>
      </c>
      <c r="AL83" s="359"/>
      <c r="AM83" s="359"/>
      <c r="AN83" s="359"/>
      <c r="AO83" s="359">
        <v>44694</v>
      </c>
      <c r="AP83" s="359"/>
      <c r="AQ83" s="359">
        <v>0</v>
      </c>
      <c r="AR83" s="359"/>
      <c r="AS83" s="359">
        <v>0</v>
      </c>
      <c r="AT83" s="359"/>
      <c r="AU83" s="359">
        <v>0</v>
      </c>
      <c r="AV83" s="359"/>
      <c r="AW83" s="359">
        <v>0</v>
      </c>
      <c r="AX83" s="359"/>
      <c r="AY83" s="359">
        <v>0</v>
      </c>
      <c r="AZ83" s="359"/>
      <c r="BA83" s="359">
        <v>0</v>
      </c>
      <c r="BB83" s="359"/>
      <c r="BC83" s="359">
        <v>0</v>
      </c>
      <c r="BD83" s="359">
        <v>0</v>
      </c>
      <c r="BE83" s="359">
        <f t="shared" si="25"/>
        <v>44694</v>
      </c>
      <c r="BF83" s="359"/>
      <c r="BG83" s="200">
        <f t="shared" si="26"/>
        <v>164706</v>
      </c>
      <c r="BH83" s="359"/>
      <c r="BI83" s="200">
        <f t="shared" si="27"/>
        <v>209400</v>
      </c>
      <c r="BJ83" s="359"/>
      <c r="BK83" s="405">
        <f t="shared" si="22"/>
        <v>0</v>
      </c>
      <c r="BL83" s="217"/>
    </row>
    <row r="84" spans="1:64" s="200" customFormat="1" hidden="1">
      <c r="A84" s="216"/>
      <c r="B84" s="197" t="s">
        <v>1477</v>
      </c>
      <c r="C84" s="403"/>
      <c r="D84" s="403"/>
      <c r="E84" s="359">
        <v>99002</v>
      </c>
      <c r="F84" s="359">
        <v>99002</v>
      </c>
      <c r="G84" s="359">
        <v>99002</v>
      </c>
      <c r="H84" s="217"/>
      <c r="I84" s="359">
        <f t="shared" si="23"/>
        <v>0</v>
      </c>
      <c r="J84" s="217"/>
      <c r="K84" s="359">
        <v>0</v>
      </c>
      <c r="L84" s="359">
        <v>0</v>
      </c>
      <c r="M84" s="359">
        <v>0</v>
      </c>
      <c r="N84" s="359">
        <v>0</v>
      </c>
      <c r="O84" s="359">
        <v>0</v>
      </c>
      <c r="P84" s="359">
        <v>0</v>
      </c>
      <c r="Q84" s="359">
        <v>0</v>
      </c>
      <c r="R84" s="359">
        <v>0</v>
      </c>
      <c r="S84" s="359">
        <v>0</v>
      </c>
      <c r="T84" s="359">
        <v>0</v>
      </c>
      <c r="U84" s="359">
        <v>0</v>
      </c>
      <c r="V84" s="359">
        <v>0</v>
      </c>
      <c r="W84" s="359">
        <v>0</v>
      </c>
      <c r="X84" s="359">
        <v>0</v>
      </c>
      <c r="Y84" s="359">
        <v>0</v>
      </c>
      <c r="Z84" s="359">
        <v>0</v>
      </c>
      <c r="AA84" s="359">
        <v>0</v>
      </c>
      <c r="AB84" s="359"/>
      <c r="AC84" s="359">
        <v>0</v>
      </c>
      <c r="AD84" s="359"/>
      <c r="AE84" s="359">
        <v>0</v>
      </c>
      <c r="AF84" s="359"/>
      <c r="AG84" s="359">
        <v>0</v>
      </c>
      <c r="AH84" s="359"/>
      <c r="AI84" s="359">
        <v>0</v>
      </c>
      <c r="AJ84" s="359"/>
      <c r="AK84" s="359">
        <f t="shared" si="24"/>
        <v>0</v>
      </c>
      <c r="AL84" s="359"/>
      <c r="AM84" s="359"/>
      <c r="AN84" s="359"/>
      <c r="AO84" s="359">
        <v>0</v>
      </c>
      <c r="AP84" s="359"/>
      <c r="AQ84" s="359">
        <v>0</v>
      </c>
      <c r="AR84" s="359"/>
      <c r="AS84" s="359">
        <v>0</v>
      </c>
      <c r="AT84" s="359"/>
      <c r="AU84" s="359">
        <v>0</v>
      </c>
      <c r="AV84" s="359"/>
      <c r="AW84" s="359">
        <v>0</v>
      </c>
      <c r="AX84" s="359"/>
      <c r="AY84" s="359">
        <v>0</v>
      </c>
      <c r="AZ84" s="359"/>
      <c r="BA84" s="359">
        <v>0</v>
      </c>
      <c r="BB84" s="359"/>
      <c r="BC84" s="359">
        <v>0</v>
      </c>
      <c r="BD84" s="359">
        <v>0</v>
      </c>
      <c r="BE84" s="359">
        <f t="shared" si="25"/>
        <v>0</v>
      </c>
      <c r="BF84" s="359"/>
      <c r="BG84" s="200">
        <f t="shared" si="26"/>
        <v>99002</v>
      </c>
      <c r="BH84" s="359"/>
      <c r="BI84" s="200">
        <f t="shared" si="27"/>
        <v>99002</v>
      </c>
      <c r="BJ84" s="359"/>
      <c r="BK84" s="405">
        <f t="shared" si="22"/>
        <v>0</v>
      </c>
      <c r="BL84" s="217"/>
    </row>
    <row r="85" spans="1:64" s="200" customFormat="1" hidden="1">
      <c r="A85" s="216"/>
      <c r="B85" s="197" t="s">
        <v>1478</v>
      </c>
      <c r="C85" s="403"/>
      <c r="D85" s="403"/>
      <c r="E85" s="359">
        <v>68000</v>
      </c>
      <c r="F85" s="359">
        <v>68000</v>
      </c>
      <c r="G85" s="359">
        <v>68000</v>
      </c>
      <c r="H85" s="217"/>
      <c r="I85" s="359">
        <f t="shared" si="23"/>
        <v>0</v>
      </c>
      <c r="J85" s="217"/>
      <c r="K85" s="359">
        <v>0</v>
      </c>
      <c r="L85" s="359">
        <v>0</v>
      </c>
      <c r="M85" s="359">
        <v>0</v>
      </c>
      <c r="N85" s="359">
        <v>0</v>
      </c>
      <c r="O85" s="359">
        <v>0</v>
      </c>
      <c r="P85" s="359">
        <v>0</v>
      </c>
      <c r="Q85" s="359">
        <v>0</v>
      </c>
      <c r="R85" s="359">
        <v>0</v>
      </c>
      <c r="S85" s="359">
        <v>0</v>
      </c>
      <c r="T85" s="359">
        <v>0</v>
      </c>
      <c r="U85" s="359">
        <v>0</v>
      </c>
      <c r="V85" s="359">
        <v>0</v>
      </c>
      <c r="W85" s="359">
        <v>0</v>
      </c>
      <c r="X85" s="359">
        <v>0</v>
      </c>
      <c r="Y85" s="359">
        <v>0</v>
      </c>
      <c r="Z85" s="359">
        <v>0</v>
      </c>
      <c r="AA85" s="359">
        <v>0</v>
      </c>
      <c r="AB85" s="359"/>
      <c r="AC85" s="359">
        <v>0</v>
      </c>
      <c r="AD85" s="359"/>
      <c r="AE85" s="359">
        <v>0</v>
      </c>
      <c r="AF85" s="359"/>
      <c r="AG85" s="359">
        <v>0</v>
      </c>
      <c r="AH85" s="359"/>
      <c r="AI85" s="359">
        <v>0</v>
      </c>
      <c r="AJ85" s="359"/>
      <c r="AK85" s="359">
        <f t="shared" si="24"/>
        <v>0</v>
      </c>
      <c r="AL85" s="359"/>
      <c r="AM85" s="359"/>
      <c r="AN85" s="359"/>
      <c r="AO85" s="359">
        <v>0</v>
      </c>
      <c r="AP85" s="359"/>
      <c r="AQ85" s="359">
        <v>0</v>
      </c>
      <c r="AR85" s="359"/>
      <c r="AS85" s="359">
        <v>0</v>
      </c>
      <c r="AT85" s="359"/>
      <c r="AU85" s="359">
        <v>0</v>
      </c>
      <c r="AV85" s="359"/>
      <c r="AW85" s="359">
        <v>0</v>
      </c>
      <c r="AX85" s="359"/>
      <c r="AY85" s="359">
        <v>0</v>
      </c>
      <c r="AZ85" s="359"/>
      <c r="BA85" s="359">
        <v>0</v>
      </c>
      <c r="BB85" s="359"/>
      <c r="BC85" s="359">
        <v>0</v>
      </c>
      <c r="BD85" s="359">
        <v>0</v>
      </c>
      <c r="BE85" s="359">
        <f t="shared" si="25"/>
        <v>0</v>
      </c>
      <c r="BF85" s="359"/>
      <c r="BG85" s="200">
        <f t="shared" si="26"/>
        <v>68000</v>
      </c>
      <c r="BH85" s="359"/>
      <c r="BI85" s="200">
        <f t="shared" si="27"/>
        <v>68000</v>
      </c>
      <c r="BJ85" s="359"/>
      <c r="BK85" s="405">
        <f t="shared" si="22"/>
        <v>0</v>
      </c>
      <c r="BL85" s="217"/>
    </row>
    <row r="86" spans="1:64" s="200" customFormat="1" hidden="1">
      <c r="A86" s="216"/>
      <c r="B86" s="197" t="s">
        <v>1479</v>
      </c>
      <c r="C86" s="403"/>
      <c r="D86" s="403"/>
      <c r="E86" s="359">
        <v>75000</v>
      </c>
      <c r="F86" s="359">
        <v>75000</v>
      </c>
      <c r="G86" s="359">
        <v>75000</v>
      </c>
      <c r="H86" s="217"/>
      <c r="I86" s="359">
        <f t="shared" si="23"/>
        <v>0</v>
      </c>
      <c r="J86" s="217"/>
      <c r="K86" s="359">
        <v>0</v>
      </c>
      <c r="L86" s="359">
        <v>0</v>
      </c>
      <c r="M86" s="359">
        <v>0</v>
      </c>
      <c r="N86" s="359">
        <v>0</v>
      </c>
      <c r="O86" s="359">
        <v>0</v>
      </c>
      <c r="P86" s="359">
        <v>0</v>
      </c>
      <c r="Q86" s="359">
        <v>0</v>
      </c>
      <c r="R86" s="359">
        <v>0</v>
      </c>
      <c r="S86" s="359">
        <v>0</v>
      </c>
      <c r="T86" s="359">
        <v>0</v>
      </c>
      <c r="U86" s="359">
        <v>0</v>
      </c>
      <c r="V86" s="359">
        <v>0</v>
      </c>
      <c r="W86" s="359">
        <v>0</v>
      </c>
      <c r="X86" s="359">
        <v>0</v>
      </c>
      <c r="Y86" s="359">
        <v>0</v>
      </c>
      <c r="Z86" s="359">
        <v>0</v>
      </c>
      <c r="AA86" s="359">
        <v>0</v>
      </c>
      <c r="AB86" s="359"/>
      <c r="AC86" s="359">
        <v>0</v>
      </c>
      <c r="AD86" s="359"/>
      <c r="AE86" s="359">
        <v>0</v>
      </c>
      <c r="AF86" s="359"/>
      <c r="AG86" s="359">
        <v>0</v>
      </c>
      <c r="AH86" s="359"/>
      <c r="AI86" s="359">
        <v>0</v>
      </c>
      <c r="AJ86" s="359"/>
      <c r="AK86" s="359">
        <f t="shared" si="24"/>
        <v>0</v>
      </c>
      <c r="AL86" s="359"/>
      <c r="AM86" s="359"/>
      <c r="AN86" s="359"/>
      <c r="AO86" s="359">
        <v>0</v>
      </c>
      <c r="AP86" s="359"/>
      <c r="AQ86" s="359">
        <v>0</v>
      </c>
      <c r="AR86" s="359"/>
      <c r="AS86" s="359">
        <v>0</v>
      </c>
      <c r="AT86" s="359"/>
      <c r="AU86" s="359">
        <v>0</v>
      </c>
      <c r="AV86" s="359"/>
      <c r="AW86" s="359">
        <v>0</v>
      </c>
      <c r="AX86" s="359"/>
      <c r="AY86" s="359">
        <v>0</v>
      </c>
      <c r="AZ86" s="359"/>
      <c r="BA86" s="359">
        <v>0</v>
      </c>
      <c r="BB86" s="359"/>
      <c r="BC86" s="359">
        <v>0</v>
      </c>
      <c r="BD86" s="359">
        <v>0</v>
      </c>
      <c r="BE86" s="359">
        <f t="shared" si="25"/>
        <v>0</v>
      </c>
      <c r="BF86" s="359"/>
      <c r="BG86" s="200">
        <f t="shared" si="26"/>
        <v>75000</v>
      </c>
      <c r="BH86" s="359"/>
      <c r="BI86" s="200">
        <f t="shared" si="27"/>
        <v>75000</v>
      </c>
      <c r="BJ86" s="359"/>
      <c r="BK86" s="405">
        <f t="shared" si="22"/>
        <v>0</v>
      </c>
      <c r="BL86" s="217"/>
    </row>
    <row r="87" spans="1:64" s="200" customFormat="1" hidden="1">
      <c r="A87" s="216"/>
      <c r="B87" s="197" t="s">
        <v>1480</v>
      </c>
      <c r="C87" s="403"/>
      <c r="D87" s="403"/>
      <c r="E87" s="359">
        <v>155000</v>
      </c>
      <c r="F87" s="359">
        <v>155000</v>
      </c>
      <c r="G87" s="359">
        <v>155000</v>
      </c>
      <c r="H87" s="217"/>
      <c r="I87" s="359">
        <f t="shared" si="23"/>
        <v>0</v>
      </c>
      <c r="J87" s="217"/>
      <c r="K87" s="359">
        <v>0</v>
      </c>
      <c r="L87" s="359">
        <v>0</v>
      </c>
      <c r="M87" s="359">
        <v>0</v>
      </c>
      <c r="N87" s="359">
        <v>0</v>
      </c>
      <c r="O87" s="359">
        <v>0</v>
      </c>
      <c r="P87" s="359">
        <v>0</v>
      </c>
      <c r="Q87" s="359">
        <v>0</v>
      </c>
      <c r="R87" s="359">
        <v>0</v>
      </c>
      <c r="S87" s="359">
        <v>0</v>
      </c>
      <c r="T87" s="359">
        <v>0</v>
      </c>
      <c r="U87" s="359">
        <v>0</v>
      </c>
      <c r="V87" s="359">
        <v>0</v>
      </c>
      <c r="W87" s="359">
        <v>0</v>
      </c>
      <c r="X87" s="359">
        <v>0</v>
      </c>
      <c r="Y87" s="359">
        <v>0</v>
      </c>
      <c r="Z87" s="359">
        <v>0</v>
      </c>
      <c r="AA87" s="359">
        <v>0</v>
      </c>
      <c r="AB87" s="359"/>
      <c r="AC87" s="359">
        <v>0</v>
      </c>
      <c r="AD87" s="359"/>
      <c r="AE87" s="359">
        <v>0</v>
      </c>
      <c r="AF87" s="359"/>
      <c r="AG87" s="359">
        <v>0</v>
      </c>
      <c r="AH87" s="359"/>
      <c r="AI87" s="359">
        <v>0</v>
      </c>
      <c r="AJ87" s="359"/>
      <c r="AK87" s="359">
        <f t="shared" si="24"/>
        <v>0</v>
      </c>
      <c r="AL87" s="359"/>
      <c r="AM87" s="359"/>
      <c r="AN87" s="359"/>
      <c r="AO87" s="359">
        <v>0</v>
      </c>
      <c r="AP87" s="359"/>
      <c r="AQ87" s="359">
        <v>0</v>
      </c>
      <c r="AR87" s="359"/>
      <c r="AS87" s="359">
        <v>0</v>
      </c>
      <c r="AT87" s="359"/>
      <c r="AU87" s="359">
        <v>0</v>
      </c>
      <c r="AV87" s="359"/>
      <c r="AW87" s="359">
        <v>0</v>
      </c>
      <c r="AX87" s="359"/>
      <c r="AY87" s="359">
        <v>0</v>
      </c>
      <c r="AZ87" s="359"/>
      <c r="BA87" s="359">
        <v>0</v>
      </c>
      <c r="BB87" s="359"/>
      <c r="BC87" s="359">
        <v>0</v>
      </c>
      <c r="BD87" s="359">
        <v>0</v>
      </c>
      <c r="BE87" s="359">
        <f t="shared" si="25"/>
        <v>0</v>
      </c>
      <c r="BF87" s="359"/>
      <c r="BG87" s="200">
        <f t="shared" si="26"/>
        <v>155000</v>
      </c>
      <c r="BH87" s="359"/>
      <c r="BI87" s="200">
        <f t="shared" si="27"/>
        <v>155000</v>
      </c>
      <c r="BJ87" s="359"/>
      <c r="BK87" s="405">
        <f t="shared" si="22"/>
        <v>0</v>
      </c>
      <c r="BL87" s="217"/>
    </row>
    <row r="88" spans="1:64" s="200" customFormat="1" hidden="1">
      <c r="A88" s="216"/>
      <c r="B88" s="197" t="s">
        <v>1481</v>
      </c>
      <c r="C88" s="403"/>
      <c r="D88" s="403"/>
      <c r="E88" s="359">
        <v>32000</v>
      </c>
      <c r="F88" s="359">
        <v>32000</v>
      </c>
      <c r="G88" s="359">
        <v>32000</v>
      </c>
      <c r="H88" s="217"/>
      <c r="I88" s="359">
        <f t="shared" si="23"/>
        <v>0</v>
      </c>
      <c r="J88" s="217"/>
      <c r="K88" s="359">
        <v>0</v>
      </c>
      <c r="L88" s="359">
        <v>0</v>
      </c>
      <c r="M88" s="359">
        <v>0</v>
      </c>
      <c r="N88" s="359">
        <v>0</v>
      </c>
      <c r="O88" s="359">
        <v>0</v>
      </c>
      <c r="P88" s="359">
        <v>0</v>
      </c>
      <c r="Q88" s="359">
        <v>0</v>
      </c>
      <c r="R88" s="359">
        <v>0</v>
      </c>
      <c r="S88" s="359">
        <v>0</v>
      </c>
      <c r="T88" s="359">
        <v>0</v>
      </c>
      <c r="U88" s="359">
        <v>0</v>
      </c>
      <c r="V88" s="359">
        <v>0</v>
      </c>
      <c r="W88" s="359">
        <v>0</v>
      </c>
      <c r="X88" s="359">
        <v>0</v>
      </c>
      <c r="Y88" s="359">
        <v>0</v>
      </c>
      <c r="Z88" s="359">
        <v>0</v>
      </c>
      <c r="AA88" s="359">
        <v>0</v>
      </c>
      <c r="AB88" s="359"/>
      <c r="AC88" s="359">
        <v>0</v>
      </c>
      <c r="AD88" s="359"/>
      <c r="AE88" s="359">
        <v>0</v>
      </c>
      <c r="AF88" s="359"/>
      <c r="AG88" s="359">
        <v>0</v>
      </c>
      <c r="AH88" s="359"/>
      <c r="AI88" s="359">
        <v>0</v>
      </c>
      <c r="AJ88" s="359"/>
      <c r="AK88" s="359">
        <f t="shared" si="24"/>
        <v>0</v>
      </c>
      <c r="AL88" s="359"/>
      <c r="AM88" s="359"/>
      <c r="AN88" s="359"/>
      <c r="AO88" s="359">
        <v>0</v>
      </c>
      <c r="AP88" s="359"/>
      <c r="AQ88" s="359">
        <v>0</v>
      </c>
      <c r="AR88" s="359"/>
      <c r="AS88" s="359">
        <v>0</v>
      </c>
      <c r="AT88" s="359"/>
      <c r="AU88" s="359">
        <v>0</v>
      </c>
      <c r="AV88" s="359"/>
      <c r="AW88" s="359">
        <v>0</v>
      </c>
      <c r="AX88" s="359"/>
      <c r="AY88" s="359">
        <v>0</v>
      </c>
      <c r="AZ88" s="359"/>
      <c r="BA88" s="359">
        <v>0</v>
      </c>
      <c r="BB88" s="359"/>
      <c r="BC88" s="359">
        <v>0</v>
      </c>
      <c r="BD88" s="359">
        <v>0</v>
      </c>
      <c r="BE88" s="359">
        <f t="shared" si="25"/>
        <v>0</v>
      </c>
      <c r="BF88" s="359"/>
      <c r="BG88" s="200">
        <f t="shared" si="26"/>
        <v>32000</v>
      </c>
      <c r="BH88" s="359"/>
      <c r="BI88" s="200">
        <f t="shared" si="27"/>
        <v>32000</v>
      </c>
      <c r="BJ88" s="359"/>
      <c r="BK88" s="405">
        <f t="shared" si="22"/>
        <v>0</v>
      </c>
      <c r="BL88" s="217"/>
    </row>
    <row r="89" spans="1:64" s="200" customFormat="1" hidden="1">
      <c r="A89" s="216"/>
      <c r="B89" s="197" t="s">
        <v>1482</v>
      </c>
      <c r="C89" s="403"/>
      <c r="D89" s="403"/>
      <c r="E89" s="359">
        <v>51600</v>
      </c>
      <c r="F89" s="359">
        <v>51600</v>
      </c>
      <c r="G89" s="359">
        <v>51600</v>
      </c>
      <c r="H89" s="217"/>
      <c r="I89" s="359">
        <f t="shared" si="23"/>
        <v>0</v>
      </c>
      <c r="J89" s="217"/>
      <c r="K89" s="359">
        <v>0</v>
      </c>
      <c r="L89" s="359">
        <v>0</v>
      </c>
      <c r="M89" s="359">
        <v>0</v>
      </c>
      <c r="N89" s="359">
        <v>0</v>
      </c>
      <c r="O89" s="359">
        <v>0</v>
      </c>
      <c r="P89" s="359">
        <v>0</v>
      </c>
      <c r="Q89" s="359">
        <v>0</v>
      </c>
      <c r="R89" s="359">
        <v>0</v>
      </c>
      <c r="S89" s="359">
        <v>0</v>
      </c>
      <c r="T89" s="359">
        <v>0</v>
      </c>
      <c r="U89" s="359">
        <v>0</v>
      </c>
      <c r="V89" s="359">
        <v>0</v>
      </c>
      <c r="W89" s="359">
        <v>0</v>
      </c>
      <c r="X89" s="359">
        <v>0</v>
      </c>
      <c r="Y89" s="359">
        <v>0</v>
      </c>
      <c r="Z89" s="359">
        <v>0</v>
      </c>
      <c r="AA89" s="359">
        <v>0</v>
      </c>
      <c r="AB89" s="359"/>
      <c r="AC89" s="359">
        <v>0</v>
      </c>
      <c r="AD89" s="359"/>
      <c r="AE89" s="359">
        <v>0</v>
      </c>
      <c r="AF89" s="359"/>
      <c r="AG89" s="359">
        <v>0</v>
      </c>
      <c r="AH89" s="359"/>
      <c r="AI89" s="359">
        <v>0</v>
      </c>
      <c r="AJ89" s="359"/>
      <c r="AK89" s="359">
        <f t="shared" si="24"/>
        <v>0</v>
      </c>
      <c r="AL89" s="359"/>
      <c r="AM89" s="359"/>
      <c r="AN89" s="359"/>
      <c r="AO89" s="359">
        <v>0</v>
      </c>
      <c r="AP89" s="359"/>
      <c r="AQ89" s="359">
        <v>0</v>
      </c>
      <c r="AR89" s="359"/>
      <c r="AS89" s="359">
        <v>0</v>
      </c>
      <c r="AT89" s="359"/>
      <c r="AU89" s="359">
        <v>0</v>
      </c>
      <c r="AV89" s="359"/>
      <c r="AW89" s="359">
        <v>0</v>
      </c>
      <c r="AX89" s="359"/>
      <c r="AY89" s="359">
        <v>0</v>
      </c>
      <c r="AZ89" s="359"/>
      <c r="BA89" s="359">
        <v>0</v>
      </c>
      <c r="BB89" s="359"/>
      <c r="BC89" s="359">
        <v>0</v>
      </c>
      <c r="BD89" s="359">
        <v>0</v>
      </c>
      <c r="BE89" s="359">
        <f t="shared" si="25"/>
        <v>0</v>
      </c>
      <c r="BF89" s="359"/>
      <c r="BG89" s="200">
        <f t="shared" si="26"/>
        <v>51600</v>
      </c>
      <c r="BH89" s="359"/>
      <c r="BI89" s="200">
        <f t="shared" si="27"/>
        <v>51600</v>
      </c>
      <c r="BJ89" s="359"/>
      <c r="BK89" s="405">
        <f t="shared" si="22"/>
        <v>0</v>
      </c>
      <c r="BL89" s="217"/>
    </row>
    <row r="90" spans="1:64" s="200" customFormat="1" hidden="1">
      <c r="A90" s="216"/>
      <c r="B90" s="212" t="s">
        <v>1507</v>
      </c>
      <c r="C90" s="403"/>
      <c r="D90" s="403"/>
      <c r="E90" s="409">
        <f>SUM(E67:E89)</f>
        <v>2957229</v>
      </c>
      <c r="F90" s="217"/>
      <c r="G90" s="409">
        <f>SUBTOTAL(9,G67:G89)</f>
        <v>2957229</v>
      </c>
      <c r="H90" s="217"/>
      <c r="I90" s="409">
        <f t="shared" ref="I90:AE90" si="28">SUM(I67:I89)</f>
        <v>0</v>
      </c>
      <c r="J90" s="360">
        <f t="shared" si="28"/>
        <v>0</v>
      </c>
      <c r="K90" s="409">
        <f t="shared" si="28"/>
        <v>0</v>
      </c>
      <c r="L90" s="360">
        <f t="shared" si="28"/>
        <v>0</v>
      </c>
      <c r="M90" s="409">
        <f t="shared" si="28"/>
        <v>0</v>
      </c>
      <c r="N90" s="360">
        <f t="shared" si="28"/>
        <v>0</v>
      </c>
      <c r="O90" s="409">
        <f t="shared" si="28"/>
        <v>0</v>
      </c>
      <c r="P90" s="360">
        <f t="shared" si="28"/>
        <v>0</v>
      </c>
      <c r="Q90" s="409">
        <f t="shared" si="28"/>
        <v>0</v>
      </c>
      <c r="R90" s="360">
        <f t="shared" si="28"/>
        <v>0</v>
      </c>
      <c r="S90" s="409">
        <f t="shared" si="28"/>
        <v>0</v>
      </c>
      <c r="T90" s="360">
        <f t="shared" si="28"/>
        <v>0</v>
      </c>
      <c r="U90" s="409">
        <f t="shared" si="28"/>
        <v>0</v>
      </c>
      <c r="V90" s="360">
        <f t="shared" si="28"/>
        <v>0</v>
      </c>
      <c r="W90" s="409">
        <f t="shared" si="28"/>
        <v>0</v>
      </c>
      <c r="X90" s="360">
        <f t="shared" si="28"/>
        <v>0</v>
      </c>
      <c r="Y90" s="409">
        <f t="shared" si="28"/>
        <v>0</v>
      </c>
      <c r="Z90" s="360">
        <f t="shared" si="28"/>
        <v>0</v>
      </c>
      <c r="AA90" s="409">
        <f t="shared" si="28"/>
        <v>0</v>
      </c>
      <c r="AB90" s="360">
        <f t="shared" si="28"/>
        <v>0</v>
      </c>
      <c r="AC90" s="409">
        <f t="shared" si="28"/>
        <v>0</v>
      </c>
      <c r="AD90" s="360">
        <f t="shared" si="28"/>
        <v>0</v>
      </c>
      <c r="AE90" s="409">
        <f t="shared" si="28"/>
        <v>0</v>
      </c>
      <c r="AF90" s="360"/>
      <c r="AG90" s="409">
        <f>SUM(AG67:AG89)</f>
        <v>0</v>
      </c>
      <c r="AH90" s="360">
        <f>SUM(AH67:AH89)</f>
        <v>0</v>
      </c>
      <c r="AI90" s="409">
        <f>SUM(AI67:AI89)</f>
        <v>0</v>
      </c>
      <c r="AJ90" s="360"/>
      <c r="AK90" s="409">
        <f>SUM(AK65:AK89)</f>
        <v>0</v>
      </c>
      <c r="AL90" s="360">
        <f>SUM(AL67:AL89)</f>
        <v>0</v>
      </c>
      <c r="AM90" s="360">
        <f>SUM(AM67:AM89)</f>
        <v>0</v>
      </c>
      <c r="AN90" s="360">
        <f>SUM(AN67:AN89)</f>
        <v>0</v>
      </c>
      <c r="AO90" s="409">
        <f>SUM(AO67:AO89)</f>
        <v>173508</v>
      </c>
      <c r="AP90" s="360"/>
      <c r="AQ90" s="409">
        <f>SUM(AQ67:AQ89)</f>
        <v>0</v>
      </c>
      <c r="AR90" s="360"/>
      <c r="AS90" s="360">
        <f>SUM(AS67:AS89)</f>
        <v>0</v>
      </c>
      <c r="AT90" s="360"/>
      <c r="AU90" s="360">
        <f>SUM(AU67:AU89)</f>
        <v>0</v>
      </c>
      <c r="AV90" s="360"/>
      <c r="AW90" s="360">
        <f>SUM(AW67:AW89)</f>
        <v>0</v>
      </c>
      <c r="AX90" s="360"/>
      <c r="AY90" s="360">
        <f>SUM(AY67:AY89)</f>
        <v>0</v>
      </c>
      <c r="AZ90" s="360"/>
      <c r="BA90" s="360">
        <f>SUM(BA67:BA89)</f>
        <v>0</v>
      </c>
      <c r="BB90" s="360"/>
      <c r="BC90" s="360">
        <f>SUM(BC67:BC89)</f>
        <v>0</v>
      </c>
      <c r="BD90" s="360">
        <f>SUM(BD67:BD89)</f>
        <v>0</v>
      </c>
      <c r="BE90" s="409">
        <f>SUM(BE65:BE89)</f>
        <v>173508</v>
      </c>
      <c r="BF90" s="360"/>
      <c r="BG90" s="409">
        <f t="shared" ref="BG90:BL90" si="29">SUM(BG67:BG89)</f>
        <v>2783721</v>
      </c>
      <c r="BH90" s="360">
        <f t="shared" si="29"/>
        <v>0</v>
      </c>
      <c r="BI90" s="409">
        <f t="shared" si="29"/>
        <v>2957229</v>
      </c>
      <c r="BJ90" s="360">
        <f t="shared" si="29"/>
        <v>0</v>
      </c>
      <c r="BK90" s="409">
        <f t="shared" si="29"/>
        <v>0</v>
      </c>
      <c r="BL90" s="409">
        <f t="shared" si="29"/>
        <v>0</v>
      </c>
    </row>
    <row r="91" spans="1:64" s="200" customFormat="1" hidden="1">
      <c r="A91" s="216"/>
      <c r="B91" s="197"/>
      <c r="C91" s="403"/>
      <c r="D91" s="403"/>
      <c r="E91" s="357"/>
      <c r="F91" s="217"/>
      <c r="G91" s="357"/>
      <c r="H91" s="217"/>
      <c r="I91" s="357"/>
      <c r="J91" s="217"/>
      <c r="K91" s="357"/>
      <c r="L91" s="357"/>
      <c r="M91" s="357"/>
      <c r="N91" s="357"/>
      <c r="O91" s="357"/>
      <c r="P91" s="357"/>
      <c r="Q91" s="357"/>
      <c r="R91" s="357"/>
      <c r="S91" s="357"/>
      <c r="T91" s="357"/>
      <c r="U91" s="357"/>
      <c r="V91" s="357"/>
      <c r="W91" s="357"/>
      <c r="X91" s="357"/>
      <c r="Y91" s="357"/>
      <c r="Z91" s="357"/>
      <c r="AA91" s="357"/>
      <c r="AB91" s="357"/>
      <c r="AC91" s="357"/>
      <c r="AD91" s="357"/>
      <c r="AE91" s="357"/>
      <c r="AF91" s="357"/>
      <c r="AG91" s="360"/>
      <c r="AH91" s="357"/>
      <c r="AI91" s="357"/>
      <c r="AJ91" s="357"/>
      <c r="AK91" s="360"/>
      <c r="AL91" s="357"/>
      <c r="AM91" s="357"/>
      <c r="AN91" s="357"/>
      <c r="AO91" s="357"/>
      <c r="AP91" s="357"/>
      <c r="AQ91" s="357"/>
      <c r="AR91" s="357"/>
      <c r="AS91" s="357"/>
      <c r="AT91" s="357"/>
      <c r="AU91" s="357"/>
      <c r="AV91" s="357"/>
      <c r="AW91" s="357"/>
      <c r="AX91" s="357"/>
      <c r="AY91" s="357"/>
      <c r="AZ91" s="357"/>
      <c r="BA91" s="357"/>
      <c r="BB91" s="357"/>
      <c r="BC91" s="357"/>
      <c r="BD91" s="357"/>
      <c r="BE91" s="360"/>
      <c r="BF91" s="357"/>
      <c r="BG91" s="360"/>
      <c r="BH91" s="360"/>
      <c r="BI91" s="360"/>
      <c r="BJ91" s="360"/>
      <c r="BK91" s="360"/>
      <c r="BL91" s="217"/>
    </row>
    <row r="92" spans="1:64" s="200" customFormat="1" hidden="1">
      <c r="A92" s="212" t="s">
        <v>1504</v>
      </c>
      <c r="C92" s="403"/>
      <c r="D92" s="403"/>
      <c r="E92" s="358"/>
      <c r="F92" s="217"/>
      <c r="G92" s="358"/>
      <c r="H92" s="217"/>
      <c r="I92" s="358"/>
      <c r="J92" s="217"/>
      <c r="K92" s="358"/>
      <c r="L92" s="358"/>
      <c r="M92" s="358"/>
      <c r="N92" s="358"/>
      <c r="O92" s="358"/>
      <c r="P92" s="358"/>
      <c r="Q92" s="358"/>
      <c r="R92" s="358"/>
      <c r="S92" s="358"/>
      <c r="T92" s="358"/>
      <c r="U92" s="358"/>
      <c r="V92" s="358"/>
      <c r="W92" s="358"/>
      <c r="X92" s="358"/>
      <c r="Y92" s="358"/>
      <c r="Z92" s="358"/>
      <c r="AA92" s="358"/>
      <c r="AB92" s="358"/>
      <c r="AC92" s="358"/>
      <c r="AD92" s="358"/>
      <c r="AE92" s="358"/>
      <c r="AF92" s="358"/>
      <c r="AG92" s="362"/>
      <c r="AH92" s="358"/>
      <c r="AI92" s="358"/>
      <c r="AJ92" s="358"/>
      <c r="AK92" s="362"/>
      <c r="AL92" s="358"/>
      <c r="AM92" s="358"/>
      <c r="AN92" s="358"/>
      <c r="AO92" s="358"/>
      <c r="AP92" s="358"/>
      <c r="AQ92" s="358"/>
      <c r="AR92" s="358"/>
      <c r="AS92" s="358"/>
      <c r="AT92" s="358"/>
      <c r="AU92" s="358"/>
      <c r="AV92" s="358"/>
      <c r="AW92" s="358"/>
      <c r="AX92" s="358"/>
      <c r="AY92" s="358"/>
      <c r="AZ92" s="358"/>
      <c r="BA92" s="358"/>
      <c r="BB92" s="358"/>
      <c r="BC92" s="358"/>
      <c r="BD92" s="358"/>
      <c r="BE92" s="362"/>
      <c r="BF92" s="358"/>
      <c r="BG92" s="362"/>
      <c r="BH92" s="362"/>
      <c r="BI92" s="362"/>
      <c r="BJ92" s="362"/>
      <c r="BK92" s="362"/>
      <c r="BL92" s="217"/>
    </row>
    <row r="93" spans="1:64" s="200" customFormat="1" hidden="1">
      <c r="A93" s="216"/>
      <c r="B93" s="197" t="s">
        <v>1483</v>
      </c>
      <c r="C93" s="403"/>
      <c r="D93" s="403"/>
      <c r="E93" s="359">
        <v>1061109</v>
      </c>
      <c r="F93" s="359">
        <v>1061109</v>
      </c>
      <c r="G93" s="359">
        <v>1061109</v>
      </c>
      <c r="H93" s="217"/>
      <c r="I93" s="359">
        <f>G93-E93</f>
        <v>0</v>
      </c>
      <c r="J93" s="217"/>
      <c r="K93" s="359">
        <v>0</v>
      </c>
      <c r="L93" s="359">
        <v>0</v>
      </c>
      <c r="M93" s="359">
        <v>0</v>
      </c>
      <c r="N93" s="359">
        <v>0</v>
      </c>
      <c r="O93" s="359">
        <v>0</v>
      </c>
      <c r="P93" s="359">
        <v>0</v>
      </c>
      <c r="Q93" s="359">
        <v>0</v>
      </c>
      <c r="R93" s="359">
        <v>0</v>
      </c>
      <c r="S93" s="359">
        <v>0</v>
      </c>
      <c r="T93" s="359">
        <v>0</v>
      </c>
      <c r="U93" s="359">
        <v>0</v>
      </c>
      <c r="V93" s="359">
        <v>0</v>
      </c>
      <c r="W93" s="359">
        <v>0</v>
      </c>
      <c r="X93" s="359">
        <v>0</v>
      </c>
      <c r="Y93" s="359">
        <v>0</v>
      </c>
      <c r="Z93" s="359">
        <v>0</v>
      </c>
      <c r="AA93" s="359">
        <v>0</v>
      </c>
      <c r="AB93" s="359">
        <v>0</v>
      </c>
      <c r="AC93" s="359">
        <v>0</v>
      </c>
      <c r="AD93" s="359"/>
      <c r="AE93" s="359">
        <v>0</v>
      </c>
      <c r="AF93" s="359"/>
      <c r="AG93" s="359">
        <v>0</v>
      </c>
      <c r="AH93" s="359"/>
      <c r="AI93" s="359">
        <v>52531</v>
      </c>
      <c r="AJ93" s="359"/>
      <c r="AK93" s="359">
        <f>SUM(K93:AI93)</f>
        <v>52531</v>
      </c>
      <c r="AL93" s="359"/>
      <c r="AM93" s="359"/>
      <c r="AN93" s="359"/>
      <c r="AO93" s="359">
        <f>421769-AK93</f>
        <v>369238</v>
      </c>
      <c r="AP93" s="359"/>
      <c r="AQ93" s="359">
        <v>0</v>
      </c>
      <c r="AR93" s="359"/>
      <c r="AS93" s="359">
        <v>0</v>
      </c>
      <c r="AT93" s="359"/>
      <c r="AU93" s="359">
        <v>0</v>
      </c>
      <c r="AV93" s="359"/>
      <c r="AW93" s="359">
        <v>0</v>
      </c>
      <c r="AX93" s="359"/>
      <c r="AY93" s="359">
        <v>0</v>
      </c>
      <c r="AZ93" s="359"/>
      <c r="BA93" s="359">
        <v>0</v>
      </c>
      <c r="BB93" s="359"/>
      <c r="BC93" s="359">
        <v>0</v>
      </c>
      <c r="BD93" s="359">
        <v>11</v>
      </c>
      <c r="BE93" s="359">
        <f>SUM(AK93:BA93)</f>
        <v>421769</v>
      </c>
      <c r="BF93" s="359"/>
      <c r="BG93" s="200">
        <f>+MAX(0,G93-BE93+AM93)</f>
        <v>639340</v>
      </c>
      <c r="BH93" s="359"/>
      <c r="BI93" s="200">
        <f>SUM(BE93:BG93)</f>
        <v>1061109</v>
      </c>
      <c r="BJ93" s="359"/>
      <c r="BK93" s="405">
        <f>G93-BI93</f>
        <v>0</v>
      </c>
      <c r="BL93" s="217"/>
    </row>
    <row r="94" spans="1:64" s="200" customFormat="1" hidden="1">
      <c r="A94" s="216"/>
      <c r="B94" s="212" t="s">
        <v>1508</v>
      </c>
      <c r="C94" s="403"/>
      <c r="D94" s="403"/>
      <c r="E94" s="409">
        <f>SUM(E93)</f>
        <v>1061109</v>
      </c>
      <c r="F94" s="217"/>
      <c r="G94" s="409">
        <f>SUBTOTAL(9,G93:G93)</f>
        <v>1061109</v>
      </c>
      <c r="H94" s="217"/>
      <c r="I94" s="409">
        <f t="shared" ref="I94:AE94" si="30">SUM(I93)</f>
        <v>0</v>
      </c>
      <c r="J94" s="360">
        <f t="shared" si="30"/>
        <v>0</v>
      </c>
      <c r="K94" s="409">
        <f t="shared" si="30"/>
        <v>0</v>
      </c>
      <c r="L94" s="360">
        <f t="shared" si="30"/>
        <v>0</v>
      </c>
      <c r="M94" s="409">
        <f t="shared" si="30"/>
        <v>0</v>
      </c>
      <c r="N94" s="360">
        <f t="shared" si="30"/>
        <v>0</v>
      </c>
      <c r="O94" s="409">
        <f t="shared" si="30"/>
        <v>0</v>
      </c>
      <c r="P94" s="360">
        <f t="shared" si="30"/>
        <v>0</v>
      </c>
      <c r="Q94" s="409">
        <f t="shared" si="30"/>
        <v>0</v>
      </c>
      <c r="R94" s="360">
        <f t="shared" si="30"/>
        <v>0</v>
      </c>
      <c r="S94" s="409">
        <f t="shared" si="30"/>
        <v>0</v>
      </c>
      <c r="T94" s="360">
        <f t="shared" si="30"/>
        <v>0</v>
      </c>
      <c r="U94" s="409">
        <f t="shared" si="30"/>
        <v>0</v>
      </c>
      <c r="V94" s="360">
        <f t="shared" si="30"/>
        <v>0</v>
      </c>
      <c r="W94" s="409">
        <f t="shared" si="30"/>
        <v>0</v>
      </c>
      <c r="X94" s="360">
        <f t="shared" si="30"/>
        <v>0</v>
      </c>
      <c r="Y94" s="409">
        <f t="shared" si="30"/>
        <v>0</v>
      </c>
      <c r="Z94" s="360">
        <f t="shared" si="30"/>
        <v>0</v>
      </c>
      <c r="AA94" s="409">
        <f t="shared" si="30"/>
        <v>0</v>
      </c>
      <c r="AB94" s="360">
        <f t="shared" si="30"/>
        <v>0</v>
      </c>
      <c r="AC94" s="409">
        <f t="shared" si="30"/>
        <v>0</v>
      </c>
      <c r="AD94" s="360">
        <f t="shared" si="30"/>
        <v>0</v>
      </c>
      <c r="AE94" s="409">
        <f t="shared" si="30"/>
        <v>0</v>
      </c>
      <c r="AF94" s="360"/>
      <c r="AG94" s="409">
        <f>SUM(AG93)</f>
        <v>0</v>
      </c>
      <c r="AH94" s="360">
        <f>SUM(AH93)</f>
        <v>0</v>
      </c>
      <c r="AI94" s="409">
        <f>SUM(AI93)</f>
        <v>52531</v>
      </c>
      <c r="AJ94" s="360"/>
      <c r="AK94" s="409">
        <f>SUM(AK91:AK93)</f>
        <v>52531</v>
      </c>
      <c r="AL94" s="360">
        <f>SUM(AL93)</f>
        <v>0</v>
      </c>
      <c r="AM94" s="360">
        <f>SUM(AM93)</f>
        <v>0</v>
      </c>
      <c r="AN94" s="360">
        <f>SUM(AN93)</f>
        <v>0</v>
      </c>
      <c r="AO94" s="409">
        <f>SUM(AO93)</f>
        <v>369238</v>
      </c>
      <c r="AP94" s="360"/>
      <c r="AQ94" s="409">
        <f>SUM(AQ93)</f>
        <v>0</v>
      </c>
      <c r="AR94" s="360"/>
      <c r="AS94" s="360">
        <f>SUM(AS93)</f>
        <v>0</v>
      </c>
      <c r="AT94" s="360"/>
      <c r="AU94" s="360">
        <f>SUM(AU93)</f>
        <v>0</v>
      </c>
      <c r="AV94" s="360"/>
      <c r="AW94" s="360">
        <f>SUM(AW93)</f>
        <v>0</v>
      </c>
      <c r="AX94" s="360"/>
      <c r="AY94" s="360">
        <f>SUM(AY93)</f>
        <v>0</v>
      </c>
      <c r="AZ94" s="360"/>
      <c r="BA94" s="360">
        <f>SUM(BA93)</f>
        <v>0</v>
      </c>
      <c r="BB94" s="360"/>
      <c r="BC94" s="360">
        <f>SUM(BC93)</f>
        <v>0</v>
      </c>
      <c r="BD94" s="360">
        <f>SUM(BD93)</f>
        <v>11</v>
      </c>
      <c r="BE94" s="409">
        <f>SUM(BE93)</f>
        <v>421769</v>
      </c>
      <c r="BF94" s="360"/>
      <c r="BG94" s="409">
        <f t="shared" ref="BG94:BL94" si="31">SUM(BG93)</f>
        <v>639340</v>
      </c>
      <c r="BH94" s="360">
        <f t="shared" si="31"/>
        <v>0</v>
      </c>
      <c r="BI94" s="409">
        <f t="shared" si="31"/>
        <v>1061109</v>
      </c>
      <c r="BJ94" s="360">
        <f t="shared" si="31"/>
        <v>0</v>
      </c>
      <c r="BK94" s="409">
        <f t="shared" si="31"/>
        <v>0</v>
      </c>
      <c r="BL94" s="360">
        <f t="shared" si="31"/>
        <v>0</v>
      </c>
    </row>
    <row r="95" spans="1:64" s="200" customFormat="1" hidden="1">
      <c r="A95" s="216"/>
      <c r="B95" s="197"/>
      <c r="C95" s="403"/>
      <c r="D95" s="403"/>
      <c r="E95" s="360"/>
      <c r="F95" s="217"/>
      <c r="G95" s="360"/>
      <c r="H95" s="217"/>
      <c r="I95" s="360"/>
      <c r="J95" s="217"/>
      <c r="K95" s="360"/>
      <c r="L95" s="360"/>
      <c r="M95" s="360"/>
      <c r="N95" s="360"/>
      <c r="O95" s="360"/>
      <c r="P95" s="360"/>
      <c r="Q95" s="360"/>
      <c r="R95" s="360"/>
      <c r="S95" s="360"/>
      <c r="T95" s="360"/>
      <c r="U95" s="360"/>
      <c r="V95" s="360"/>
      <c r="W95" s="360"/>
      <c r="X95" s="360"/>
      <c r="Y95" s="360"/>
      <c r="Z95" s="360"/>
      <c r="AA95" s="360"/>
      <c r="AB95" s="360"/>
      <c r="AC95" s="360"/>
      <c r="AD95" s="360"/>
      <c r="AE95" s="360"/>
      <c r="AF95" s="360"/>
      <c r="AG95" s="360"/>
      <c r="AH95" s="360"/>
      <c r="AI95" s="360"/>
      <c r="AJ95" s="360"/>
      <c r="AK95" s="360"/>
      <c r="AL95" s="360"/>
      <c r="AM95" s="360"/>
      <c r="AN95" s="360"/>
      <c r="AO95" s="360"/>
      <c r="AP95" s="360"/>
      <c r="AQ95" s="360"/>
      <c r="AR95" s="360"/>
      <c r="AS95" s="360"/>
      <c r="AT95" s="360"/>
      <c r="AU95" s="360"/>
      <c r="AV95" s="360"/>
      <c r="AW95" s="360"/>
      <c r="AX95" s="360"/>
      <c r="AY95" s="360"/>
      <c r="AZ95" s="360"/>
      <c r="BA95" s="360"/>
      <c r="BB95" s="360"/>
      <c r="BC95" s="360"/>
      <c r="BD95" s="360"/>
      <c r="BE95" s="360"/>
      <c r="BF95" s="360"/>
      <c r="BG95" s="360"/>
      <c r="BH95" s="360"/>
      <c r="BI95" s="360"/>
      <c r="BJ95" s="360"/>
      <c r="BK95" s="360"/>
      <c r="BL95" s="217"/>
    </row>
    <row r="96" spans="1:64" s="200" customFormat="1" hidden="1">
      <c r="A96" s="212" t="s">
        <v>1505</v>
      </c>
      <c r="C96" s="403"/>
      <c r="D96" s="403"/>
      <c r="E96" s="361"/>
      <c r="F96" s="217"/>
      <c r="G96" s="361"/>
      <c r="H96" s="217"/>
      <c r="I96" s="361"/>
      <c r="J96" s="217"/>
      <c r="K96" s="361"/>
      <c r="L96" s="361"/>
      <c r="M96" s="361"/>
      <c r="N96" s="361"/>
      <c r="O96" s="361"/>
      <c r="P96" s="361"/>
      <c r="Q96" s="361"/>
      <c r="R96" s="361"/>
      <c r="S96" s="361"/>
      <c r="T96" s="361"/>
      <c r="U96" s="361"/>
      <c r="V96" s="361"/>
      <c r="W96" s="361"/>
      <c r="X96" s="361"/>
      <c r="Y96" s="361"/>
      <c r="Z96" s="361"/>
      <c r="AA96" s="361"/>
      <c r="AB96" s="361"/>
      <c r="AC96" s="361"/>
      <c r="AD96" s="361"/>
      <c r="AE96" s="361"/>
      <c r="AF96" s="361"/>
      <c r="AG96" s="361"/>
      <c r="AH96" s="361"/>
      <c r="AI96" s="361"/>
      <c r="AJ96" s="361"/>
      <c r="AK96" s="361"/>
      <c r="AL96" s="361"/>
      <c r="AM96" s="361"/>
      <c r="AN96" s="361"/>
      <c r="AO96" s="361"/>
      <c r="AP96" s="361"/>
      <c r="AQ96" s="361"/>
      <c r="AR96" s="361"/>
      <c r="AS96" s="361"/>
      <c r="AT96" s="361"/>
      <c r="AU96" s="361"/>
      <c r="AV96" s="361"/>
      <c r="AW96" s="361"/>
      <c r="AX96" s="361"/>
      <c r="AY96" s="361"/>
      <c r="AZ96" s="361"/>
      <c r="BA96" s="361"/>
      <c r="BB96" s="361"/>
      <c r="BC96" s="361"/>
      <c r="BD96" s="361"/>
      <c r="BE96" s="361"/>
      <c r="BF96" s="361"/>
      <c r="BG96" s="361"/>
      <c r="BH96" s="361"/>
      <c r="BI96" s="361"/>
      <c r="BJ96" s="361"/>
      <c r="BK96" s="361"/>
      <c r="BL96" s="217"/>
    </row>
    <row r="97" spans="1:64" s="200" customFormat="1" hidden="1">
      <c r="A97" s="216"/>
      <c r="B97" s="197" t="s">
        <v>1484</v>
      </c>
      <c r="C97" s="403"/>
      <c r="D97" s="403"/>
      <c r="E97" s="359">
        <v>198001</v>
      </c>
      <c r="F97" s="359">
        <v>198001</v>
      </c>
      <c r="G97" s="359">
        <v>198001</v>
      </c>
      <c r="H97" s="217"/>
      <c r="I97" s="359">
        <f>G97-E97</f>
        <v>0</v>
      </c>
      <c r="J97" s="217"/>
      <c r="K97" s="359">
        <v>0</v>
      </c>
      <c r="L97" s="359">
        <v>0</v>
      </c>
      <c r="M97" s="359">
        <v>0</v>
      </c>
      <c r="N97" s="359">
        <v>0</v>
      </c>
      <c r="O97" s="359">
        <v>0</v>
      </c>
      <c r="P97" s="359">
        <v>0</v>
      </c>
      <c r="Q97" s="359">
        <v>0</v>
      </c>
      <c r="R97" s="359">
        <v>0</v>
      </c>
      <c r="S97" s="359">
        <v>0</v>
      </c>
      <c r="T97" s="359">
        <v>0</v>
      </c>
      <c r="U97" s="359">
        <v>0</v>
      </c>
      <c r="V97" s="359">
        <v>0</v>
      </c>
      <c r="W97" s="359">
        <v>0</v>
      </c>
      <c r="X97" s="359">
        <v>0</v>
      </c>
      <c r="Y97" s="359">
        <v>0</v>
      </c>
      <c r="Z97" s="359">
        <v>0</v>
      </c>
      <c r="AA97" s="359">
        <v>0</v>
      </c>
      <c r="AB97" s="359"/>
      <c r="AC97" s="359">
        <v>0</v>
      </c>
      <c r="AD97" s="359"/>
      <c r="AE97" s="359">
        <v>0</v>
      </c>
      <c r="AF97" s="359"/>
      <c r="AG97" s="359">
        <v>0</v>
      </c>
      <c r="AH97" s="359"/>
      <c r="AI97" s="359">
        <v>12469</v>
      </c>
      <c r="AJ97" s="359"/>
      <c r="AK97" s="359">
        <f>SUM(K97:AI97)</f>
        <v>12469</v>
      </c>
      <c r="AL97" s="359"/>
      <c r="AM97" s="359"/>
      <c r="AN97" s="359"/>
      <c r="AO97" s="359">
        <f>144543-AK97</f>
        <v>132074</v>
      </c>
      <c r="AP97" s="359"/>
      <c r="AQ97" s="359">
        <v>0</v>
      </c>
      <c r="AR97" s="359"/>
      <c r="AS97" s="359">
        <v>0</v>
      </c>
      <c r="AT97" s="359"/>
      <c r="AU97" s="359">
        <v>0</v>
      </c>
      <c r="AV97" s="359"/>
      <c r="AW97" s="359">
        <v>0</v>
      </c>
      <c r="AX97" s="359"/>
      <c r="AY97" s="359">
        <v>0</v>
      </c>
      <c r="AZ97" s="359"/>
      <c r="BA97" s="359">
        <v>0</v>
      </c>
      <c r="BB97" s="359"/>
      <c r="BC97" s="359">
        <v>0</v>
      </c>
      <c r="BD97" s="359">
        <v>0</v>
      </c>
      <c r="BE97" s="359">
        <f>SUM(AK97:BD97)</f>
        <v>144543</v>
      </c>
      <c r="BF97" s="359"/>
      <c r="BG97" s="200">
        <f>+MAX(0,G97-BE97+AM97)</f>
        <v>53458</v>
      </c>
      <c r="BH97" s="359"/>
      <c r="BI97" s="200">
        <f>SUM(BE97:BG97)</f>
        <v>198001</v>
      </c>
      <c r="BJ97" s="359"/>
      <c r="BK97" s="405">
        <f>G97-BI97</f>
        <v>0</v>
      </c>
      <c r="BL97" s="217"/>
    </row>
    <row r="98" spans="1:64" s="200" customFormat="1" hidden="1">
      <c r="A98" s="216"/>
      <c r="B98" s="197" t="s">
        <v>1485</v>
      </c>
      <c r="C98" s="403"/>
      <c r="D98" s="403"/>
      <c r="E98" s="359">
        <v>385611</v>
      </c>
      <c r="F98" s="359">
        <v>385611</v>
      </c>
      <c r="G98" s="359">
        <v>385611</v>
      </c>
      <c r="H98" s="217"/>
      <c r="I98" s="359">
        <f>G98-E98</f>
        <v>0</v>
      </c>
      <c r="J98" s="217"/>
      <c r="K98" s="359">
        <v>0</v>
      </c>
      <c r="L98" s="359">
        <v>0</v>
      </c>
      <c r="M98" s="359">
        <v>0</v>
      </c>
      <c r="N98" s="359">
        <v>0</v>
      </c>
      <c r="O98" s="359">
        <v>0</v>
      </c>
      <c r="P98" s="359">
        <v>0</v>
      </c>
      <c r="Q98" s="359">
        <v>0</v>
      </c>
      <c r="R98" s="359">
        <v>0</v>
      </c>
      <c r="S98" s="359">
        <v>0</v>
      </c>
      <c r="T98" s="359">
        <v>0</v>
      </c>
      <c r="U98" s="359">
        <v>0</v>
      </c>
      <c r="V98" s="359">
        <v>0</v>
      </c>
      <c r="W98" s="359">
        <v>0</v>
      </c>
      <c r="X98" s="359">
        <v>0</v>
      </c>
      <c r="Y98" s="359">
        <v>0</v>
      </c>
      <c r="Z98" s="359">
        <v>0</v>
      </c>
      <c r="AA98" s="359">
        <v>0</v>
      </c>
      <c r="AB98" s="359"/>
      <c r="AC98" s="359">
        <v>0</v>
      </c>
      <c r="AD98" s="359"/>
      <c r="AE98" s="359">
        <v>0</v>
      </c>
      <c r="AF98" s="359"/>
      <c r="AG98" s="359">
        <v>0</v>
      </c>
      <c r="AH98" s="359"/>
      <c r="AI98" s="359">
        <v>0</v>
      </c>
      <c r="AJ98" s="359"/>
      <c r="AK98" s="359">
        <f>SUM(K98:AI98)</f>
        <v>0</v>
      </c>
      <c r="AL98" s="359"/>
      <c r="AM98" s="359"/>
      <c r="AN98" s="359"/>
      <c r="AO98" s="359">
        <f>72441</f>
        <v>72441</v>
      </c>
      <c r="AP98" s="359"/>
      <c r="AQ98" s="359">
        <v>0</v>
      </c>
      <c r="AR98" s="359"/>
      <c r="AS98" s="359">
        <v>0</v>
      </c>
      <c r="AT98" s="359"/>
      <c r="AU98" s="359">
        <v>0</v>
      </c>
      <c r="AV98" s="359"/>
      <c r="AW98" s="359">
        <v>0</v>
      </c>
      <c r="AX98" s="359"/>
      <c r="AY98" s="359">
        <v>0</v>
      </c>
      <c r="AZ98" s="359"/>
      <c r="BA98" s="359">
        <v>0</v>
      </c>
      <c r="BB98" s="359"/>
      <c r="BC98" s="359">
        <v>0</v>
      </c>
      <c r="BD98" s="359">
        <v>0</v>
      </c>
      <c r="BE98" s="359">
        <f>SUM(AK98:BD98)</f>
        <v>72441</v>
      </c>
      <c r="BF98" s="359"/>
      <c r="BG98" s="200">
        <f>+MAX(0,G98-BE98+AM98)</f>
        <v>313170</v>
      </c>
      <c r="BH98" s="359"/>
      <c r="BI98" s="200">
        <f>SUM(BE98:BG98)</f>
        <v>385611</v>
      </c>
      <c r="BJ98" s="359"/>
      <c r="BK98" s="405">
        <f>G98-BI98</f>
        <v>0</v>
      </c>
      <c r="BL98" s="217"/>
    </row>
    <row r="99" spans="1:64" s="200" customFormat="1" hidden="1">
      <c r="A99" s="216"/>
      <c r="B99" s="197" t="s">
        <v>1486</v>
      </c>
      <c r="C99" s="403"/>
      <c r="D99" s="403"/>
      <c r="E99" s="359">
        <v>10000</v>
      </c>
      <c r="F99" s="359">
        <v>10000</v>
      </c>
      <c r="G99" s="359">
        <v>10000</v>
      </c>
      <c r="H99" s="217"/>
      <c r="I99" s="359">
        <f>G99-E99</f>
        <v>0</v>
      </c>
      <c r="J99" s="217"/>
      <c r="K99" s="359">
        <v>0</v>
      </c>
      <c r="L99" s="359">
        <v>0</v>
      </c>
      <c r="M99" s="359">
        <v>0</v>
      </c>
      <c r="N99" s="359">
        <v>0</v>
      </c>
      <c r="O99" s="359">
        <v>0</v>
      </c>
      <c r="P99" s="359">
        <v>0</v>
      </c>
      <c r="Q99" s="359">
        <v>0</v>
      </c>
      <c r="R99" s="359">
        <v>0</v>
      </c>
      <c r="S99" s="359">
        <v>0</v>
      </c>
      <c r="T99" s="359">
        <v>0</v>
      </c>
      <c r="U99" s="359">
        <v>0</v>
      </c>
      <c r="V99" s="359">
        <v>0</v>
      </c>
      <c r="W99" s="359">
        <v>0</v>
      </c>
      <c r="X99" s="359">
        <v>0</v>
      </c>
      <c r="Y99" s="359">
        <v>0</v>
      </c>
      <c r="Z99" s="359">
        <v>0</v>
      </c>
      <c r="AA99" s="359">
        <v>0</v>
      </c>
      <c r="AB99" s="359"/>
      <c r="AC99" s="359">
        <v>0</v>
      </c>
      <c r="AD99" s="359"/>
      <c r="AE99" s="359">
        <v>0</v>
      </c>
      <c r="AF99" s="359"/>
      <c r="AG99" s="359">
        <v>0</v>
      </c>
      <c r="AH99" s="359"/>
      <c r="AI99" s="359">
        <v>0</v>
      </c>
      <c r="AJ99" s="359"/>
      <c r="AK99" s="359">
        <f>SUM(K99:AI99)</f>
        <v>0</v>
      </c>
      <c r="AL99" s="359"/>
      <c r="AM99" s="359"/>
      <c r="AN99" s="359"/>
      <c r="AO99" s="359">
        <v>0</v>
      </c>
      <c r="AP99" s="359"/>
      <c r="AQ99" s="359">
        <v>0</v>
      </c>
      <c r="AR99" s="359"/>
      <c r="AS99" s="359">
        <v>0</v>
      </c>
      <c r="AT99" s="359"/>
      <c r="AU99" s="359">
        <v>0</v>
      </c>
      <c r="AV99" s="359"/>
      <c r="AW99" s="359">
        <v>0</v>
      </c>
      <c r="AX99" s="359"/>
      <c r="AY99" s="359">
        <v>0</v>
      </c>
      <c r="AZ99" s="359"/>
      <c r="BA99" s="359">
        <v>0</v>
      </c>
      <c r="BB99" s="359"/>
      <c r="BC99" s="359">
        <v>0</v>
      </c>
      <c r="BD99" s="359">
        <v>0</v>
      </c>
      <c r="BE99" s="359">
        <f>SUM(AK99:BD99)</f>
        <v>0</v>
      </c>
      <c r="BF99" s="359"/>
      <c r="BG99" s="200">
        <f>+MAX(0,G99-BE99+AM99)</f>
        <v>10000</v>
      </c>
      <c r="BH99" s="359"/>
      <c r="BI99" s="200">
        <f>SUM(BE99:BG99)</f>
        <v>10000</v>
      </c>
      <c r="BJ99" s="359"/>
      <c r="BK99" s="405">
        <f>G99-BI99</f>
        <v>0</v>
      </c>
      <c r="BL99" s="217"/>
    </row>
    <row r="100" spans="1:64" s="200" customFormat="1" hidden="1">
      <c r="A100" s="216"/>
      <c r="B100" s="212" t="s">
        <v>1509</v>
      </c>
      <c r="C100" s="403"/>
      <c r="D100" s="403"/>
      <c r="E100" s="409">
        <f>SUM(E97:E99)</f>
        <v>593612</v>
      </c>
      <c r="F100" s="217"/>
      <c r="G100" s="409">
        <f>SUBTOTAL(9,G97:G99)</f>
        <v>593612</v>
      </c>
      <c r="H100" s="217"/>
      <c r="I100" s="409">
        <f t="shared" ref="I100:AE100" si="32">SUM(I97:I99)</f>
        <v>0</v>
      </c>
      <c r="J100" s="360">
        <f t="shared" si="32"/>
        <v>0</v>
      </c>
      <c r="K100" s="409">
        <f t="shared" si="32"/>
        <v>0</v>
      </c>
      <c r="L100" s="360">
        <f t="shared" si="32"/>
        <v>0</v>
      </c>
      <c r="M100" s="409">
        <f t="shared" si="32"/>
        <v>0</v>
      </c>
      <c r="N100" s="360">
        <f t="shared" si="32"/>
        <v>0</v>
      </c>
      <c r="O100" s="409">
        <f t="shared" si="32"/>
        <v>0</v>
      </c>
      <c r="P100" s="360">
        <f t="shared" si="32"/>
        <v>0</v>
      </c>
      <c r="Q100" s="409">
        <f t="shared" si="32"/>
        <v>0</v>
      </c>
      <c r="R100" s="360">
        <f t="shared" si="32"/>
        <v>0</v>
      </c>
      <c r="S100" s="409">
        <f t="shared" si="32"/>
        <v>0</v>
      </c>
      <c r="T100" s="360">
        <f t="shared" si="32"/>
        <v>0</v>
      </c>
      <c r="U100" s="409">
        <f t="shared" si="32"/>
        <v>0</v>
      </c>
      <c r="V100" s="360">
        <f t="shared" si="32"/>
        <v>0</v>
      </c>
      <c r="W100" s="409">
        <f t="shared" si="32"/>
        <v>0</v>
      </c>
      <c r="X100" s="360">
        <f t="shared" si="32"/>
        <v>0</v>
      </c>
      <c r="Y100" s="409">
        <f t="shared" si="32"/>
        <v>0</v>
      </c>
      <c r="Z100" s="360">
        <f t="shared" si="32"/>
        <v>0</v>
      </c>
      <c r="AA100" s="409">
        <f t="shared" si="32"/>
        <v>0</v>
      </c>
      <c r="AB100" s="360">
        <f t="shared" si="32"/>
        <v>0</v>
      </c>
      <c r="AC100" s="409">
        <f t="shared" si="32"/>
        <v>0</v>
      </c>
      <c r="AD100" s="360">
        <f t="shared" si="32"/>
        <v>0</v>
      </c>
      <c r="AE100" s="409">
        <f t="shared" si="32"/>
        <v>0</v>
      </c>
      <c r="AF100" s="360"/>
      <c r="AG100" s="409">
        <f>SUM(AG97:AG99)</f>
        <v>0</v>
      </c>
      <c r="AH100" s="360">
        <f>SUM(AH97:AH99)</f>
        <v>0</v>
      </c>
      <c r="AI100" s="409">
        <f>SUM(AI97:AI99)</f>
        <v>12469</v>
      </c>
      <c r="AJ100" s="360"/>
      <c r="AK100" s="409">
        <f>SUM(AK97:AK99)</f>
        <v>12469</v>
      </c>
      <c r="AL100" s="360">
        <f>SUM(AL97:AL99)</f>
        <v>0</v>
      </c>
      <c r="AM100" s="360">
        <f>SUM(AM97:AM99)</f>
        <v>0</v>
      </c>
      <c r="AN100" s="360">
        <f>SUM(AN97:AN99)</f>
        <v>0</v>
      </c>
      <c r="AO100" s="409">
        <f>SUM(AO97:AO99)</f>
        <v>204515</v>
      </c>
      <c r="AP100" s="360"/>
      <c r="AQ100" s="409">
        <f>SUM(AQ97:AQ99)</f>
        <v>0</v>
      </c>
      <c r="AR100" s="360"/>
      <c r="AS100" s="360">
        <f>SUM(AS97:AS99)</f>
        <v>0</v>
      </c>
      <c r="AT100" s="360"/>
      <c r="AU100" s="360">
        <f>SUM(AU97:AU99)</f>
        <v>0</v>
      </c>
      <c r="AV100" s="360"/>
      <c r="AW100" s="360">
        <f>SUM(AW97:AW99)</f>
        <v>0</v>
      </c>
      <c r="AX100" s="360"/>
      <c r="AY100" s="360">
        <f>SUM(AY97:AY99)</f>
        <v>0</v>
      </c>
      <c r="AZ100" s="360"/>
      <c r="BA100" s="360">
        <f>SUM(BA97:BA99)</f>
        <v>0</v>
      </c>
      <c r="BB100" s="360"/>
      <c r="BC100" s="360">
        <f>SUM(BC97:BC99)</f>
        <v>0</v>
      </c>
      <c r="BD100" s="360">
        <f>SUM(BD97:BD99)</f>
        <v>0</v>
      </c>
      <c r="BE100" s="409">
        <f>SUM(BE97:BE99)</f>
        <v>216984</v>
      </c>
      <c r="BF100" s="360"/>
      <c r="BG100" s="409">
        <f t="shared" ref="BG100:BL100" si="33">SUM(BG97:BG99)</f>
        <v>376628</v>
      </c>
      <c r="BH100" s="360">
        <f t="shared" si="33"/>
        <v>0</v>
      </c>
      <c r="BI100" s="409">
        <f t="shared" si="33"/>
        <v>593612</v>
      </c>
      <c r="BJ100" s="360">
        <f t="shared" si="33"/>
        <v>0</v>
      </c>
      <c r="BK100" s="409">
        <f t="shared" si="33"/>
        <v>0</v>
      </c>
      <c r="BL100" s="360">
        <f t="shared" si="33"/>
        <v>0</v>
      </c>
    </row>
    <row r="101" spans="1:64" s="200" customFormat="1" hidden="1">
      <c r="A101" s="216"/>
      <c r="B101" s="197"/>
      <c r="C101" s="403"/>
      <c r="D101" s="403"/>
      <c r="E101" s="359"/>
      <c r="F101" s="217"/>
      <c r="G101" s="359"/>
      <c r="H101" s="217"/>
      <c r="I101" s="359"/>
      <c r="J101" s="217"/>
      <c r="K101" s="359"/>
      <c r="L101" s="359"/>
      <c r="M101" s="359"/>
      <c r="N101" s="359"/>
      <c r="O101" s="359"/>
      <c r="P101" s="359"/>
      <c r="Q101" s="359"/>
      <c r="R101" s="359"/>
      <c r="S101" s="359"/>
      <c r="T101" s="359"/>
      <c r="U101" s="359"/>
      <c r="V101" s="359"/>
      <c r="W101" s="359"/>
      <c r="X101" s="359"/>
      <c r="Y101" s="359"/>
      <c r="Z101" s="359"/>
      <c r="AA101" s="359"/>
      <c r="AB101" s="359"/>
      <c r="AC101" s="359"/>
      <c r="AD101" s="359"/>
      <c r="AE101" s="359"/>
      <c r="AF101" s="359"/>
      <c r="AG101" s="359"/>
      <c r="AH101" s="359"/>
      <c r="AI101" s="359"/>
      <c r="AJ101" s="359"/>
      <c r="AK101" s="359"/>
      <c r="AL101" s="359"/>
      <c r="AM101" s="359"/>
      <c r="AN101" s="359"/>
      <c r="AO101" s="359"/>
      <c r="AP101" s="359"/>
      <c r="AQ101" s="359"/>
      <c r="AR101" s="359"/>
      <c r="AS101" s="359"/>
      <c r="AT101" s="359"/>
      <c r="AU101" s="359"/>
      <c r="AV101" s="359"/>
      <c r="AW101" s="359"/>
      <c r="AX101" s="359"/>
      <c r="AY101" s="359"/>
      <c r="AZ101" s="359"/>
      <c r="BA101" s="359"/>
      <c r="BB101" s="359"/>
      <c r="BC101" s="359"/>
      <c r="BD101" s="359"/>
      <c r="BE101" s="359"/>
      <c r="BF101" s="359"/>
      <c r="BG101" s="359"/>
      <c r="BH101" s="359"/>
      <c r="BI101" s="359"/>
      <c r="BJ101" s="359"/>
      <c r="BK101" s="405"/>
      <c r="BL101" s="217"/>
    </row>
    <row r="102" spans="1:64" s="200" customFormat="1" hidden="1">
      <c r="A102" s="340" t="s">
        <v>1487</v>
      </c>
      <c r="C102" s="403"/>
      <c r="D102" s="403"/>
      <c r="E102" s="361"/>
      <c r="F102" s="217"/>
      <c r="G102" s="361"/>
      <c r="H102" s="217"/>
      <c r="I102" s="361"/>
      <c r="J102" s="217"/>
      <c r="K102" s="361"/>
      <c r="L102" s="361"/>
      <c r="M102" s="361"/>
      <c r="N102" s="361"/>
      <c r="O102" s="361"/>
      <c r="P102" s="361"/>
      <c r="Q102" s="361"/>
      <c r="R102" s="361"/>
      <c r="S102" s="361"/>
      <c r="T102" s="361"/>
      <c r="U102" s="361"/>
      <c r="V102" s="361"/>
      <c r="W102" s="361"/>
      <c r="X102" s="361"/>
      <c r="Y102" s="361"/>
      <c r="Z102" s="361"/>
      <c r="AA102" s="361"/>
      <c r="AB102" s="361"/>
      <c r="AC102" s="361"/>
      <c r="AD102" s="361"/>
      <c r="AE102" s="361"/>
      <c r="AF102" s="361"/>
      <c r="AG102" s="361"/>
      <c r="AH102" s="361"/>
      <c r="AI102" s="361"/>
      <c r="AJ102" s="361"/>
      <c r="AK102" s="361"/>
      <c r="AL102" s="361"/>
      <c r="AM102" s="361"/>
      <c r="AN102" s="361"/>
      <c r="AO102" s="361"/>
      <c r="AP102" s="361"/>
      <c r="AQ102" s="361"/>
      <c r="AR102" s="361"/>
      <c r="AS102" s="361"/>
      <c r="AT102" s="361"/>
      <c r="AU102" s="361"/>
      <c r="AV102" s="361"/>
      <c r="AW102" s="361"/>
      <c r="AX102" s="361"/>
      <c r="AY102" s="361"/>
      <c r="AZ102" s="361"/>
      <c r="BA102" s="361"/>
      <c r="BB102" s="361"/>
      <c r="BC102" s="361"/>
      <c r="BD102" s="361"/>
      <c r="BE102" s="361"/>
      <c r="BF102" s="361"/>
      <c r="BG102" s="361"/>
      <c r="BH102" s="361"/>
      <c r="BI102" s="361"/>
      <c r="BJ102" s="361"/>
      <c r="BK102" s="361"/>
      <c r="BL102" s="217"/>
    </row>
    <row r="103" spans="1:64" s="200" customFormat="1" hidden="1">
      <c r="A103" s="216"/>
      <c r="B103" s="197" t="s">
        <v>1484</v>
      </c>
      <c r="C103" s="403"/>
      <c r="D103" s="403"/>
      <c r="E103" s="405">
        <v>226404</v>
      </c>
      <c r="F103" s="405">
        <v>226404</v>
      </c>
      <c r="G103" s="405">
        <v>226404</v>
      </c>
      <c r="H103" s="217"/>
      <c r="I103" s="405">
        <f>G103-E103</f>
        <v>0</v>
      </c>
      <c r="J103" s="217"/>
      <c r="K103" s="405">
        <v>0</v>
      </c>
      <c r="L103" s="405">
        <v>0</v>
      </c>
      <c r="M103" s="405">
        <v>0</v>
      </c>
      <c r="N103" s="405">
        <v>0</v>
      </c>
      <c r="O103" s="405">
        <v>0</v>
      </c>
      <c r="P103" s="405">
        <v>0</v>
      </c>
      <c r="Q103" s="405">
        <v>0</v>
      </c>
      <c r="R103" s="405">
        <v>0</v>
      </c>
      <c r="S103" s="405">
        <v>0</v>
      </c>
      <c r="T103" s="405">
        <v>0</v>
      </c>
      <c r="U103" s="405">
        <v>0</v>
      </c>
      <c r="V103" s="405">
        <v>0</v>
      </c>
      <c r="W103" s="405">
        <v>0</v>
      </c>
      <c r="X103" s="405">
        <v>0</v>
      </c>
      <c r="Y103" s="405">
        <v>0</v>
      </c>
      <c r="Z103" s="405">
        <v>0</v>
      </c>
      <c r="AA103" s="405">
        <v>0</v>
      </c>
      <c r="AB103" s="405"/>
      <c r="AC103" s="405">
        <v>0</v>
      </c>
      <c r="AD103" s="405"/>
      <c r="AE103" s="405">
        <v>0</v>
      </c>
      <c r="AF103" s="405"/>
      <c r="AG103" s="359">
        <v>0</v>
      </c>
      <c r="AH103" s="405"/>
      <c r="AI103" s="405">
        <v>6680</v>
      </c>
      <c r="AJ103" s="405"/>
      <c r="AK103" s="359">
        <f>SUM(K103:AI103)</f>
        <v>6680</v>
      </c>
      <c r="AL103" s="405"/>
      <c r="AM103" s="405"/>
      <c r="AN103" s="405"/>
      <c r="AO103" s="405">
        <f>105793-AK103</f>
        <v>99113</v>
      </c>
      <c r="AP103" s="405"/>
      <c r="AQ103" s="405">
        <v>0</v>
      </c>
      <c r="AR103" s="405"/>
      <c r="AS103" s="405">
        <v>0</v>
      </c>
      <c r="AT103" s="405"/>
      <c r="AU103" s="405">
        <v>0</v>
      </c>
      <c r="AV103" s="405"/>
      <c r="AW103" s="405">
        <v>0</v>
      </c>
      <c r="AX103" s="405"/>
      <c r="AY103" s="405">
        <v>0</v>
      </c>
      <c r="AZ103" s="405"/>
      <c r="BA103" s="405">
        <v>0</v>
      </c>
      <c r="BB103" s="405"/>
      <c r="BC103" s="405">
        <v>0</v>
      </c>
      <c r="BD103" s="405">
        <v>0</v>
      </c>
      <c r="BE103" s="359">
        <f>SUM(AK103:BD103)</f>
        <v>105793</v>
      </c>
      <c r="BF103" s="405"/>
      <c r="BG103" s="200">
        <f>+MAX(0,G103-BE103+AM103)</f>
        <v>120611</v>
      </c>
      <c r="BH103" s="359"/>
      <c r="BI103" s="200">
        <f>SUM(BE103:BG103)</f>
        <v>226404</v>
      </c>
      <c r="BJ103" s="359"/>
      <c r="BK103" s="405">
        <f>G103-BI103</f>
        <v>0</v>
      </c>
      <c r="BL103" s="217"/>
    </row>
    <row r="104" spans="1:64" s="200" customFormat="1" hidden="1">
      <c r="A104" s="216"/>
      <c r="B104" s="197" t="s">
        <v>1485</v>
      </c>
      <c r="C104" s="403"/>
      <c r="D104" s="403"/>
      <c r="E104" s="405">
        <v>221748</v>
      </c>
      <c r="F104" s="405">
        <v>221748</v>
      </c>
      <c r="G104" s="405">
        <v>221748</v>
      </c>
      <c r="H104" s="217"/>
      <c r="I104" s="405">
        <f>G104-E104</f>
        <v>0</v>
      </c>
      <c r="J104" s="217"/>
      <c r="K104" s="405">
        <v>0</v>
      </c>
      <c r="L104" s="405">
        <v>0</v>
      </c>
      <c r="M104" s="405">
        <v>0</v>
      </c>
      <c r="N104" s="405">
        <v>0</v>
      </c>
      <c r="O104" s="405">
        <v>0</v>
      </c>
      <c r="P104" s="405">
        <v>0</v>
      </c>
      <c r="Q104" s="405">
        <v>0</v>
      </c>
      <c r="R104" s="405">
        <v>0</v>
      </c>
      <c r="S104" s="405">
        <v>0</v>
      </c>
      <c r="T104" s="405">
        <v>0</v>
      </c>
      <c r="U104" s="405">
        <v>0</v>
      </c>
      <c r="V104" s="405">
        <v>0</v>
      </c>
      <c r="W104" s="405">
        <v>0</v>
      </c>
      <c r="X104" s="405">
        <v>0</v>
      </c>
      <c r="Y104" s="405">
        <v>0</v>
      </c>
      <c r="Z104" s="405">
        <v>0</v>
      </c>
      <c r="AA104" s="405">
        <v>0</v>
      </c>
      <c r="AB104" s="405"/>
      <c r="AC104" s="405">
        <v>0</v>
      </c>
      <c r="AD104" s="405"/>
      <c r="AE104" s="405">
        <v>0</v>
      </c>
      <c r="AF104" s="405"/>
      <c r="AG104" s="359">
        <v>0</v>
      </c>
      <c r="AH104" s="405"/>
      <c r="AI104" s="405">
        <v>0</v>
      </c>
      <c r="AJ104" s="405"/>
      <c r="AK104" s="359">
        <f>SUM(K104:AI104)</f>
        <v>0</v>
      </c>
      <c r="AL104" s="405"/>
      <c r="AM104" s="405"/>
      <c r="AN104" s="405"/>
      <c r="AO104" s="405">
        <v>21779</v>
      </c>
      <c r="AP104" s="405"/>
      <c r="AQ104" s="405">
        <v>0</v>
      </c>
      <c r="AR104" s="405"/>
      <c r="AS104" s="405">
        <v>0</v>
      </c>
      <c r="AT104" s="405"/>
      <c r="AU104" s="405">
        <v>0</v>
      </c>
      <c r="AV104" s="405"/>
      <c r="AW104" s="405">
        <v>0</v>
      </c>
      <c r="AX104" s="405"/>
      <c r="AY104" s="405">
        <v>0</v>
      </c>
      <c r="AZ104" s="405"/>
      <c r="BA104" s="405">
        <v>0</v>
      </c>
      <c r="BB104" s="405"/>
      <c r="BC104" s="405">
        <v>0</v>
      </c>
      <c r="BD104" s="405">
        <v>0</v>
      </c>
      <c r="BE104" s="359">
        <f>SUM(AK104:BD104)</f>
        <v>21779</v>
      </c>
      <c r="BF104" s="405"/>
      <c r="BG104" s="200">
        <f>+MAX(0,G104-BE104+AM104)</f>
        <v>199969</v>
      </c>
      <c r="BH104" s="359"/>
      <c r="BI104" s="200">
        <f>SUM(BE104:BG104)</f>
        <v>221748</v>
      </c>
      <c r="BJ104" s="359"/>
      <c r="BK104" s="405">
        <f>G104-BI104</f>
        <v>0</v>
      </c>
      <c r="BL104" s="217"/>
    </row>
    <row r="105" spans="1:64" s="200" customFormat="1" hidden="1">
      <c r="A105" s="216"/>
      <c r="B105" s="197" t="s">
        <v>1486</v>
      </c>
      <c r="C105" s="403"/>
      <c r="D105" s="403"/>
      <c r="E105" s="405">
        <v>0</v>
      </c>
      <c r="F105" s="405">
        <v>0</v>
      </c>
      <c r="G105" s="405">
        <v>0</v>
      </c>
      <c r="H105" s="217"/>
      <c r="I105" s="405">
        <f>G105-E105</f>
        <v>0</v>
      </c>
      <c r="J105" s="217"/>
      <c r="K105" s="405">
        <v>0</v>
      </c>
      <c r="L105" s="405">
        <v>0</v>
      </c>
      <c r="M105" s="405">
        <v>0</v>
      </c>
      <c r="N105" s="405">
        <v>0</v>
      </c>
      <c r="O105" s="405">
        <v>0</v>
      </c>
      <c r="P105" s="405">
        <v>0</v>
      </c>
      <c r="Q105" s="405">
        <v>0</v>
      </c>
      <c r="R105" s="405">
        <v>0</v>
      </c>
      <c r="S105" s="405">
        <v>0</v>
      </c>
      <c r="T105" s="405">
        <v>0</v>
      </c>
      <c r="U105" s="405">
        <v>0</v>
      </c>
      <c r="V105" s="405">
        <v>0</v>
      </c>
      <c r="W105" s="405">
        <v>0</v>
      </c>
      <c r="X105" s="405">
        <v>0</v>
      </c>
      <c r="Y105" s="405">
        <v>0</v>
      </c>
      <c r="Z105" s="405">
        <v>0</v>
      </c>
      <c r="AA105" s="405">
        <v>0</v>
      </c>
      <c r="AB105" s="405"/>
      <c r="AC105" s="405">
        <v>0</v>
      </c>
      <c r="AD105" s="405"/>
      <c r="AE105" s="405">
        <v>0</v>
      </c>
      <c r="AF105" s="405"/>
      <c r="AG105" s="359">
        <v>0</v>
      </c>
      <c r="AH105" s="405"/>
      <c r="AI105" s="405">
        <v>0</v>
      </c>
      <c r="AJ105" s="405"/>
      <c r="AK105" s="359">
        <f>SUM(K105:AI105)</f>
        <v>0</v>
      </c>
      <c r="AL105" s="405"/>
      <c r="AM105" s="405"/>
      <c r="AN105" s="405"/>
      <c r="AO105" s="405">
        <v>0</v>
      </c>
      <c r="AP105" s="405"/>
      <c r="AQ105" s="405">
        <v>0</v>
      </c>
      <c r="AR105" s="405"/>
      <c r="AS105" s="405">
        <v>0</v>
      </c>
      <c r="AT105" s="405"/>
      <c r="AU105" s="405">
        <v>0</v>
      </c>
      <c r="AV105" s="405"/>
      <c r="AW105" s="405">
        <v>0</v>
      </c>
      <c r="AX105" s="405"/>
      <c r="AY105" s="405">
        <v>0</v>
      </c>
      <c r="AZ105" s="405"/>
      <c r="BA105" s="405">
        <v>0</v>
      </c>
      <c r="BB105" s="405"/>
      <c r="BC105" s="405">
        <v>0</v>
      </c>
      <c r="BD105" s="405">
        <v>0</v>
      </c>
      <c r="BE105" s="359">
        <f>SUM(AK105:BD105)</f>
        <v>0</v>
      </c>
      <c r="BF105" s="405"/>
      <c r="BG105" s="200">
        <f>+MAX(0,G105-BE105+AM105)</f>
        <v>0</v>
      </c>
      <c r="BH105" s="359"/>
      <c r="BI105" s="200">
        <f>SUM(BE105:BG105)</f>
        <v>0</v>
      </c>
      <c r="BJ105" s="359"/>
      <c r="BK105" s="405">
        <f>G105-BI105</f>
        <v>0</v>
      </c>
      <c r="BL105" s="217"/>
    </row>
    <row r="106" spans="1:64" s="200" customFormat="1" hidden="1">
      <c r="A106" s="216"/>
      <c r="B106" s="212" t="s">
        <v>1510</v>
      </c>
      <c r="C106" s="403"/>
      <c r="D106" s="403"/>
      <c r="E106" s="409">
        <f>SUM(E102:E105)</f>
        <v>448152</v>
      </c>
      <c r="F106" s="217"/>
      <c r="G106" s="409">
        <f>SUBTOTAL(9,G103:G105)</f>
        <v>448152</v>
      </c>
      <c r="H106" s="217"/>
      <c r="I106" s="409">
        <f t="shared" ref="I106:AE106" si="34">SUM(I103:I105)</f>
        <v>0</v>
      </c>
      <c r="J106" s="360">
        <f t="shared" si="34"/>
        <v>0</v>
      </c>
      <c r="K106" s="409">
        <f t="shared" si="34"/>
        <v>0</v>
      </c>
      <c r="L106" s="360">
        <f t="shared" si="34"/>
        <v>0</v>
      </c>
      <c r="M106" s="409">
        <f t="shared" si="34"/>
        <v>0</v>
      </c>
      <c r="N106" s="360">
        <f t="shared" si="34"/>
        <v>0</v>
      </c>
      <c r="O106" s="409">
        <f t="shared" si="34"/>
        <v>0</v>
      </c>
      <c r="P106" s="360">
        <f t="shared" si="34"/>
        <v>0</v>
      </c>
      <c r="Q106" s="409">
        <f t="shared" si="34"/>
        <v>0</v>
      </c>
      <c r="R106" s="360">
        <f t="shared" si="34"/>
        <v>0</v>
      </c>
      <c r="S106" s="409">
        <f t="shared" si="34"/>
        <v>0</v>
      </c>
      <c r="T106" s="360">
        <f t="shared" si="34"/>
        <v>0</v>
      </c>
      <c r="U106" s="409">
        <f t="shared" si="34"/>
        <v>0</v>
      </c>
      <c r="V106" s="360">
        <f t="shared" si="34"/>
        <v>0</v>
      </c>
      <c r="W106" s="409">
        <f t="shared" si="34"/>
        <v>0</v>
      </c>
      <c r="X106" s="360">
        <f t="shared" si="34"/>
        <v>0</v>
      </c>
      <c r="Y106" s="409">
        <f t="shared" si="34"/>
        <v>0</v>
      </c>
      <c r="Z106" s="360">
        <f t="shared" si="34"/>
        <v>0</v>
      </c>
      <c r="AA106" s="409">
        <f t="shared" si="34"/>
        <v>0</v>
      </c>
      <c r="AB106" s="360">
        <f t="shared" si="34"/>
        <v>0</v>
      </c>
      <c r="AC106" s="409">
        <f t="shared" si="34"/>
        <v>0</v>
      </c>
      <c r="AD106" s="360">
        <f t="shared" si="34"/>
        <v>0</v>
      </c>
      <c r="AE106" s="409">
        <f t="shared" si="34"/>
        <v>0</v>
      </c>
      <c r="AF106" s="360"/>
      <c r="AG106" s="409">
        <f>SUM(AG103:AG105)</f>
        <v>0</v>
      </c>
      <c r="AH106" s="360">
        <f>SUM(AH103:AH105)</f>
        <v>0</v>
      </c>
      <c r="AI106" s="409">
        <f>SUM(AI103:AI105)</f>
        <v>6680</v>
      </c>
      <c r="AJ106" s="360"/>
      <c r="AK106" s="409">
        <f>SUM(AK103:AK105)</f>
        <v>6680</v>
      </c>
      <c r="AL106" s="360">
        <f>SUM(AL103:AL105)</f>
        <v>0</v>
      </c>
      <c r="AM106" s="360">
        <f>SUM(AM103:AM105)</f>
        <v>0</v>
      </c>
      <c r="AN106" s="360">
        <f>SUM(AN103:AN105)</f>
        <v>0</v>
      </c>
      <c r="AO106" s="409">
        <f>SUM(AO103:AO105)</f>
        <v>120892</v>
      </c>
      <c r="AP106" s="360"/>
      <c r="AQ106" s="409">
        <f>SUM(AQ103:AQ105)</f>
        <v>0</v>
      </c>
      <c r="AR106" s="360"/>
      <c r="AS106" s="360">
        <f>SUM(AS103:AS105)</f>
        <v>0</v>
      </c>
      <c r="AT106" s="360"/>
      <c r="AU106" s="360">
        <f>SUM(AU103:AU105)</f>
        <v>0</v>
      </c>
      <c r="AV106" s="360"/>
      <c r="AW106" s="360">
        <f>SUM(AW103:AW105)</f>
        <v>0</v>
      </c>
      <c r="AX106" s="360"/>
      <c r="AY106" s="360">
        <f>SUM(AY103:AY105)</f>
        <v>0</v>
      </c>
      <c r="AZ106" s="360"/>
      <c r="BA106" s="360">
        <f>SUM(BA103:BA105)</f>
        <v>0</v>
      </c>
      <c r="BB106" s="360"/>
      <c r="BC106" s="360">
        <f>SUM(BC103:BC105)</f>
        <v>0</v>
      </c>
      <c r="BD106" s="360">
        <f>SUM(BD103:BD105)</f>
        <v>0</v>
      </c>
      <c r="BE106" s="409">
        <f>SUM(BE103:BE105)</f>
        <v>127572</v>
      </c>
      <c r="BF106" s="360"/>
      <c r="BG106" s="409">
        <f t="shared" ref="BG106:BL106" si="35">SUM(BG103:BG105)</f>
        <v>320580</v>
      </c>
      <c r="BH106" s="360">
        <f t="shared" si="35"/>
        <v>0</v>
      </c>
      <c r="BI106" s="409">
        <f t="shared" si="35"/>
        <v>448152</v>
      </c>
      <c r="BJ106" s="360">
        <f t="shared" si="35"/>
        <v>0</v>
      </c>
      <c r="BK106" s="409">
        <f t="shared" si="35"/>
        <v>0</v>
      </c>
      <c r="BL106" s="360">
        <f t="shared" si="35"/>
        <v>0</v>
      </c>
    </row>
    <row r="107" spans="1:64" s="200" customFormat="1" hidden="1">
      <c r="A107" s="216"/>
      <c r="B107" s="197"/>
      <c r="C107" s="403"/>
      <c r="D107" s="403"/>
      <c r="E107" s="359"/>
      <c r="F107" s="217"/>
      <c r="G107" s="359"/>
      <c r="H107" s="217"/>
      <c r="I107" s="359"/>
      <c r="J107" s="217"/>
      <c r="K107" s="359"/>
      <c r="L107" s="359"/>
      <c r="M107" s="359"/>
      <c r="N107" s="359"/>
      <c r="O107" s="359"/>
      <c r="P107" s="359"/>
      <c r="Q107" s="359"/>
      <c r="R107" s="359"/>
      <c r="S107" s="359"/>
      <c r="T107" s="359"/>
      <c r="U107" s="359"/>
      <c r="V107" s="359"/>
      <c r="W107" s="359"/>
      <c r="X107" s="359"/>
      <c r="Y107" s="359"/>
      <c r="Z107" s="359"/>
      <c r="AA107" s="359"/>
      <c r="AB107" s="359"/>
      <c r="AC107" s="359"/>
      <c r="AD107" s="359"/>
      <c r="AE107" s="359"/>
      <c r="AF107" s="359"/>
      <c r="AG107" s="359"/>
      <c r="AH107" s="359"/>
      <c r="AI107" s="359"/>
      <c r="AJ107" s="359"/>
      <c r="AK107" s="359"/>
      <c r="AL107" s="359"/>
      <c r="AM107" s="359"/>
      <c r="AN107" s="359"/>
      <c r="AO107" s="359"/>
      <c r="AP107" s="359"/>
      <c r="AQ107" s="359"/>
      <c r="AR107" s="359"/>
      <c r="AS107" s="359"/>
      <c r="AT107" s="359"/>
      <c r="AU107" s="359"/>
      <c r="AV107" s="359"/>
      <c r="AW107" s="359"/>
      <c r="AX107" s="359"/>
      <c r="AY107" s="359"/>
      <c r="AZ107" s="359"/>
      <c r="BA107" s="359"/>
      <c r="BB107" s="359"/>
      <c r="BC107" s="359"/>
      <c r="BD107" s="359"/>
      <c r="BE107" s="359"/>
      <c r="BF107" s="359"/>
      <c r="BG107" s="359"/>
      <c r="BH107" s="359"/>
      <c r="BI107" s="359"/>
      <c r="BJ107" s="359"/>
      <c r="BK107" s="405"/>
      <c r="BL107" s="217"/>
    </row>
    <row r="108" spans="1:64" s="200" customFormat="1" hidden="1">
      <c r="A108" s="340" t="s">
        <v>1488</v>
      </c>
      <c r="C108" s="403"/>
      <c r="D108" s="403"/>
      <c r="E108" s="361"/>
      <c r="F108" s="217"/>
      <c r="G108" s="361"/>
      <c r="H108" s="217"/>
      <c r="I108" s="361"/>
      <c r="J108" s="217"/>
      <c r="K108" s="361"/>
      <c r="L108" s="361"/>
      <c r="M108" s="361"/>
      <c r="N108" s="361"/>
      <c r="O108" s="361"/>
      <c r="P108" s="361"/>
      <c r="Q108" s="361"/>
      <c r="R108" s="361"/>
      <c r="S108" s="361"/>
      <c r="T108" s="361"/>
      <c r="U108" s="361"/>
      <c r="V108" s="361"/>
      <c r="W108" s="361"/>
      <c r="X108" s="361"/>
      <c r="Y108" s="361"/>
      <c r="Z108" s="361"/>
      <c r="AA108" s="361"/>
      <c r="AB108" s="361"/>
      <c r="AC108" s="361"/>
      <c r="AD108" s="361"/>
      <c r="AE108" s="361"/>
      <c r="AF108" s="361"/>
      <c r="AG108" s="361"/>
      <c r="AH108" s="361"/>
      <c r="AI108" s="361"/>
      <c r="AJ108" s="361"/>
      <c r="AK108" s="361"/>
      <c r="AL108" s="361"/>
      <c r="AM108" s="361"/>
      <c r="AN108" s="361"/>
      <c r="AO108" s="361"/>
      <c r="AP108" s="361"/>
      <c r="AQ108" s="361"/>
      <c r="AR108" s="361"/>
      <c r="AS108" s="361"/>
      <c r="AT108" s="361"/>
      <c r="AU108" s="361"/>
      <c r="AV108" s="361"/>
      <c r="AW108" s="361"/>
      <c r="AX108" s="361"/>
      <c r="AY108" s="361"/>
      <c r="AZ108" s="361"/>
      <c r="BA108" s="361"/>
      <c r="BB108" s="361"/>
      <c r="BC108" s="361"/>
      <c r="BD108" s="361"/>
      <c r="BE108" s="361"/>
      <c r="BF108" s="361"/>
      <c r="BG108" s="361"/>
      <c r="BH108" s="361"/>
      <c r="BI108" s="361"/>
      <c r="BJ108" s="361"/>
      <c r="BK108" s="361"/>
      <c r="BL108" s="217"/>
    </row>
    <row r="109" spans="1:64" s="200" customFormat="1" hidden="1">
      <c r="A109" s="216"/>
      <c r="B109" s="197" t="s">
        <v>1484</v>
      </c>
      <c r="C109" s="403"/>
      <c r="D109" s="403"/>
      <c r="E109" s="405">
        <v>616436</v>
      </c>
      <c r="F109" s="405">
        <v>616436</v>
      </c>
      <c r="G109" s="405">
        <v>616436</v>
      </c>
      <c r="H109" s="217"/>
      <c r="I109" s="405">
        <f>G109-E109</f>
        <v>0</v>
      </c>
      <c r="J109" s="217"/>
      <c r="K109" s="405">
        <v>0</v>
      </c>
      <c r="L109" s="405">
        <v>0</v>
      </c>
      <c r="M109" s="405">
        <v>0</v>
      </c>
      <c r="N109" s="405">
        <v>0</v>
      </c>
      <c r="O109" s="405">
        <v>0</v>
      </c>
      <c r="P109" s="405">
        <v>0</v>
      </c>
      <c r="Q109" s="405">
        <v>0</v>
      </c>
      <c r="R109" s="405">
        <v>0</v>
      </c>
      <c r="S109" s="405">
        <v>0</v>
      </c>
      <c r="T109" s="405">
        <v>0</v>
      </c>
      <c r="U109" s="405">
        <v>0</v>
      </c>
      <c r="V109" s="405">
        <v>0</v>
      </c>
      <c r="W109" s="405">
        <v>0</v>
      </c>
      <c r="X109" s="405">
        <v>0</v>
      </c>
      <c r="Y109" s="405">
        <v>0</v>
      </c>
      <c r="Z109" s="405">
        <v>0</v>
      </c>
      <c r="AA109" s="405">
        <v>0</v>
      </c>
      <c r="AB109" s="405"/>
      <c r="AC109" s="405">
        <v>0</v>
      </c>
      <c r="AD109" s="405"/>
      <c r="AE109" s="405">
        <v>0</v>
      </c>
      <c r="AF109" s="405"/>
      <c r="AG109" s="359">
        <v>0</v>
      </c>
      <c r="AH109" s="405"/>
      <c r="AI109" s="405">
        <v>34133</v>
      </c>
      <c r="AJ109" s="405"/>
      <c r="AK109" s="359">
        <f>SUM(K109:AI109)</f>
        <v>34133</v>
      </c>
      <c r="AL109" s="405"/>
      <c r="AM109" s="405"/>
      <c r="AN109" s="405"/>
      <c r="AO109" s="405">
        <f>351689-AK109</f>
        <v>317556</v>
      </c>
      <c r="AP109" s="405"/>
      <c r="AQ109" s="405">
        <v>0</v>
      </c>
      <c r="AR109" s="405"/>
      <c r="AS109" s="405">
        <v>0</v>
      </c>
      <c r="AT109" s="405"/>
      <c r="AU109" s="405">
        <v>0</v>
      </c>
      <c r="AV109" s="405"/>
      <c r="AW109" s="405">
        <v>0</v>
      </c>
      <c r="AX109" s="405"/>
      <c r="AY109" s="405">
        <v>0</v>
      </c>
      <c r="AZ109" s="405"/>
      <c r="BA109" s="405">
        <v>0</v>
      </c>
      <c r="BB109" s="405"/>
      <c r="BC109" s="405">
        <v>0</v>
      </c>
      <c r="BD109" s="405">
        <v>0</v>
      </c>
      <c r="BE109" s="359">
        <f>SUM(AK109:BD109)</f>
        <v>351689</v>
      </c>
      <c r="BF109" s="405"/>
      <c r="BG109" s="200">
        <f>+MAX(0,G109-BE109+AM109)</f>
        <v>264747</v>
      </c>
      <c r="BH109" s="359"/>
      <c r="BI109" s="200">
        <f>SUM(BE109:BG109)</f>
        <v>616436</v>
      </c>
      <c r="BJ109" s="359"/>
      <c r="BK109" s="405">
        <f>G109-BI109</f>
        <v>0</v>
      </c>
      <c r="BL109" s="217"/>
    </row>
    <row r="110" spans="1:64" s="200" customFormat="1" hidden="1">
      <c r="A110" s="216"/>
      <c r="B110" s="197" t="s">
        <v>1485</v>
      </c>
      <c r="C110" s="403"/>
      <c r="D110" s="403"/>
      <c r="E110" s="405">
        <v>520255</v>
      </c>
      <c r="F110" s="405">
        <v>520255</v>
      </c>
      <c r="G110" s="405">
        <v>520255</v>
      </c>
      <c r="H110" s="217"/>
      <c r="I110" s="405">
        <f>G110-E110</f>
        <v>0</v>
      </c>
      <c r="J110" s="217"/>
      <c r="K110" s="405">
        <v>0</v>
      </c>
      <c r="L110" s="405">
        <v>0</v>
      </c>
      <c r="M110" s="405">
        <v>0</v>
      </c>
      <c r="N110" s="405">
        <v>0</v>
      </c>
      <c r="O110" s="405">
        <v>0</v>
      </c>
      <c r="P110" s="405">
        <v>0</v>
      </c>
      <c r="Q110" s="405">
        <v>0</v>
      </c>
      <c r="R110" s="405">
        <v>0</v>
      </c>
      <c r="S110" s="405">
        <v>0</v>
      </c>
      <c r="T110" s="405">
        <v>0</v>
      </c>
      <c r="U110" s="405">
        <v>0</v>
      </c>
      <c r="V110" s="405">
        <v>0</v>
      </c>
      <c r="W110" s="405">
        <v>0</v>
      </c>
      <c r="X110" s="405">
        <v>0</v>
      </c>
      <c r="Y110" s="405">
        <v>0</v>
      </c>
      <c r="Z110" s="405">
        <v>0</v>
      </c>
      <c r="AA110" s="405">
        <v>0</v>
      </c>
      <c r="AB110" s="405"/>
      <c r="AC110" s="405">
        <v>0</v>
      </c>
      <c r="AD110" s="405"/>
      <c r="AE110" s="405">
        <v>0</v>
      </c>
      <c r="AF110" s="405"/>
      <c r="AG110" s="359">
        <v>0</v>
      </c>
      <c r="AH110" s="405"/>
      <c r="AI110" s="405">
        <v>0</v>
      </c>
      <c r="AJ110" s="405"/>
      <c r="AK110" s="359">
        <f>SUM(K110:AI110)</f>
        <v>0</v>
      </c>
      <c r="AL110" s="405"/>
      <c r="AM110" s="405"/>
      <c r="AN110" s="405"/>
      <c r="AO110" s="405">
        <f>284422</f>
        <v>284422</v>
      </c>
      <c r="AP110" s="405"/>
      <c r="AQ110" s="405">
        <v>0</v>
      </c>
      <c r="AR110" s="405"/>
      <c r="AS110" s="405">
        <v>0</v>
      </c>
      <c r="AT110" s="405"/>
      <c r="AU110" s="405">
        <v>0</v>
      </c>
      <c r="AV110" s="405"/>
      <c r="AW110" s="405">
        <v>0</v>
      </c>
      <c r="AX110" s="405"/>
      <c r="AY110" s="405">
        <v>0</v>
      </c>
      <c r="AZ110" s="405"/>
      <c r="BA110" s="405">
        <v>0</v>
      </c>
      <c r="BB110" s="405"/>
      <c r="BC110" s="405">
        <v>0</v>
      </c>
      <c r="BD110" s="405">
        <v>0</v>
      </c>
      <c r="BE110" s="359">
        <f>SUM(AK110:BD110)</f>
        <v>284422</v>
      </c>
      <c r="BF110" s="405"/>
      <c r="BG110" s="200">
        <f>+MAX(0,G110-BE110+AM110)</f>
        <v>235833</v>
      </c>
      <c r="BH110" s="359"/>
      <c r="BI110" s="200">
        <f>SUM(BE110:BG110)</f>
        <v>520255</v>
      </c>
      <c r="BJ110" s="359"/>
      <c r="BK110" s="405">
        <f>G110-BI110</f>
        <v>0</v>
      </c>
      <c r="BL110" s="217"/>
    </row>
    <row r="111" spans="1:64" s="200" customFormat="1" hidden="1">
      <c r="A111" s="216"/>
      <c r="B111" s="197" t="s">
        <v>1486</v>
      </c>
      <c r="C111" s="403"/>
      <c r="D111" s="403"/>
      <c r="E111" s="405">
        <v>0</v>
      </c>
      <c r="F111" s="405">
        <v>0</v>
      </c>
      <c r="G111" s="405">
        <v>0</v>
      </c>
      <c r="H111" s="217"/>
      <c r="I111" s="405">
        <f>G111-E111</f>
        <v>0</v>
      </c>
      <c r="J111" s="217"/>
      <c r="K111" s="405">
        <v>0</v>
      </c>
      <c r="L111" s="405">
        <v>0</v>
      </c>
      <c r="M111" s="405">
        <v>0</v>
      </c>
      <c r="N111" s="405">
        <v>0</v>
      </c>
      <c r="O111" s="405">
        <v>0</v>
      </c>
      <c r="P111" s="405">
        <v>0</v>
      </c>
      <c r="Q111" s="405">
        <v>0</v>
      </c>
      <c r="R111" s="405">
        <v>0</v>
      </c>
      <c r="S111" s="405">
        <v>0</v>
      </c>
      <c r="T111" s="405">
        <v>0</v>
      </c>
      <c r="U111" s="405">
        <v>0</v>
      </c>
      <c r="V111" s="405">
        <v>0</v>
      </c>
      <c r="W111" s="405">
        <v>0</v>
      </c>
      <c r="X111" s="405">
        <v>0</v>
      </c>
      <c r="Y111" s="405">
        <v>0</v>
      </c>
      <c r="Z111" s="405">
        <v>0</v>
      </c>
      <c r="AA111" s="405">
        <v>0</v>
      </c>
      <c r="AB111" s="405"/>
      <c r="AC111" s="405">
        <v>0</v>
      </c>
      <c r="AD111" s="405"/>
      <c r="AE111" s="405">
        <v>0</v>
      </c>
      <c r="AF111" s="405"/>
      <c r="AG111" s="359">
        <v>0</v>
      </c>
      <c r="AH111" s="405"/>
      <c r="AI111" s="405">
        <v>0</v>
      </c>
      <c r="AJ111" s="405"/>
      <c r="AK111" s="359">
        <f>SUM(K111:AI111)</f>
        <v>0</v>
      </c>
      <c r="AL111" s="405"/>
      <c r="AM111" s="405"/>
      <c r="AN111" s="405"/>
      <c r="AO111" s="405">
        <v>0</v>
      </c>
      <c r="AP111" s="405"/>
      <c r="AQ111" s="405">
        <v>0</v>
      </c>
      <c r="AR111" s="405"/>
      <c r="AS111" s="405">
        <v>0</v>
      </c>
      <c r="AT111" s="405"/>
      <c r="AU111" s="405">
        <v>0</v>
      </c>
      <c r="AV111" s="405"/>
      <c r="AW111" s="405">
        <v>0</v>
      </c>
      <c r="AX111" s="405"/>
      <c r="AY111" s="405">
        <v>0</v>
      </c>
      <c r="AZ111" s="405"/>
      <c r="BA111" s="405">
        <v>0</v>
      </c>
      <c r="BB111" s="405"/>
      <c r="BC111" s="405">
        <v>0</v>
      </c>
      <c r="BD111" s="405">
        <v>0</v>
      </c>
      <c r="BE111" s="359">
        <f>SUM(AK111:BD111)</f>
        <v>0</v>
      </c>
      <c r="BF111" s="405"/>
      <c r="BG111" s="200">
        <f>+MAX(0,G111-BE111+AM111)</f>
        <v>0</v>
      </c>
      <c r="BH111" s="359"/>
      <c r="BI111" s="200">
        <f>SUM(BE111:BG111)</f>
        <v>0</v>
      </c>
      <c r="BJ111" s="359"/>
      <c r="BK111" s="405">
        <f>G111-BI111</f>
        <v>0</v>
      </c>
      <c r="BL111" s="217"/>
    </row>
    <row r="112" spans="1:64" s="200" customFormat="1" hidden="1">
      <c r="A112" s="216"/>
      <c r="B112" s="212" t="s">
        <v>1511</v>
      </c>
      <c r="C112" s="403"/>
      <c r="D112" s="403"/>
      <c r="E112" s="409">
        <f>SUM(E109:E111)</f>
        <v>1136691</v>
      </c>
      <c r="F112" s="217"/>
      <c r="G112" s="409">
        <f>SUBTOTAL(9,G109:G111)</f>
        <v>1136691</v>
      </c>
      <c r="H112" s="217"/>
      <c r="I112" s="409">
        <f t="shared" ref="I112:AE112" si="36">SUM(I109:I111)</f>
        <v>0</v>
      </c>
      <c r="J112" s="360">
        <f t="shared" si="36"/>
        <v>0</v>
      </c>
      <c r="K112" s="409">
        <f t="shared" si="36"/>
        <v>0</v>
      </c>
      <c r="L112" s="360">
        <f t="shared" si="36"/>
        <v>0</v>
      </c>
      <c r="M112" s="409">
        <f t="shared" si="36"/>
        <v>0</v>
      </c>
      <c r="N112" s="360">
        <f t="shared" si="36"/>
        <v>0</v>
      </c>
      <c r="O112" s="409">
        <f t="shared" si="36"/>
        <v>0</v>
      </c>
      <c r="P112" s="360">
        <f t="shared" si="36"/>
        <v>0</v>
      </c>
      <c r="Q112" s="409">
        <f t="shared" si="36"/>
        <v>0</v>
      </c>
      <c r="R112" s="360">
        <f t="shared" si="36"/>
        <v>0</v>
      </c>
      <c r="S112" s="409">
        <f t="shared" si="36"/>
        <v>0</v>
      </c>
      <c r="T112" s="360">
        <f t="shared" si="36"/>
        <v>0</v>
      </c>
      <c r="U112" s="409">
        <f t="shared" si="36"/>
        <v>0</v>
      </c>
      <c r="V112" s="360">
        <f t="shared" si="36"/>
        <v>0</v>
      </c>
      <c r="W112" s="409">
        <f t="shared" si="36"/>
        <v>0</v>
      </c>
      <c r="X112" s="360">
        <f t="shared" si="36"/>
        <v>0</v>
      </c>
      <c r="Y112" s="409">
        <f t="shared" si="36"/>
        <v>0</v>
      </c>
      <c r="Z112" s="360">
        <f t="shared" si="36"/>
        <v>0</v>
      </c>
      <c r="AA112" s="409">
        <f t="shared" si="36"/>
        <v>0</v>
      </c>
      <c r="AB112" s="360">
        <f t="shared" si="36"/>
        <v>0</v>
      </c>
      <c r="AC112" s="409">
        <f t="shared" si="36"/>
        <v>0</v>
      </c>
      <c r="AD112" s="360">
        <f t="shared" si="36"/>
        <v>0</v>
      </c>
      <c r="AE112" s="409">
        <f t="shared" si="36"/>
        <v>0</v>
      </c>
      <c r="AF112" s="360"/>
      <c r="AG112" s="409">
        <f>SUM(AG109:AG111)</f>
        <v>0</v>
      </c>
      <c r="AH112" s="360">
        <f>SUM(AH109:AH111)</f>
        <v>0</v>
      </c>
      <c r="AI112" s="409">
        <f>SUM(AI109:AI111)</f>
        <v>34133</v>
      </c>
      <c r="AJ112" s="360"/>
      <c r="AK112" s="409">
        <f>SUM(AK109:AK111)</f>
        <v>34133</v>
      </c>
      <c r="AL112" s="360">
        <f>SUM(AL109:AL111)</f>
        <v>0</v>
      </c>
      <c r="AM112" s="360">
        <f>SUM(AM109:AM111)</f>
        <v>0</v>
      </c>
      <c r="AN112" s="360">
        <f>SUM(AN109:AN111)</f>
        <v>0</v>
      </c>
      <c r="AO112" s="409">
        <f>SUM(AO109:AO111)</f>
        <v>601978</v>
      </c>
      <c r="AP112" s="360"/>
      <c r="AQ112" s="409">
        <f>SUM(AQ109:AQ111)</f>
        <v>0</v>
      </c>
      <c r="AR112" s="360"/>
      <c r="AS112" s="360">
        <f>SUM(AS109:AS111)</f>
        <v>0</v>
      </c>
      <c r="AT112" s="360"/>
      <c r="AU112" s="360">
        <f>SUM(AU109:AU111)</f>
        <v>0</v>
      </c>
      <c r="AV112" s="360"/>
      <c r="AW112" s="360">
        <f>SUM(AW109:AW111)</f>
        <v>0</v>
      </c>
      <c r="AX112" s="360"/>
      <c r="AY112" s="360">
        <f>SUM(AY109:AY111)</f>
        <v>0</v>
      </c>
      <c r="AZ112" s="360"/>
      <c r="BA112" s="360">
        <f>SUM(BA109:BA111)</f>
        <v>0</v>
      </c>
      <c r="BB112" s="360"/>
      <c r="BC112" s="360">
        <f>SUM(BC109:BC111)</f>
        <v>0</v>
      </c>
      <c r="BD112" s="360">
        <f>SUM(BD109:BD111)</f>
        <v>0</v>
      </c>
      <c r="BE112" s="409">
        <f>SUM(BE109:BE111)</f>
        <v>636111</v>
      </c>
      <c r="BF112" s="360"/>
      <c r="BG112" s="409">
        <f t="shared" ref="BG112:BL112" si="37">SUM(BG109:BG111)</f>
        <v>500580</v>
      </c>
      <c r="BH112" s="360">
        <f t="shared" si="37"/>
        <v>0</v>
      </c>
      <c r="BI112" s="409">
        <f t="shared" si="37"/>
        <v>1136691</v>
      </c>
      <c r="BJ112" s="360">
        <f t="shared" si="37"/>
        <v>0</v>
      </c>
      <c r="BK112" s="409">
        <f t="shared" si="37"/>
        <v>0</v>
      </c>
      <c r="BL112" s="360">
        <f t="shared" si="37"/>
        <v>0</v>
      </c>
    </row>
    <row r="113" spans="1:64" s="200" customFormat="1" hidden="1">
      <c r="A113" s="216"/>
      <c r="B113" s="197"/>
      <c r="C113" s="403"/>
      <c r="D113" s="403"/>
      <c r="E113" s="359"/>
      <c r="F113" s="217"/>
      <c r="G113" s="359"/>
      <c r="H113" s="217"/>
      <c r="I113" s="359"/>
      <c r="J113" s="217"/>
      <c r="K113" s="359"/>
      <c r="L113" s="359"/>
      <c r="M113" s="359"/>
      <c r="N113" s="359"/>
      <c r="O113" s="359"/>
      <c r="P113" s="359"/>
      <c r="Q113" s="359"/>
      <c r="R113" s="359"/>
      <c r="S113" s="359"/>
      <c r="T113" s="359"/>
      <c r="U113" s="359"/>
      <c r="V113" s="359"/>
      <c r="W113" s="359"/>
      <c r="X113" s="359"/>
      <c r="Y113" s="359"/>
      <c r="Z113" s="359"/>
      <c r="AA113" s="359"/>
      <c r="AB113" s="359"/>
      <c r="AC113" s="359"/>
      <c r="AD113" s="359"/>
      <c r="AE113" s="359"/>
      <c r="AF113" s="359"/>
      <c r="AG113" s="359"/>
      <c r="AH113" s="359"/>
      <c r="AI113" s="359"/>
      <c r="AJ113" s="359"/>
      <c r="AK113" s="359"/>
      <c r="AL113" s="359"/>
      <c r="AM113" s="359"/>
      <c r="AN113" s="359"/>
      <c r="AO113" s="359"/>
      <c r="AP113" s="359"/>
      <c r="AQ113" s="359"/>
      <c r="AR113" s="359"/>
      <c r="AS113" s="359"/>
      <c r="AT113" s="359"/>
      <c r="AU113" s="359"/>
      <c r="AV113" s="359"/>
      <c r="AW113" s="359"/>
      <c r="AX113" s="359"/>
      <c r="AY113" s="359"/>
      <c r="AZ113" s="359"/>
      <c r="BA113" s="359"/>
      <c r="BB113" s="359"/>
      <c r="BC113" s="359"/>
      <c r="BD113" s="359"/>
      <c r="BE113" s="359"/>
      <c r="BF113" s="359"/>
      <c r="BG113" s="359"/>
      <c r="BH113" s="359"/>
      <c r="BI113" s="359"/>
      <c r="BJ113" s="359"/>
      <c r="BK113" s="405"/>
      <c r="BL113" s="217"/>
    </row>
    <row r="114" spans="1:64" s="200" customFormat="1" hidden="1">
      <c r="A114" s="340" t="s">
        <v>1489</v>
      </c>
      <c r="C114" s="403"/>
      <c r="D114" s="403"/>
      <c r="E114" s="361"/>
      <c r="F114" s="217"/>
      <c r="G114" s="361"/>
      <c r="H114" s="217"/>
      <c r="I114" s="361"/>
      <c r="J114" s="217"/>
      <c r="K114" s="361"/>
      <c r="L114" s="361"/>
      <c r="M114" s="361"/>
      <c r="N114" s="361"/>
      <c r="O114" s="361"/>
      <c r="P114" s="361"/>
      <c r="Q114" s="361"/>
      <c r="R114" s="361"/>
      <c r="S114" s="361"/>
      <c r="T114" s="361"/>
      <c r="U114" s="361"/>
      <c r="V114" s="361"/>
      <c r="W114" s="361"/>
      <c r="X114" s="361"/>
      <c r="Y114" s="361"/>
      <c r="Z114" s="361"/>
      <c r="AA114" s="361"/>
      <c r="AB114" s="361"/>
      <c r="AC114" s="361"/>
      <c r="AD114" s="361"/>
      <c r="AE114" s="361"/>
      <c r="AF114" s="361"/>
      <c r="AG114" s="361"/>
      <c r="AH114" s="361"/>
      <c r="AI114" s="361"/>
      <c r="AJ114" s="361"/>
      <c r="AK114" s="361"/>
      <c r="AL114" s="361"/>
      <c r="AM114" s="361"/>
      <c r="AN114" s="361"/>
      <c r="AO114" s="361"/>
      <c r="AP114" s="361"/>
      <c r="AQ114" s="361"/>
      <c r="AR114" s="361"/>
      <c r="AS114" s="361"/>
      <c r="AT114" s="361"/>
      <c r="AU114" s="361"/>
      <c r="AV114" s="361"/>
      <c r="AW114" s="361"/>
      <c r="AX114" s="361"/>
      <c r="AY114" s="361"/>
      <c r="AZ114" s="361"/>
      <c r="BA114" s="361"/>
      <c r="BB114" s="361"/>
      <c r="BC114" s="361"/>
      <c r="BD114" s="361"/>
      <c r="BE114" s="361"/>
      <c r="BF114" s="361"/>
      <c r="BG114" s="361"/>
      <c r="BH114" s="361"/>
      <c r="BI114" s="361"/>
      <c r="BJ114" s="361"/>
      <c r="BK114" s="361"/>
      <c r="BL114" s="217"/>
    </row>
    <row r="115" spans="1:64" s="200" customFormat="1" hidden="1">
      <c r="A115" s="216"/>
      <c r="B115" s="197" t="s">
        <v>1484</v>
      </c>
      <c r="C115" s="403"/>
      <c r="D115" s="403"/>
      <c r="E115" s="405">
        <v>39766</v>
      </c>
      <c r="F115" s="405">
        <v>39766</v>
      </c>
      <c r="G115" s="405">
        <v>39766</v>
      </c>
      <c r="H115" s="217"/>
      <c r="I115" s="405">
        <f>G115-E115</f>
        <v>0</v>
      </c>
      <c r="J115" s="217"/>
      <c r="K115" s="405">
        <v>0</v>
      </c>
      <c r="L115" s="405">
        <v>0</v>
      </c>
      <c r="M115" s="405">
        <v>0</v>
      </c>
      <c r="N115" s="405">
        <v>0</v>
      </c>
      <c r="O115" s="405">
        <v>0</v>
      </c>
      <c r="P115" s="405">
        <v>0</v>
      </c>
      <c r="Q115" s="405">
        <v>0</v>
      </c>
      <c r="R115" s="405">
        <v>0</v>
      </c>
      <c r="S115" s="405">
        <v>0</v>
      </c>
      <c r="T115" s="405">
        <v>0</v>
      </c>
      <c r="U115" s="405">
        <v>0</v>
      </c>
      <c r="V115" s="405">
        <v>0</v>
      </c>
      <c r="W115" s="405">
        <v>0</v>
      </c>
      <c r="X115" s="405">
        <v>0</v>
      </c>
      <c r="Y115" s="405">
        <v>0</v>
      </c>
      <c r="Z115" s="405">
        <v>0</v>
      </c>
      <c r="AA115" s="405">
        <v>0</v>
      </c>
      <c r="AB115" s="405"/>
      <c r="AC115" s="405">
        <v>0</v>
      </c>
      <c r="AD115" s="405"/>
      <c r="AE115" s="405">
        <v>0</v>
      </c>
      <c r="AF115" s="405"/>
      <c r="AG115" s="359">
        <v>0</v>
      </c>
      <c r="AH115" s="405"/>
      <c r="AI115" s="405">
        <v>0</v>
      </c>
      <c r="AJ115" s="405"/>
      <c r="AK115" s="359">
        <f>SUM(K115:AI115)</f>
        <v>0</v>
      </c>
      <c r="AL115" s="405"/>
      <c r="AM115" s="405"/>
      <c r="AN115" s="405"/>
      <c r="AO115" s="405">
        <f>2142</f>
        <v>2142</v>
      </c>
      <c r="AP115" s="405"/>
      <c r="AQ115" s="405">
        <v>0</v>
      </c>
      <c r="AR115" s="405"/>
      <c r="AS115" s="405">
        <v>0</v>
      </c>
      <c r="AT115" s="405"/>
      <c r="AU115" s="405">
        <v>0</v>
      </c>
      <c r="AV115" s="405"/>
      <c r="AW115" s="405">
        <v>0</v>
      </c>
      <c r="AX115" s="405"/>
      <c r="AY115" s="405">
        <v>0</v>
      </c>
      <c r="AZ115" s="405"/>
      <c r="BA115" s="405">
        <v>0</v>
      </c>
      <c r="BB115" s="405"/>
      <c r="BC115" s="405">
        <v>0</v>
      </c>
      <c r="BD115" s="405">
        <v>0</v>
      </c>
      <c r="BE115" s="359">
        <f>SUM(AK115:BD115)</f>
        <v>2142</v>
      </c>
      <c r="BF115" s="405"/>
      <c r="BG115" s="200">
        <f>+MAX(0,G115-BE115+AM115)</f>
        <v>37624</v>
      </c>
      <c r="BH115" s="359"/>
      <c r="BI115" s="200">
        <f>SUM(BE115:BG115)</f>
        <v>39766</v>
      </c>
      <c r="BJ115" s="359"/>
      <c r="BK115" s="405">
        <f>G115-BI115</f>
        <v>0</v>
      </c>
      <c r="BL115" s="217"/>
    </row>
    <row r="116" spans="1:64" s="200" customFormat="1" hidden="1">
      <c r="A116" s="216"/>
      <c r="B116" s="197" t="s">
        <v>1485</v>
      </c>
      <c r="C116" s="403"/>
      <c r="D116" s="403"/>
      <c r="E116" s="405">
        <v>28687</v>
      </c>
      <c r="F116" s="405">
        <v>28687</v>
      </c>
      <c r="G116" s="405">
        <v>28687</v>
      </c>
      <c r="H116" s="217"/>
      <c r="I116" s="405">
        <f>G116-E116</f>
        <v>0</v>
      </c>
      <c r="J116" s="217"/>
      <c r="K116" s="405">
        <v>0</v>
      </c>
      <c r="L116" s="405">
        <v>0</v>
      </c>
      <c r="M116" s="405">
        <v>0</v>
      </c>
      <c r="N116" s="405">
        <v>0</v>
      </c>
      <c r="O116" s="405">
        <v>0</v>
      </c>
      <c r="P116" s="405">
        <v>0</v>
      </c>
      <c r="Q116" s="405">
        <v>0</v>
      </c>
      <c r="R116" s="405">
        <v>0</v>
      </c>
      <c r="S116" s="405">
        <v>0</v>
      </c>
      <c r="T116" s="405">
        <v>0</v>
      </c>
      <c r="U116" s="405">
        <v>0</v>
      </c>
      <c r="V116" s="405">
        <v>0</v>
      </c>
      <c r="W116" s="405">
        <v>0</v>
      </c>
      <c r="X116" s="405">
        <v>0</v>
      </c>
      <c r="Y116" s="405">
        <v>0</v>
      </c>
      <c r="Z116" s="405">
        <v>0</v>
      </c>
      <c r="AA116" s="405">
        <v>0</v>
      </c>
      <c r="AB116" s="405"/>
      <c r="AC116" s="405">
        <v>0</v>
      </c>
      <c r="AD116" s="405"/>
      <c r="AE116" s="405">
        <v>0</v>
      </c>
      <c r="AF116" s="405"/>
      <c r="AG116" s="359">
        <v>0</v>
      </c>
      <c r="AH116" s="405"/>
      <c r="AI116" s="405">
        <v>0</v>
      </c>
      <c r="AJ116" s="405"/>
      <c r="AK116" s="359">
        <f>SUM(K116:AI116)</f>
        <v>0</v>
      </c>
      <c r="AL116" s="405"/>
      <c r="AM116" s="405"/>
      <c r="AN116" s="405"/>
      <c r="AO116" s="405">
        <v>1980</v>
      </c>
      <c r="AP116" s="405"/>
      <c r="AQ116" s="405">
        <v>0</v>
      </c>
      <c r="AR116" s="405"/>
      <c r="AS116" s="405">
        <v>0</v>
      </c>
      <c r="AT116" s="405"/>
      <c r="AU116" s="405">
        <v>0</v>
      </c>
      <c r="AV116" s="405"/>
      <c r="AW116" s="405">
        <v>0</v>
      </c>
      <c r="AX116" s="405"/>
      <c r="AY116" s="405">
        <v>0</v>
      </c>
      <c r="AZ116" s="405"/>
      <c r="BA116" s="405">
        <v>0</v>
      </c>
      <c r="BB116" s="405"/>
      <c r="BC116" s="405">
        <v>0</v>
      </c>
      <c r="BD116" s="405">
        <v>0</v>
      </c>
      <c r="BE116" s="359">
        <f>SUM(AK116:BD116)</f>
        <v>1980</v>
      </c>
      <c r="BF116" s="405"/>
      <c r="BG116" s="200">
        <f>+MAX(0,G116-BE116+AM116)</f>
        <v>26707</v>
      </c>
      <c r="BH116" s="359"/>
      <c r="BI116" s="200">
        <f>SUM(BE116:BG116)</f>
        <v>28687</v>
      </c>
      <c r="BJ116" s="359"/>
      <c r="BK116" s="405">
        <f>G116-BI116</f>
        <v>0</v>
      </c>
      <c r="BL116" s="217"/>
    </row>
    <row r="117" spans="1:64" s="200" customFormat="1" hidden="1">
      <c r="A117" s="216"/>
      <c r="B117" s="212" t="s">
        <v>1486</v>
      </c>
      <c r="C117" s="403"/>
      <c r="D117" s="403"/>
      <c r="E117" s="409">
        <f>SUM(E115:E116)</f>
        <v>68453</v>
      </c>
      <c r="F117" s="217"/>
      <c r="G117" s="409">
        <f>SUBTOTAL(9,G115:G116)</f>
        <v>68453</v>
      </c>
      <c r="H117" s="217"/>
      <c r="I117" s="409">
        <f t="shared" ref="I117:AE117" si="38">SUM(I115:I116)</f>
        <v>0</v>
      </c>
      <c r="J117" s="360">
        <f t="shared" si="38"/>
        <v>0</v>
      </c>
      <c r="K117" s="409">
        <f t="shared" si="38"/>
        <v>0</v>
      </c>
      <c r="L117" s="360">
        <f t="shared" si="38"/>
        <v>0</v>
      </c>
      <c r="M117" s="409">
        <f t="shared" si="38"/>
        <v>0</v>
      </c>
      <c r="N117" s="360">
        <f t="shared" si="38"/>
        <v>0</v>
      </c>
      <c r="O117" s="409">
        <f t="shared" si="38"/>
        <v>0</v>
      </c>
      <c r="P117" s="360">
        <f t="shared" si="38"/>
        <v>0</v>
      </c>
      <c r="Q117" s="409">
        <f t="shared" si="38"/>
        <v>0</v>
      </c>
      <c r="R117" s="360">
        <f t="shared" si="38"/>
        <v>0</v>
      </c>
      <c r="S117" s="409">
        <f t="shared" si="38"/>
        <v>0</v>
      </c>
      <c r="T117" s="360">
        <f t="shared" si="38"/>
        <v>0</v>
      </c>
      <c r="U117" s="409">
        <f t="shared" si="38"/>
        <v>0</v>
      </c>
      <c r="V117" s="360">
        <f t="shared" si="38"/>
        <v>0</v>
      </c>
      <c r="W117" s="409">
        <f t="shared" si="38"/>
        <v>0</v>
      </c>
      <c r="X117" s="360">
        <f t="shared" si="38"/>
        <v>0</v>
      </c>
      <c r="Y117" s="409">
        <f t="shared" si="38"/>
        <v>0</v>
      </c>
      <c r="Z117" s="360">
        <f t="shared" si="38"/>
        <v>0</v>
      </c>
      <c r="AA117" s="409">
        <f t="shared" si="38"/>
        <v>0</v>
      </c>
      <c r="AB117" s="360">
        <f t="shared" si="38"/>
        <v>0</v>
      </c>
      <c r="AC117" s="409">
        <f t="shared" si="38"/>
        <v>0</v>
      </c>
      <c r="AD117" s="360">
        <f t="shared" si="38"/>
        <v>0</v>
      </c>
      <c r="AE117" s="409">
        <f t="shared" si="38"/>
        <v>0</v>
      </c>
      <c r="AF117" s="360"/>
      <c r="AG117" s="409">
        <f>SUM(AG115:AG116)</f>
        <v>0</v>
      </c>
      <c r="AH117" s="360">
        <f>SUM(AC117:AG117)</f>
        <v>0</v>
      </c>
      <c r="AI117" s="409">
        <f>SUM(AI115:AI116)</f>
        <v>0</v>
      </c>
      <c r="AJ117" s="360"/>
      <c r="AK117" s="409">
        <f>SUM(AK115:AK116)</f>
        <v>0</v>
      </c>
      <c r="AL117" s="360">
        <f>SUM(AL115:AL116)</f>
        <v>0</v>
      </c>
      <c r="AM117" s="360">
        <f>SUM(AM115:AM116)</f>
        <v>0</v>
      </c>
      <c r="AN117" s="360">
        <f>SUM(AN115:AN116)</f>
        <v>0</v>
      </c>
      <c r="AO117" s="409">
        <f>SUM(AO115:AO116)</f>
        <v>4122</v>
      </c>
      <c r="AP117" s="360"/>
      <c r="AQ117" s="409">
        <f>SUM(AQ115:AQ116)</f>
        <v>0</v>
      </c>
      <c r="AR117" s="360"/>
      <c r="AS117" s="360">
        <f>SUM(AS115:AS116)</f>
        <v>0</v>
      </c>
      <c r="AT117" s="360"/>
      <c r="AU117" s="360">
        <f>SUM(AU115:AU116)</f>
        <v>0</v>
      </c>
      <c r="AV117" s="360"/>
      <c r="AW117" s="360">
        <f>SUM(AW115:AW116)</f>
        <v>0</v>
      </c>
      <c r="AX117" s="360"/>
      <c r="AY117" s="360">
        <f>SUM(AY115:AY116)</f>
        <v>0</v>
      </c>
      <c r="AZ117" s="360"/>
      <c r="BA117" s="360">
        <f>SUM(BA115:BA116)</f>
        <v>0</v>
      </c>
      <c r="BB117" s="360"/>
      <c r="BC117" s="360">
        <f>SUM(BC115:BC116)</f>
        <v>0</v>
      </c>
      <c r="BD117" s="360">
        <f>SUM(BD115:BD116)</f>
        <v>0</v>
      </c>
      <c r="BE117" s="409">
        <f>SUM(BE115:BE116)</f>
        <v>4122</v>
      </c>
      <c r="BF117" s="360"/>
      <c r="BG117" s="409">
        <f>SUM(BG115:BG116)</f>
        <v>64331</v>
      </c>
      <c r="BH117" s="360">
        <f>SUM(BH115:BH116)</f>
        <v>0</v>
      </c>
      <c r="BI117" s="409">
        <f>SUM(BI115:BI116)</f>
        <v>68453</v>
      </c>
      <c r="BJ117" s="360">
        <f>SUM(BJ115:BJ116)</f>
        <v>0</v>
      </c>
      <c r="BK117" s="409">
        <f>SUM(BK115:BK116)</f>
        <v>0</v>
      </c>
      <c r="BL117" s="217"/>
    </row>
    <row r="118" spans="1:64" s="200" customFormat="1" hidden="1">
      <c r="A118" s="216"/>
      <c r="B118" s="197"/>
      <c r="C118" s="403"/>
      <c r="D118" s="403"/>
      <c r="E118" s="359"/>
      <c r="F118" s="217"/>
      <c r="G118" s="359"/>
      <c r="H118" s="217"/>
      <c r="I118" s="359"/>
      <c r="J118" s="217"/>
      <c r="K118" s="359"/>
      <c r="L118" s="359"/>
      <c r="M118" s="359"/>
      <c r="N118" s="359"/>
      <c r="O118" s="359"/>
      <c r="P118" s="359"/>
      <c r="Q118" s="359"/>
      <c r="R118" s="359"/>
      <c r="S118" s="359"/>
      <c r="T118" s="359"/>
      <c r="U118" s="359"/>
      <c r="V118" s="359"/>
      <c r="W118" s="359"/>
      <c r="X118" s="359"/>
      <c r="Y118" s="359"/>
      <c r="Z118" s="359"/>
      <c r="AA118" s="359"/>
      <c r="AB118" s="359"/>
      <c r="AC118" s="359"/>
      <c r="AD118" s="359"/>
      <c r="AE118" s="359"/>
      <c r="AF118" s="359"/>
      <c r="AG118" s="359"/>
      <c r="AH118" s="359"/>
      <c r="AI118" s="359"/>
      <c r="AJ118" s="359"/>
      <c r="AK118" s="359"/>
      <c r="AL118" s="359"/>
      <c r="AM118" s="359"/>
      <c r="AN118" s="359"/>
      <c r="AO118" s="359"/>
      <c r="AP118" s="359"/>
      <c r="AQ118" s="359"/>
      <c r="AR118" s="359"/>
      <c r="AS118" s="359"/>
      <c r="AT118" s="359"/>
      <c r="AU118" s="359"/>
      <c r="AV118" s="359"/>
      <c r="AW118" s="359"/>
      <c r="AX118" s="359"/>
      <c r="AY118" s="359"/>
      <c r="AZ118" s="359"/>
      <c r="BA118" s="359"/>
      <c r="BB118" s="359"/>
      <c r="BC118" s="359"/>
      <c r="BD118" s="359"/>
      <c r="BE118" s="359"/>
      <c r="BF118" s="359"/>
      <c r="BG118" s="359"/>
      <c r="BH118" s="359"/>
      <c r="BI118" s="359"/>
      <c r="BJ118" s="359"/>
      <c r="BK118" s="405"/>
      <c r="BL118" s="217"/>
    </row>
    <row r="119" spans="1:64" s="200" customFormat="1" hidden="1">
      <c r="A119" s="340" t="s">
        <v>1490</v>
      </c>
      <c r="C119" s="403"/>
      <c r="D119" s="403"/>
      <c r="E119" s="361"/>
      <c r="F119" s="217"/>
      <c r="G119" s="361"/>
      <c r="H119" s="217"/>
      <c r="I119" s="361"/>
      <c r="J119" s="217"/>
      <c r="K119" s="361"/>
      <c r="L119" s="361"/>
      <c r="M119" s="361"/>
      <c r="N119" s="361"/>
      <c r="O119" s="361"/>
      <c r="P119" s="361"/>
      <c r="Q119" s="361"/>
      <c r="R119" s="361"/>
      <c r="S119" s="361"/>
      <c r="T119" s="361"/>
      <c r="U119" s="361"/>
      <c r="V119" s="361"/>
      <c r="W119" s="361"/>
      <c r="X119" s="361"/>
      <c r="Y119" s="361"/>
      <c r="Z119" s="361"/>
      <c r="AA119" s="361"/>
      <c r="AB119" s="361"/>
      <c r="AC119" s="361"/>
      <c r="AD119" s="361"/>
      <c r="AE119" s="361"/>
      <c r="AF119" s="361"/>
      <c r="AG119" s="361"/>
      <c r="AH119" s="361"/>
      <c r="AI119" s="361"/>
      <c r="AJ119" s="361"/>
      <c r="AK119" s="361"/>
      <c r="AL119" s="361"/>
      <c r="AM119" s="361"/>
      <c r="AN119" s="361"/>
      <c r="AO119" s="361"/>
      <c r="AP119" s="361"/>
      <c r="AQ119" s="361"/>
      <c r="AR119" s="361"/>
      <c r="AS119" s="361"/>
      <c r="AT119" s="361"/>
      <c r="AU119" s="361"/>
      <c r="AV119" s="361"/>
      <c r="AW119" s="361"/>
      <c r="AX119" s="361"/>
      <c r="AY119" s="361"/>
      <c r="AZ119" s="361"/>
      <c r="BA119" s="361"/>
      <c r="BB119" s="361"/>
      <c r="BC119" s="361"/>
      <c r="BD119" s="361"/>
      <c r="BE119" s="361"/>
      <c r="BF119" s="361"/>
      <c r="BG119" s="361"/>
      <c r="BH119" s="361"/>
      <c r="BI119" s="361"/>
      <c r="BJ119" s="361"/>
      <c r="BK119" s="361"/>
      <c r="BL119" s="217"/>
    </row>
    <row r="120" spans="1:64" s="200" customFormat="1" hidden="1">
      <c r="A120" s="216"/>
      <c r="B120" s="197" t="s">
        <v>1484</v>
      </c>
      <c r="C120" s="403"/>
      <c r="D120" s="403"/>
      <c r="E120" s="405">
        <v>7089</v>
      </c>
      <c r="F120" s="405">
        <v>7089</v>
      </c>
      <c r="G120" s="405">
        <v>7089</v>
      </c>
      <c r="H120" s="217"/>
      <c r="I120" s="405">
        <f>G120-E120</f>
        <v>0</v>
      </c>
      <c r="J120" s="217"/>
      <c r="K120" s="405">
        <v>0</v>
      </c>
      <c r="L120" s="405">
        <v>0</v>
      </c>
      <c r="M120" s="405">
        <v>0</v>
      </c>
      <c r="N120" s="405">
        <v>0</v>
      </c>
      <c r="O120" s="405">
        <v>0</v>
      </c>
      <c r="P120" s="405">
        <v>0</v>
      </c>
      <c r="Q120" s="405">
        <v>0</v>
      </c>
      <c r="R120" s="405">
        <v>0</v>
      </c>
      <c r="S120" s="405">
        <v>0</v>
      </c>
      <c r="T120" s="405">
        <v>0</v>
      </c>
      <c r="U120" s="405">
        <v>0</v>
      </c>
      <c r="V120" s="405">
        <v>0</v>
      </c>
      <c r="W120" s="405">
        <v>0</v>
      </c>
      <c r="X120" s="405">
        <v>0</v>
      </c>
      <c r="Y120" s="405">
        <v>0</v>
      </c>
      <c r="Z120" s="405">
        <v>0</v>
      </c>
      <c r="AA120" s="405">
        <v>0</v>
      </c>
      <c r="AB120" s="405"/>
      <c r="AC120" s="405">
        <v>0</v>
      </c>
      <c r="AD120" s="405"/>
      <c r="AE120" s="405">
        <v>0</v>
      </c>
      <c r="AF120" s="405"/>
      <c r="AG120" s="359">
        <v>0</v>
      </c>
      <c r="AH120" s="405"/>
      <c r="AI120" s="405">
        <v>0</v>
      </c>
      <c r="AJ120" s="405"/>
      <c r="AK120" s="359">
        <f>SUM(K120:AI120)</f>
        <v>0</v>
      </c>
      <c r="AL120" s="405"/>
      <c r="AM120" s="405"/>
      <c r="AN120" s="405"/>
      <c r="AO120" s="405">
        <v>0</v>
      </c>
      <c r="AP120" s="405"/>
      <c r="AQ120" s="405">
        <v>0</v>
      </c>
      <c r="AR120" s="405"/>
      <c r="AS120" s="405">
        <v>0</v>
      </c>
      <c r="AT120" s="405"/>
      <c r="AU120" s="405">
        <v>0</v>
      </c>
      <c r="AV120" s="405"/>
      <c r="AW120" s="405">
        <v>0</v>
      </c>
      <c r="AX120" s="405"/>
      <c r="AY120" s="405">
        <v>0</v>
      </c>
      <c r="AZ120" s="405"/>
      <c r="BA120" s="405">
        <v>0</v>
      </c>
      <c r="BB120" s="405"/>
      <c r="BC120" s="405">
        <v>0</v>
      </c>
      <c r="BD120" s="405">
        <v>0</v>
      </c>
      <c r="BE120" s="359">
        <f>SUM(AK120:BD120)</f>
        <v>0</v>
      </c>
      <c r="BF120" s="405"/>
      <c r="BG120" s="200">
        <f>+MAX(0,G120-BE120+AM120)</f>
        <v>7089</v>
      </c>
      <c r="BH120" s="359"/>
      <c r="BI120" s="200">
        <f>SUM(BE120:BG120)</f>
        <v>7089</v>
      </c>
      <c r="BJ120" s="359"/>
      <c r="BK120" s="405">
        <f>G120-BI120</f>
        <v>0</v>
      </c>
      <c r="BL120" s="217"/>
    </row>
    <row r="121" spans="1:64" s="200" customFormat="1" hidden="1">
      <c r="A121" s="216"/>
      <c r="B121" s="197" t="s">
        <v>1485</v>
      </c>
      <c r="C121" s="403"/>
      <c r="D121" s="403"/>
      <c r="E121" s="405">
        <v>25200</v>
      </c>
      <c r="F121" s="405">
        <v>25200</v>
      </c>
      <c r="G121" s="405">
        <v>25200</v>
      </c>
      <c r="H121" s="217"/>
      <c r="I121" s="405">
        <f>G121-E121</f>
        <v>0</v>
      </c>
      <c r="J121" s="217"/>
      <c r="K121" s="405">
        <v>0</v>
      </c>
      <c r="L121" s="405">
        <v>0</v>
      </c>
      <c r="M121" s="405">
        <v>0</v>
      </c>
      <c r="N121" s="405">
        <v>0</v>
      </c>
      <c r="O121" s="405">
        <v>0</v>
      </c>
      <c r="P121" s="405">
        <v>0</v>
      </c>
      <c r="Q121" s="405">
        <v>0</v>
      </c>
      <c r="R121" s="405">
        <v>0</v>
      </c>
      <c r="S121" s="405">
        <v>0</v>
      </c>
      <c r="T121" s="405">
        <v>0</v>
      </c>
      <c r="U121" s="405">
        <v>0</v>
      </c>
      <c r="V121" s="405">
        <v>0</v>
      </c>
      <c r="W121" s="405">
        <v>0</v>
      </c>
      <c r="X121" s="405">
        <v>0</v>
      </c>
      <c r="Y121" s="405">
        <v>0</v>
      </c>
      <c r="Z121" s="405">
        <v>0</v>
      </c>
      <c r="AA121" s="405">
        <v>0</v>
      </c>
      <c r="AB121" s="405"/>
      <c r="AC121" s="405">
        <v>0</v>
      </c>
      <c r="AD121" s="405"/>
      <c r="AE121" s="405">
        <v>0</v>
      </c>
      <c r="AF121" s="405"/>
      <c r="AG121" s="359">
        <v>0</v>
      </c>
      <c r="AH121" s="405"/>
      <c r="AI121" s="405">
        <v>0</v>
      </c>
      <c r="AJ121" s="405"/>
      <c r="AK121" s="359">
        <f>SUM(K121:AI121)</f>
        <v>0</v>
      </c>
      <c r="AL121" s="405"/>
      <c r="AM121" s="405"/>
      <c r="AN121" s="405"/>
      <c r="AO121" s="405">
        <v>0</v>
      </c>
      <c r="AP121" s="405"/>
      <c r="AQ121" s="405">
        <v>0</v>
      </c>
      <c r="AR121" s="405"/>
      <c r="AS121" s="405">
        <v>0</v>
      </c>
      <c r="AT121" s="405"/>
      <c r="AU121" s="405">
        <v>0</v>
      </c>
      <c r="AV121" s="405"/>
      <c r="AW121" s="405">
        <v>0</v>
      </c>
      <c r="AX121" s="405"/>
      <c r="AY121" s="405">
        <v>0</v>
      </c>
      <c r="AZ121" s="405"/>
      <c r="BA121" s="405">
        <v>0</v>
      </c>
      <c r="BB121" s="405"/>
      <c r="BC121" s="405">
        <v>0</v>
      </c>
      <c r="BD121" s="405">
        <v>0</v>
      </c>
      <c r="BE121" s="359">
        <f>SUM(AK121:BD121)</f>
        <v>0</v>
      </c>
      <c r="BF121" s="405"/>
      <c r="BG121" s="200">
        <f>+MAX(0,G121-BE121+AM121)</f>
        <v>25200</v>
      </c>
      <c r="BH121" s="359"/>
      <c r="BI121" s="200">
        <f>SUM(BE121:BG121)</f>
        <v>25200</v>
      </c>
      <c r="BJ121" s="359"/>
      <c r="BK121" s="405">
        <f>G121-BI121</f>
        <v>0</v>
      </c>
      <c r="BL121" s="217"/>
    </row>
    <row r="122" spans="1:64" s="200" customFormat="1" hidden="1">
      <c r="A122" s="216"/>
      <c r="B122" s="212" t="s">
        <v>1512</v>
      </c>
      <c r="C122" s="403"/>
      <c r="D122" s="403"/>
      <c r="E122" s="409">
        <f>SUM(E120:E121)</f>
        <v>32289</v>
      </c>
      <c r="F122" s="217"/>
      <c r="G122" s="409">
        <f>SUBTOTAL(9,G120:G121)</f>
        <v>32289</v>
      </c>
      <c r="H122" s="217"/>
      <c r="I122" s="409">
        <f t="shared" ref="I122:AE122" si="39">SUM(I120:I121)</f>
        <v>0</v>
      </c>
      <c r="J122" s="360">
        <f t="shared" si="39"/>
        <v>0</v>
      </c>
      <c r="K122" s="409">
        <f t="shared" si="39"/>
        <v>0</v>
      </c>
      <c r="L122" s="360">
        <f t="shared" si="39"/>
        <v>0</v>
      </c>
      <c r="M122" s="409">
        <f t="shared" si="39"/>
        <v>0</v>
      </c>
      <c r="N122" s="360">
        <f t="shared" si="39"/>
        <v>0</v>
      </c>
      <c r="O122" s="409">
        <f t="shared" si="39"/>
        <v>0</v>
      </c>
      <c r="P122" s="360">
        <f t="shared" si="39"/>
        <v>0</v>
      </c>
      <c r="Q122" s="409">
        <f t="shared" si="39"/>
        <v>0</v>
      </c>
      <c r="R122" s="360">
        <f t="shared" si="39"/>
        <v>0</v>
      </c>
      <c r="S122" s="409">
        <f t="shared" si="39"/>
        <v>0</v>
      </c>
      <c r="T122" s="360">
        <f t="shared" si="39"/>
        <v>0</v>
      </c>
      <c r="U122" s="409">
        <f t="shared" si="39"/>
        <v>0</v>
      </c>
      <c r="V122" s="360">
        <f t="shared" si="39"/>
        <v>0</v>
      </c>
      <c r="W122" s="409">
        <f t="shared" si="39"/>
        <v>0</v>
      </c>
      <c r="X122" s="360">
        <f t="shared" si="39"/>
        <v>0</v>
      </c>
      <c r="Y122" s="409">
        <f t="shared" si="39"/>
        <v>0</v>
      </c>
      <c r="Z122" s="360">
        <f t="shared" si="39"/>
        <v>0</v>
      </c>
      <c r="AA122" s="409">
        <f t="shared" si="39"/>
        <v>0</v>
      </c>
      <c r="AB122" s="360">
        <f t="shared" si="39"/>
        <v>0</v>
      </c>
      <c r="AC122" s="409">
        <f t="shared" si="39"/>
        <v>0</v>
      </c>
      <c r="AD122" s="360">
        <f t="shared" si="39"/>
        <v>0</v>
      </c>
      <c r="AE122" s="409">
        <f t="shared" si="39"/>
        <v>0</v>
      </c>
      <c r="AF122" s="360"/>
      <c r="AG122" s="409">
        <f>SUM(AG120:AG121)</f>
        <v>0</v>
      </c>
      <c r="AH122" s="360">
        <f>SUM(AH120:AH121)</f>
        <v>0</v>
      </c>
      <c r="AI122" s="409">
        <f>SUM(AI120:AI121)</f>
        <v>0</v>
      </c>
      <c r="AJ122" s="360"/>
      <c r="AK122" s="409">
        <f>SUM(AK120:AK121)</f>
        <v>0</v>
      </c>
      <c r="AL122" s="360">
        <f>SUM(AL120:AL121)</f>
        <v>0</v>
      </c>
      <c r="AM122" s="360">
        <f>SUM(AM120:AM121)</f>
        <v>0</v>
      </c>
      <c r="AN122" s="360">
        <f>SUM(AN120:AN121)</f>
        <v>0</v>
      </c>
      <c r="AO122" s="409">
        <f>SUM(AO120:AO121)</f>
        <v>0</v>
      </c>
      <c r="AP122" s="360"/>
      <c r="AQ122" s="409">
        <f>SUM(AQ120:AQ121)</f>
        <v>0</v>
      </c>
      <c r="AR122" s="360"/>
      <c r="AS122" s="360">
        <f>SUM(AS120:AS121)</f>
        <v>0</v>
      </c>
      <c r="AT122" s="360"/>
      <c r="AU122" s="360">
        <f>SUM(AU120:AU121)</f>
        <v>0</v>
      </c>
      <c r="AV122" s="360"/>
      <c r="AW122" s="360">
        <f>SUM(AW120:AW121)</f>
        <v>0</v>
      </c>
      <c r="AX122" s="360"/>
      <c r="AY122" s="360">
        <f>SUM(AY120:AY121)</f>
        <v>0</v>
      </c>
      <c r="AZ122" s="360"/>
      <c r="BA122" s="360">
        <f>SUM(BA120:BA121)</f>
        <v>0</v>
      </c>
      <c r="BB122" s="360"/>
      <c r="BC122" s="360">
        <f>SUM(BC120:BC121)</f>
        <v>0</v>
      </c>
      <c r="BD122" s="360">
        <f>SUM(BD120:BD121)</f>
        <v>0</v>
      </c>
      <c r="BE122" s="409">
        <f>SUM(BE120:BE121)</f>
        <v>0</v>
      </c>
      <c r="BF122" s="360"/>
      <c r="BG122" s="409">
        <f t="shared" ref="BG122:BL122" si="40">SUM(BG120:BG121)</f>
        <v>32289</v>
      </c>
      <c r="BH122" s="360">
        <f t="shared" si="40"/>
        <v>0</v>
      </c>
      <c r="BI122" s="409">
        <f t="shared" si="40"/>
        <v>32289</v>
      </c>
      <c r="BJ122" s="360">
        <f t="shared" si="40"/>
        <v>0</v>
      </c>
      <c r="BK122" s="409">
        <f t="shared" si="40"/>
        <v>0</v>
      </c>
      <c r="BL122" s="360">
        <f t="shared" si="40"/>
        <v>0</v>
      </c>
    </row>
    <row r="123" spans="1:64" s="200" customFormat="1" hidden="1">
      <c r="A123" s="216"/>
      <c r="B123" s="197"/>
      <c r="C123" s="403"/>
      <c r="D123" s="403"/>
      <c r="E123" s="359"/>
      <c r="F123" s="217"/>
      <c r="G123" s="359"/>
      <c r="H123" s="217"/>
      <c r="I123" s="359"/>
      <c r="J123" s="217"/>
      <c r="K123" s="359"/>
      <c r="L123" s="359"/>
      <c r="M123" s="359"/>
      <c r="N123" s="359"/>
      <c r="O123" s="359"/>
      <c r="P123" s="359"/>
      <c r="Q123" s="359"/>
      <c r="R123" s="359"/>
      <c r="S123" s="359"/>
      <c r="T123" s="359"/>
      <c r="U123" s="359"/>
      <c r="V123" s="359"/>
      <c r="W123" s="359"/>
      <c r="X123" s="359"/>
      <c r="Y123" s="359"/>
      <c r="Z123" s="359"/>
      <c r="AA123" s="359"/>
      <c r="AB123" s="359"/>
      <c r="AC123" s="359"/>
      <c r="AD123" s="359"/>
      <c r="AE123" s="359"/>
      <c r="AF123" s="359"/>
      <c r="AG123" s="359"/>
      <c r="AH123" s="359"/>
      <c r="AI123" s="359"/>
      <c r="AJ123" s="359"/>
      <c r="AK123" s="359"/>
      <c r="AL123" s="359"/>
      <c r="AM123" s="359"/>
      <c r="AN123" s="359"/>
      <c r="AO123" s="359"/>
      <c r="AP123" s="359"/>
      <c r="AQ123" s="359"/>
      <c r="AR123" s="359"/>
      <c r="AS123" s="359"/>
      <c r="AT123" s="359"/>
      <c r="AU123" s="359"/>
      <c r="AV123" s="359"/>
      <c r="AW123" s="359"/>
      <c r="AX123" s="359"/>
      <c r="AY123" s="359"/>
      <c r="AZ123" s="359"/>
      <c r="BA123" s="359"/>
      <c r="BB123" s="359"/>
      <c r="BC123" s="359"/>
      <c r="BD123" s="359"/>
      <c r="BE123" s="359"/>
      <c r="BF123" s="359"/>
      <c r="BG123" s="359"/>
      <c r="BH123" s="359"/>
      <c r="BI123" s="359"/>
      <c r="BJ123" s="359"/>
      <c r="BK123" s="405"/>
      <c r="BL123" s="217"/>
    </row>
    <row r="124" spans="1:64" s="222" customFormat="1" hidden="1">
      <c r="A124" s="340" t="s">
        <v>1491</v>
      </c>
      <c r="E124" s="361">
        <v>0</v>
      </c>
      <c r="F124" s="223"/>
      <c r="G124" s="361">
        <v>0</v>
      </c>
      <c r="H124" s="223"/>
      <c r="I124" s="361">
        <f>G124-E124</f>
        <v>0</v>
      </c>
      <c r="J124" s="223"/>
      <c r="K124" s="361">
        <v>0</v>
      </c>
      <c r="L124" s="361">
        <v>0</v>
      </c>
      <c r="M124" s="361">
        <v>0</v>
      </c>
      <c r="N124" s="361">
        <v>0</v>
      </c>
      <c r="O124" s="361">
        <v>0</v>
      </c>
      <c r="P124" s="361">
        <v>0</v>
      </c>
      <c r="Q124" s="361">
        <v>0</v>
      </c>
      <c r="R124" s="361">
        <v>0</v>
      </c>
      <c r="S124" s="361">
        <v>0</v>
      </c>
      <c r="T124" s="361">
        <v>0</v>
      </c>
      <c r="U124" s="361">
        <v>0</v>
      </c>
      <c r="V124" s="361">
        <v>0</v>
      </c>
      <c r="W124" s="361">
        <v>0</v>
      </c>
      <c r="X124" s="361">
        <v>0</v>
      </c>
      <c r="Y124" s="361">
        <v>0</v>
      </c>
      <c r="Z124" s="361">
        <v>0</v>
      </c>
      <c r="AA124" s="361">
        <v>0</v>
      </c>
      <c r="AB124" s="361"/>
      <c r="AC124" s="361">
        <v>0</v>
      </c>
      <c r="AD124" s="361"/>
      <c r="AE124" s="361">
        <v>0</v>
      </c>
      <c r="AF124" s="361"/>
      <c r="AG124" s="361">
        <v>0</v>
      </c>
      <c r="AH124" s="361"/>
      <c r="AI124" s="361">
        <v>0</v>
      </c>
      <c r="AJ124" s="361"/>
      <c r="AK124" s="361">
        <f>SUM(K124:AI124)</f>
        <v>0</v>
      </c>
      <c r="AL124" s="361"/>
      <c r="AM124" s="361"/>
      <c r="AN124" s="361"/>
      <c r="AO124" s="361">
        <v>0</v>
      </c>
      <c r="AP124" s="361"/>
      <c r="AQ124" s="361">
        <v>0</v>
      </c>
      <c r="AR124" s="361"/>
      <c r="AS124" s="361">
        <v>0</v>
      </c>
      <c r="AT124" s="361"/>
      <c r="AU124" s="361">
        <v>0</v>
      </c>
      <c r="AV124" s="361"/>
      <c r="AW124" s="361">
        <v>0</v>
      </c>
      <c r="AX124" s="361"/>
      <c r="AY124" s="361">
        <v>0</v>
      </c>
      <c r="AZ124" s="361"/>
      <c r="BA124" s="361">
        <v>0</v>
      </c>
      <c r="BB124" s="361"/>
      <c r="BC124" s="361">
        <v>0</v>
      </c>
      <c r="BD124" s="361">
        <v>0</v>
      </c>
      <c r="BE124" s="361">
        <f>SUM(AK124:BD124)</f>
        <v>0</v>
      </c>
      <c r="BF124" s="361"/>
      <c r="BG124" s="222">
        <f>+MAX(0,G124-BE124+AM124)</f>
        <v>0</v>
      </c>
      <c r="BH124" s="361"/>
      <c r="BI124" s="222">
        <f>SUM(BE124:BG124)</f>
        <v>0</v>
      </c>
      <c r="BJ124" s="361"/>
      <c r="BK124" s="361">
        <f>G124-BI124</f>
        <v>0</v>
      </c>
      <c r="BL124" s="223"/>
    </row>
    <row r="125" spans="1:64" s="200" customFormat="1" hidden="1">
      <c r="A125" s="216"/>
      <c r="B125" s="197"/>
      <c r="C125" s="403"/>
      <c r="D125" s="403"/>
      <c r="E125" s="359"/>
      <c r="F125" s="217"/>
      <c r="G125" s="359"/>
      <c r="H125" s="217"/>
      <c r="I125" s="359"/>
      <c r="J125" s="217"/>
      <c r="K125" s="359"/>
      <c r="L125" s="359"/>
      <c r="M125" s="359"/>
      <c r="N125" s="359"/>
      <c r="O125" s="359"/>
      <c r="P125" s="359"/>
      <c r="Q125" s="359"/>
      <c r="R125" s="359"/>
      <c r="S125" s="359"/>
      <c r="T125" s="359"/>
      <c r="U125" s="359"/>
      <c r="V125" s="359"/>
      <c r="W125" s="359"/>
      <c r="X125" s="359"/>
      <c r="Y125" s="359"/>
      <c r="Z125" s="359"/>
      <c r="AA125" s="359"/>
      <c r="AB125" s="359"/>
      <c r="AC125" s="359"/>
      <c r="AD125" s="359"/>
      <c r="AE125" s="359"/>
      <c r="AF125" s="359"/>
      <c r="AG125" s="359"/>
      <c r="AH125" s="359"/>
      <c r="AI125" s="359"/>
      <c r="AJ125" s="359"/>
      <c r="AK125" s="359"/>
      <c r="AL125" s="359"/>
      <c r="AM125" s="359"/>
      <c r="AN125" s="359"/>
      <c r="AO125" s="359"/>
      <c r="AP125" s="359"/>
      <c r="AQ125" s="359"/>
      <c r="AR125" s="359"/>
      <c r="AS125" s="359"/>
      <c r="AT125" s="359"/>
      <c r="AU125" s="359"/>
      <c r="AV125" s="359"/>
      <c r="AW125" s="359"/>
      <c r="AX125" s="359"/>
      <c r="AY125" s="359"/>
      <c r="AZ125" s="359"/>
      <c r="BA125" s="359"/>
      <c r="BB125" s="359"/>
      <c r="BC125" s="359"/>
      <c r="BD125" s="359"/>
      <c r="BE125" s="359"/>
      <c r="BF125" s="359"/>
      <c r="BG125" s="359"/>
      <c r="BH125" s="359"/>
      <c r="BI125" s="359"/>
      <c r="BJ125" s="359"/>
      <c r="BK125" s="405"/>
      <c r="BL125" s="217"/>
    </row>
    <row r="126" spans="1:64" s="222" customFormat="1" hidden="1">
      <c r="A126" s="340" t="s">
        <v>1492</v>
      </c>
      <c r="E126" s="361">
        <v>296640</v>
      </c>
      <c r="F126" s="361">
        <v>296640</v>
      </c>
      <c r="G126" s="361">
        <v>296640</v>
      </c>
      <c r="H126" s="223"/>
      <c r="I126" s="361">
        <f>G126-E126</f>
        <v>0</v>
      </c>
      <c r="J126" s="223"/>
      <c r="K126" s="361">
        <v>0</v>
      </c>
      <c r="L126" s="361">
        <v>0</v>
      </c>
      <c r="M126" s="361">
        <v>0</v>
      </c>
      <c r="N126" s="361">
        <v>0</v>
      </c>
      <c r="O126" s="361">
        <v>0</v>
      </c>
      <c r="P126" s="361">
        <v>0</v>
      </c>
      <c r="Q126" s="361">
        <v>0</v>
      </c>
      <c r="R126" s="361">
        <v>0</v>
      </c>
      <c r="S126" s="361">
        <v>0</v>
      </c>
      <c r="T126" s="361">
        <v>0</v>
      </c>
      <c r="U126" s="361">
        <v>0</v>
      </c>
      <c r="V126" s="361">
        <v>0</v>
      </c>
      <c r="W126" s="361">
        <v>0</v>
      </c>
      <c r="X126" s="361">
        <v>0</v>
      </c>
      <c r="Y126" s="361">
        <v>0</v>
      </c>
      <c r="Z126" s="361">
        <v>0</v>
      </c>
      <c r="AA126" s="361">
        <v>0</v>
      </c>
      <c r="AB126" s="361"/>
      <c r="AC126" s="361">
        <v>0</v>
      </c>
      <c r="AD126" s="361"/>
      <c r="AE126" s="361">
        <v>0</v>
      </c>
      <c r="AF126" s="361"/>
      <c r="AG126" s="361">
        <v>0</v>
      </c>
      <c r="AH126" s="361"/>
      <c r="AI126" s="361">
        <v>0</v>
      </c>
      <c r="AJ126" s="361"/>
      <c r="AK126" s="361">
        <f>SUM(K126:AI126)</f>
        <v>0</v>
      </c>
      <c r="AL126" s="361"/>
      <c r="AM126" s="361"/>
      <c r="AN126" s="361"/>
      <c r="AO126" s="361">
        <v>88703</v>
      </c>
      <c r="AP126" s="361"/>
      <c r="AQ126" s="361">
        <v>0</v>
      </c>
      <c r="AR126" s="361"/>
      <c r="AS126" s="361">
        <v>0</v>
      </c>
      <c r="AT126" s="361"/>
      <c r="AU126" s="361">
        <v>0</v>
      </c>
      <c r="AV126" s="361"/>
      <c r="AW126" s="361">
        <v>0</v>
      </c>
      <c r="AX126" s="361"/>
      <c r="AY126" s="361">
        <v>0</v>
      </c>
      <c r="AZ126" s="361"/>
      <c r="BA126" s="361">
        <v>0</v>
      </c>
      <c r="BB126" s="361"/>
      <c r="BC126" s="361">
        <v>0</v>
      </c>
      <c r="BD126" s="361">
        <v>0</v>
      </c>
      <c r="BE126" s="361">
        <f>SUM(AK126:BD126)</f>
        <v>88703</v>
      </c>
      <c r="BF126" s="361"/>
      <c r="BG126" s="222">
        <f>+MAX(0,G126-BE126+AM126)</f>
        <v>207937</v>
      </c>
      <c r="BH126" s="361"/>
      <c r="BI126" s="222">
        <f>SUM(BE126:BG126)</f>
        <v>296640</v>
      </c>
      <c r="BJ126" s="361"/>
      <c r="BK126" s="361">
        <f>G126-BI126</f>
        <v>0</v>
      </c>
      <c r="BL126" s="223"/>
    </row>
    <row r="127" spans="1:64" s="200" customFormat="1" hidden="1">
      <c r="A127" s="216"/>
      <c r="B127" s="197"/>
      <c r="C127" s="403"/>
      <c r="D127" s="403"/>
      <c r="E127" s="361"/>
      <c r="F127" s="217"/>
      <c r="G127" s="361"/>
      <c r="H127" s="217"/>
      <c r="I127" s="361"/>
      <c r="J127" s="217"/>
      <c r="K127" s="361"/>
      <c r="L127" s="361"/>
      <c r="M127" s="361"/>
      <c r="N127" s="361"/>
      <c r="O127" s="361"/>
      <c r="P127" s="361"/>
      <c r="Q127" s="361"/>
      <c r="R127" s="361"/>
      <c r="S127" s="361"/>
      <c r="T127" s="361"/>
      <c r="U127" s="361"/>
      <c r="V127" s="361"/>
      <c r="W127" s="361"/>
      <c r="X127" s="361"/>
      <c r="Y127" s="361"/>
      <c r="Z127" s="361"/>
      <c r="AA127" s="361"/>
      <c r="AB127" s="361"/>
      <c r="AC127" s="361"/>
      <c r="AD127" s="361"/>
      <c r="AE127" s="361"/>
      <c r="AF127" s="361"/>
      <c r="AG127" s="361"/>
      <c r="AH127" s="361"/>
      <c r="AI127" s="361"/>
      <c r="AJ127" s="361"/>
      <c r="AK127" s="361"/>
      <c r="AL127" s="361"/>
      <c r="AM127" s="361"/>
      <c r="AN127" s="361"/>
      <c r="AO127" s="361"/>
      <c r="AP127" s="361"/>
      <c r="AQ127" s="361"/>
      <c r="AR127" s="361"/>
      <c r="AS127" s="361"/>
      <c r="AT127" s="361"/>
      <c r="AU127" s="361"/>
      <c r="AV127" s="361"/>
      <c r="AW127" s="361"/>
      <c r="AX127" s="361"/>
      <c r="AY127" s="361"/>
      <c r="AZ127" s="361"/>
      <c r="BA127" s="361"/>
      <c r="BB127" s="361"/>
      <c r="BC127" s="361"/>
      <c r="BD127" s="361"/>
      <c r="BE127" s="361"/>
      <c r="BF127" s="361"/>
      <c r="BG127" s="361"/>
      <c r="BH127" s="361"/>
      <c r="BI127" s="361"/>
      <c r="BJ127" s="361"/>
      <c r="BK127" s="361"/>
      <c r="BL127" s="217"/>
    </row>
    <row r="128" spans="1:64" s="200" customFormat="1" hidden="1">
      <c r="A128" s="340" t="s">
        <v>1493</v>
      </c>
      <c r="C128" s="403"/>
      <c r="D128" s="403"/>
      <c r="E128" s="361"/>
      <c r="F128" s="217"/>
      <c r="G128" s="361"/>
      <c r="H128" s="217"/>
      <c r="I128" s="361"/>
      <c r="J128" s="217"/>
      <c r="K128" s="361"/>
      <c r="L128" s="361"/>
      <c r="M128" s="361"/>
      <c r="N128" s="361"/>
      <c r="O128" s="361"/>
      <c r="P128" s="361"/>
      <c r="Q128" s="361"/>
      <c r="R128" s="361"/>
      <c r="S128" s="361"/>
      <c r="T128" s="361"/>
      <c r="U128" s="361"/>
      <c r="V128" s="361"/>
      <c r="W128" s="361"/>
      <c r="X128" s="361"/>
      <c r="Y128" s="361"/>
      <c r="Z128" s="361"/>
      <c r="AA128" s="361"/>
      <c r="AB128" s="361"/>
      <c r="AC128" s="361"/>
      <c r="AD128" s="361"/>
      <c r="AE128" s="361"/>
      <c r="AF128" s="361"/>
      <c r="AG128" s="361"/>
      <c r="AH128" s="361"/>
      <c r="AI128" s="361"/>
      <c r="AJ128" s="361"/>
      <c r="AK128" s="361"/>
      <c r="AL128" s="361"/>
      <c r="AM128" s="361"/>
      <c r="AN128" s="361"/>
      <c r="AO128" s="361"/>
      <c r="AP128" s="361"/>
      <c r="AQ128" s="361"/>
      <c r="AR128" s="361"/>
      <c r="AS128" s="361"/>
      <c r="AT128" s="361"/>
      <c r="AU128" s="361"/>
      <c r="AV128" s="361"/>
      <c r="AW128" s="361"/>
      <c r="AX128" s="361"/>
      <c r="AY128" s="361"/>
      <c r="AZ128" s="361"/>
      <c r="BA128" s="361"/>
      <c r="BB128" s="361"/>
      <c r="BC128" s="361"/>
      <c r="BD128" s="361"/>
      <c r="BE128" s="361"/>
      <c r="BF128" s="361"/>
      <c r="BG128" s="361"/>
      <c r="BH128" s="361"/>
      <c r="BI128" s="361"/>
      <c r="BJ128" s="361"/>
      <c r="BK128" s="361"/>
      <c r="BL128" s="217"/>
    </row>
    <row r="129" spans="1:64" s="200" customFormat="1" hidden="1">
      <c r="A129" s="216"/>
      <c r="B129" s="197" t="s">
        <v>1484</v>
      </c>
      <c r="C129" s="403"/>
      <c r="D129" s="403"/>
      <c r="E129" s="405">
        <v>183985</v>
      </c>
      <c r="F129" s="405">
        <v>171091</v>
      </c>
      <c r="G129" s="405">
        <v>183985</v>
      </c>
      <c r="H129" s="217"/>
      <c r="I129" s="405">
        <f>G129-E129</f>
        <v>0</v>
      </c>
      <c r="J129" s="217"/>
      <c r="K129" s="405">
        <v>0</v>
      </c>
      <c r="L129" s="405">
        <v>0</v>
      </c>
      <c r="M129" s="405">
        <v>0</v>
      </c>
      <c r="N129" s="405">
        <v>0</v>
      </c>
      <c r="O129" s="405">
        <v>0</v>
      </c>
      <c r="P129" s="405">
        <v>0</v>
      </c>
      <c r="Q129" s="405">
        <v>0</v>
      </c>
      <c r="R129" s="405">
        <v>0</v>
      </c>
      <c r="S129" s="405">
        <v>0</v>
      </c>
      <c r="T129" s="405">
        <v>0</v>
      </c>
      <c r="U129" s="405">
        <v>0</v>
      </c>
      <c r="V129" s="405">
        <v>0</v>
      </c>
      <c r="W129" s="405">
        <v>0</v>
      </c>
      <c r="X129" s="405">
        <v>0</v>
      </c>
      <c r="Y129" s="405">
        <v>0</v>
      </c>
      <c r="Z129" s="405">
        <v>0</v>
      </c>
      <c r="AA129" s="405">
        <v>0</v>
      </c>
      <c r="AB129" s="405"/>
      <c r="AC129" s="405">
        <v>0</v>
      </c>
      <c r="AD129" s="405"/>
      <c r="AE129" s="405">
        <v>0</v>
      </c>
      <c r="AF129" s="405"/>
      <c r="AG129" s="359">
        <v>0</v>
      </c>
      <c r="AH129" s="405"/>
      <c r="AI129" s="405">
        <v>0</v>
      </c>
      <c r="AJ129" s="405"/>
      <c r="AK129" s="359">
        <f>SUM(K129:AI129)</f>
        <v>0</v>
      </c>
      <c r="AL129" s="405"/>
      <c r="AM129" s="405"/>
      <c r="AN129" s="405"/>
      <c r="AO129" s="405">
        <v>129</v>
      </c>
      <c r="AP129" s="405"/>
      <c r="AQ129" s="405">
        <v>0</v>
      </c>
      <c r="AR129" s="405"/>
      <c r="AS129" s="405">
        <v>0</v>
      </c>
      <c r="AT129" s="405"/>
      <c r="AU129" s="405">
        <v>0</v>
      </c>
      <c r="AV129" s="405"/>
      <c r="AW129" s="405">
        <v>0</v>
      </c>
      <c r="AX129" s="405"/>
      <c r="AY129" s="405">
        <v>0</v>
      </c>
      <c r="AZ129" s="405"/>
      <c r="BA129" s="405">
        <v>0</v>
      </c>
      <c r="BB129" s="405"/>
      <c r="BC129" s="405">
        <v>0</v>
      </c>
      <c r="BD129" s="405">
        <v>0</v>
      </c>
      <c r="BE129" s="359">
        <f>SUM(AK129:BD129)</f>
        <v>129</v>
      </c>
      <c r="BF129" s="405"/>
      <c r="BG129" s="200">
        <f>+MAX(0,G129-BE129+AM129)</f>
        <v>183856</v>
      </c>
      <c r="BH129" s="359"/>
      <c r="BI129" s="200">
        <f>SUM(BE129:BG129)</f>
        <v>183985</v>
      </c>
      <c r="BJ129" s="359"/>
      <c r="BK129" s="405">
        <f>G129-BI129</f>
        <v>0</v>
      </c>
      <c r="BL129" s="217"/>
    </row>
    <row r="130" spans="1:64" s="200" customFormat="1" hidden="1">
      <c r="A130" s="216"/>
      <c r="B130" s="197" t="s">
        <v>1486</v>
      </c>
      <c r="C130" s="403"/>
      <c r="D130" s="403"/>
      <c r="E130" s="405">
        <v>0</v>
      </c>
      <c r="F130" s="405">
        <v>0</v>
      </c>
      <c r="G130" s="405">
        <v>0</v>
      </c>
      <c r="H130" s="217"/>
      <c r="I130" s="405">
        <f>G130-E130</f>
        <v>0</v>
      </c>
      <c r="J130" s="217"/>
      <c r="K130" s="405">
        <v>0</v>
      </c>
      <c r="L130" s="405">
        <v>0</v>
      </c>
      <c r="M130" s="405">
        <v>0</v>
      </c>
      <c r="N130" s="405">
        <v>0</v>
      </c>
      <c r="O130" s="405">
        <v>0</v>
      </c>
      <c r="P130" s="405">
        <v>0</v>
      </c>
      <c r="Q130" s="405">
        <v>0</v>
      </c>
      <c r="R130" s="405">
        <v>0</v>
      </c>
      <c r="S130" s="405">
        <v>0</v>
      </c>
      <c r="T130" s="405">
        <v>0</v>
      </c>
      <c r="U130" s="405">
        <v>0</v>
      </c>
      <c r="V130" s="405">
        <v>0</v>
      </c>
      <c r="W130" s="405">
        <v>0</v>
      </c>
      <c r="X130" s="405">
        <v>0</v>
      </c>
      <c r="Y130" s="405">
        <v>0</v>
      </c>
      <c r="Z130" s="405">
        <v>0</v>
      </c>
      <c r="AA130" s="405">
        <v>0</v>
      </c>
      <c r="AB130" s="405"/>
      <c r="AC130" s="405">
        <v>0</v>
      </c>
      <c r="AD130" s="405"/>
      <c r="AE130" s="405">
        <v>0</v>
      </c>
      <c r="AF130" s="405"/>
      <c r="AG130" s="359">
        <v>0</v>
      </c>
      <c r="AH130" s="405"/>
      <c r="AI130" s="405">
        <v>0</v>
      </c>
      <c r="AJ130" s="405"/>
      <c r="AK130" s="359">
        <f>SUM(K130:AI130)</f>
        <v>0</v>
      </c>
      <c r="AL130" s="405"/>
      <c r="AM130" s="405"/>
      <c r="AN130" s="405"/>
      <c r="AO130" s="405">
        <v>0</v>
      </c>
      <c r="AP130" s="405"/>
      <c r="AQ130" s="405">
        <v>0</v>
      </c>
      <c r="AR130" s="405"/>
      <c r="AS130" s="405">
        <v>0</v>
      </c>
      <c r="AT130" s="405"/>
      <c r="AU130" s="405">
        <v>0</v>
      </c>
      <c r="AV130" s="405"/>
      <c r="AW130" s="405">
        <v>0</v>
      </c>
      <c r="AX130" s="405"/>
      <c r="AY130" s="405">
        <v>0</v>
      </c>
      <c r="AZ130" s="405"/>
      <c r="BA130" s="405">
        <v>0</v>
      </c>
      <c r="BB130" s="405"/>
      <c r="BC130" s="405">
        <v>0</v>
      </c>
      <c r="BD130" s="405">
        <v>0</v>
      </c>
      <c r="BE130" s="359">
        <f>SUM(AK130:BD130)</f>
        <v>0</v>
      </c>
      <c r="BF130" s="405"/>
      <c r="BG130" s="200">
        <f>+MAX(0,G130-BE130+AM130)</f>
        <v>0</v>
      </c>
      <c r="BH130" s="359"/>
      <c r="BI130" s="200">
        <f>SUM(BE130:BG130)</f>
        <v>0</v>
      </c>
      <c r="BJ130" s="359"/>
      <c r="BK130" s="405">
        <f>G130-BI130</f>
        <v>0</v>
      </c>
      <c r="BL130" s="217"/>
    </row>
    <row r="131" spans="1:64" s="200" customFormat="1" hidden="1">
      <c r="A131" s="216"/>
      <c r="B131" s="212" t="s">
        <v>1513</v>
      </c>
      <c r="C131" s="403"/>
      <c r="D131" s="403"/>
      <c r="E131" s="409">
        <f>SUM(E129:E130)</f>
        <v>183985</v>
      </c>
      <c r="F131" s="217"/>
      <c r="G131" s="409">
        <f>SUBTOTAL(9,G129:G130)</f>
        <v>183985</v>
      </c>
      <c r="H131" s="217"/>
      <c r="I131" s="409">
        <f t="shared" ref="I131:AE131" si="41">SUM(I129:I130)</f>
        <v>0</v>
      </c>
      <c r="J131" s="360">
        <f t="shared" si="41"/>
        <v>0</v>
      </c>
      <c r="K131" s="409">
        <f t="shared" si="41"/>
        <v>0</v>
      </c>
      <c r="L131" s="360">
        <f t="shared" si="41"/>
        <v>0</v>
      </c>
      <c r="M131" s="409">
        <f t="shared" si="41"/>
        <v>0</v>
      </c>
      <c r="N131" s="360">
        <f t="shared" si="41"/>
        <v>0</v>
      </c>
      <c r="O131" s="409">
        <f t="shared" si="41"/>
        <v>0</v>
      </c>
      <c r="P131" s="360">
        <f t="shared" si="41"/>
        <v>0</v>
      </c>
      <c r="Q131" s="409">
        <f t="shared" si="41"/>
        <v>0</v>
      </c>
      <c r="R131" s="360">
        <f t="shared" si="41"/>
        <v>0</v>
      </c>
      <c r="S131" s="409">
        <f t="shared" si="41"/>
        <v>0</v>
      </c>
      <c r="T131" s="360">
        <f t="shared" si="41"/>
        <v>0</v>
      </c>
      <c r="U131" s="409">
        <f t="shared" si="41"/>
        <v>0</v>
      </c>
      <c r="V131" s="360">
        <f t="shared" si="41"/>
        <v>0</v>
      </c>
      <c r="W131" s="409">
        <f t="shared" si="41"/>
        <v>0</v>
      </c>
      <c r="X131" s="360">
        <f t="shared" si="41"/>
        <v>0</v>
      </c>
      <c r="Y131" s="409">
        <f t="shared" si="41"/>
        <v>0</v>
      </c>
      <c r="Z131" s="360">
        <f t="shared" si="41"/>
        <v>0</v>
      </c>
      <c r="AA131" s="409">
        <f t="shared" si="41"/>
        <v>0</v>
      </c>
      <c r="AB131" s="360">
        <f t="shared" si="41"/>
        <v>0</v>
      </c>
      <c r="AC131" s="409">
        <f t="shared" si="41"/>
        <v>0</v>
      </c>
      <c r="AD131" s="360">
        <f t="shared" si="41"/>
        <v>0</v>
      </c>
      <c r="AE131" s="409">
        <f t="shared" si="41"/>
        <v>0</v>
      </c>
      <c r="AF131" s="360"/>
      <c r="AG131" s="409">
        <f>SUM(AG129:AG130)</f>
        <v>0</v>
      </c>
      <c r="AH131" s="360">
        <f>SUM(AH129:AH130)</f>
        <v>0</v>
      </c>
      <c r="AI131" s="409">
        <f>SUM(AI129:AI130)</f>
        <v>0</v>
      </c>
      <c r="AJ131" s="360"/>
      <c r="AK131" s="409">
        <f>SUM(AK129:AK130)</f>
        <v>0</v>
      </c>
      <c r="AL131" s="360">
        <f>SUM(AL129:AL130)</f>
        <v>0</v>
      </c>
      <c r="AM131" s="360">
        <f>SUM(AM129:AM130)</f>
        <v>0</v>
      </c>
      <c r="AN131" s="360">
        <f>SUM(AN129:AN130)</f>
        <v>0</v>
      </c>
      <c r="AO131" s="409">
        <f>SUM(AO129:AO130)</f>
        <v>129</v>
      </c>
      <c r="AP131" s="360"/>
      <c r="AQ131" s="409">
        <f>SUM(AQ129:AQ130)</f>
        <v>0</v>
      </c>
      <c r="AR131" s="360"/>
      <c r="AS131" s="360">
        <f>SUM(AS129:AS130)</f>
        <v>0</v>
      </c>
      <c r="AT131" s="360"/>
      <c r="AU131" s="360">
        <f>SUM(AU129:AU130)</f>
        <v>0</v>
      </c>
      <c r="AV131" s="360"/>
      <c r="AW131" s="360">
        <f>SUM(AW129:AW130)</f>
        <v>0</v>
      </c>
      <c r="AX131" s="360"/>
      <c r="AY131" s="360">
        <f>SUM(AY129:AY130)</f>
        <v>0</v>
      </c>
      <c r="AZ131" s="360"/>
      <c r="BA131" s="360">
        <f>SUM(BA129:BA130)</f>
        <v>0</v>
      </c>
      <c r="BB131" s="360"/>
      <c r="BC131" s="360">
        <f>SUM(BC129:BC130)</f>
        <v>0</v>
      </c>
      <c r="BD131" s="360">
        <f>SUM(BD129:BD130)</f>
        <v>0</v>
      </c>
      <c r="BE131" s="409">
        <f>SUM(BE129:BE130)</f>
        <v>129</v>
      </c>
      <c r="BF131" s="360"/>
      <c r="BG131" s="409">
        <f t="shared" ref="BG131:BL131" si="42">SUM(BG129:BG130)</f>
        <v>183856</v>
      </c>
      <c r="BH131" s="360">
        <f t="shared" si="42"/>
        <v>0</v>
      </c>
      <c r="BI131" s="409">
        <f t="shared" si="42"/>
        <v>183985</v>
      </c>
      <c r="BJ131" s="360">
        <f t="shared" si="42"/>
        <v>0</v>
      </c>
      <c r="BK131" s="409">
        <f t="shared" si="42"/>
        <v>0</v>
      </c>
      <c r="BL131" s="360">
        <f t="shared" si="42"/>
        <v>0</v>
      </c>
    </row>
    <row r="132" spans="1:64" s="200" customFormat="1" hidden="1">
      <c r="A132" s="216"/>
      <c r="B132" s="197"/>
      <c r="C132" s="403"/>
      <c r="D132" s="403"/>
      <c r="E132" s="360"/>
      <c r="F132" s="217"/>
      <c r="G132" s="360"/>
      <c r="H132" s="217"/>
      <c r="I132" s="360"/>
      <c r="J132" s="217"/>
      <c r="K132" s="360"/>
      <c r="L132" s="360"/>
      <c r="M132" s="360"/>
      <c r="N132" s="360"/>
      <c r="O132" s="360"/>
      <c r="P132" s="360"/>
      <c r="Q132" s="360"/>
      <c r="R132" s="360"/>
      <c r="S132" s="360"/>
      <c r="T132" s="360"/>
      <c r="U132" s="360"/>
      <c r="V132" s="360"/>
      <c r="W132" s="360"/>
      <c r="X132" s="360"/>
      <c r="Y132" s="360"/>
      <c r="Z132" s="360"/>
      <c r="AA132" s="360"/>
      <c r="AB132" s="360"/>
      <c r="AC132" s="360"/>
      <c r="AD132" s="360"/>
      <c r="AE132" s="360"/>
      <c r="AF132" s="360"/>
      <c r="AG132" s="360"/>
      <c r="AH132" s="360"/>
      <c r="AI132" s="360"/>
      <c r="AJ132" s="360"/>
      <c r="AK132" s="360"/>
      <c r="AL132" s="360"/>
      <c r="AM132" s="360"/>
      <c r="AN132" s="360"/>
      <c r="AO132" s="360"/>
      <c r="AP132" s="360"/>
      <c r="AQ132" s="360"/>
      <c r="AR132" s="360"/>
      <c r="AS132" s="360"/>
      <c r="AT132" s="360"/>
      <c r="AU132" s="360"/>
      <c r="AV132" s="360"/>
      <c r="AW132" s="360"/>
      <c r="AX132" s="360"/>
      <c r="AY132" s="360"/>
      <c r="AZ132" s="360"/>
      <c r="BA132" s="360"/>
      <c r="BB132" s="360"/>
      <c r="BC132" s="360"/>
      <c r="BD132" s="360"/>
      <c r="BE132" s="360"/>
      <c r="BF132" s="360"/>
      <c r="BG132" s="360"/>
      <c r="BH132" s="360"/>
      <c r="BI132" s="360"/>
      <c r="BJ132" s="360"/>
      <c r="BK132" s="360"/>
      <c r="BL132" s="217"/>
    </row>
    <row r="133" spans="1:64" s="200" customFormat="1" hidden="1">
      <c r="A133" s="340" t="s">
        <v>1494</v>
      </c>
      <c r="C133" s="403"/>
      <c r="D133" s="403"/>
      <c r="E133" s="362"/>
      <c r="F133" s="217"/>
      <c r="G133" s="362"/>
      <c r="H133" s="217"/>
      <c r="I133" s="362"/>
      <c r="J133" s="217"/>
      <c r="K133" s="362"/>
      <c r="L133" s="362"/>
      <c r="M133" s="362"/>
      <c r="N133" s="362"/>
      <c r="O133" s="362"/>
      <c r="P133" s="362"/>
      <c r="Q133" s="362"/>
      <c r="R133" s="362"/>
      <c r="S133" s="362"/>
      <c r="T133" s="362"/>
      <c r="U133" s="362"/>
      <c r="V133" s="362"/>
      <c r="W133" s="362"/>
      <c r="X133" s="362"/>
      <c r="Y133" s="362"/>
      <c r="Z133" s="362"/>
      <c r="AA133" s="362"/>
      <c r="AB133" s="362"/>
      <c r="AC133" s="362"/>
      <c r="AD133" s="362"/>
      <c r="AE133" s="362"/>
      <c r="AF133" s="362"/>
      <c r="AG133" s="362"/>
      <c r="AH133" s="362"/>
      <c r="AI133" s="362"/>
      <c r="AJ133" s="362"/>
      <c r="AK133" s="362"/>
      <c r="AL133" s="362"/>
      <c r="AM133" s="362"/>
      <c r="AN133" s="362"/>
      <c r="AO133" s="362"/>
      <c r="AP133" s="362"/>
      <c r="AQ133" s="362"/>
      <c r="AR133" s="362"/>
      <c r="AS133" s="362"/>
      <c r="AT133" s="362"/>
      <c r="AU133" s="362"/>
      <c r="AV133" s="362"/>
      <c r="AW133" s="362"/>
      <c r="AX133" s="362"/>
      <c r="AY133" s="362"/>
      <c r="AZ133" s="362"/>
      <c r="BA133" s="362"/>
      <c r="BB133" s="362"/>
      <c r="BC133" s="362"/>
      <c r="BD133" s="362"/>
      <c r="BE133" s="362"/>
      <c r="BF133" s="362"/>
      <c r="BG133" s="362"/>
      <c r="BH133" s="362"/>
      <c r="BI133" s="362"/>
      <c r="BJ133" s="362"/>
      <c r="BK133" s="362"/>
      <c r="BL133" s="217"/>
    </row>
    <row r="134" spans="1:64" s="200" customFormat="1" hidden="1">
      <c r="A134" s="216"/>
      <c r="B134" s="197" t="s">
        <v>1484</v>
      </c>
      <c r="C134" s="403"/>
      <c r="D134" s="403"/>
      <c r="E134" s="405">
        <v>470919</v>
      </c>
      <c r="F134" s="405">
        <v>437240</v>
      </c>
      <c r="G134" s="405">
        <v>470919</v>
      </c>
      <c r="H134" s="217"/>
      <c r="I134" s="405">
        <f>G134-E134</f>
        <v>0</v>
      </c>
      <c r="J134" s="217"/>
      <c r="K134" s="405">
        <v>0</v>
      </c>
      <c r="L134" s="405">
        <v>0</v>
      </c>
      <c r="M134" s="405">
        <v>0</v>
      </c>
      <c r="N134" s="405">
        <v>0</v>
      </c>
      <c r="O134" s="405">
        <v>0</v>
      </c>
      <c r="P134" s="405">
        <v>0</v>
      </c>
      <c r="Q134" s="405">
        <v>0</v>
      </c>
      <c r="R134" s="405">
        <v>0</v>
      </c>
      <c r="S134" s="405">
        <v>0</v>
      </c>
      <c r="T134" s="405">
        <v>0</v>
      </c>
      <c r="U134" s="405">
        <v>0</v>
      </c>
      <c r="V134" s="405">
        <v>0</v>
      </c>
      <c r="W134" s="405">
        <v>0</v>
      </c>
      <c r="X134" s="405">
        <v>0</v>
      </c>
      <c r="Y134" s="405">
        <v>0</v>
      </c>
      <c r="Z134" s="405">
        <v>0</v>
      </c>
      <c r="AA134" s="405">
        <v>0</v>
      </c>
      <c r="AB134" s="405"/>
      <c r="AC134" s="405">
        <v>0</v>
      </c>
      <c r="AD134" s="405"/>
      <c r="AE134" s="405">
        <v>0</v>
      </c>
      <c r="AF134" s="405"/>
      <c r="AG134" s="359">
        <v>0</v>
      </c>
      <c r="AH134" s="405"/>
      <c r="AI134" s="405">
        <v>0</v>
      </c>
      <c r="AJ134" s="405"/>
      <c r="AK134" s="359">
        <f>SUM(K134:AI134)</f>
        <v>0</v>
      </c>
      <c r="AL134" s="405"/>
      <c r="AM134" s="405"/>
      <c r="AN134" s="405"/>
      <c r="AO134" s="405">
        <f>3446</f>
        <v>3446</v>
      </c>
      <c r="AP134" s="405"/>
      <c r="AQ134" s="405">
        <v>0</v>
      </c>
      <c r="AR134" s="405"/>
      <c r="AS134" s="405">
        <v>0</v>
      </c>
      <c r="AT134" s="405"/>
      <c r="AU134" s="405">
        <v>0</v>
      </c>
      <c r="AV134" s="405"/>
      <c r="AW134" s="405">
        <v>0</v>
      </c>
      <c r="AX134" s="405"/>
      <c r="AY134" s="405">
        <v>0</v>
      </c>
      <c r="AZ134" s="405"/>
      <c r="BA134" s="405">
        <v>0</v>
      </c>
      <c r="BB134" s="405"/>
      <c r="BC134" s="405">
        <v>0</v>
      </c>
      <c r="BD134" s="405">
        <v>0</v>
      </c>
      <c r="BE134" s="359">
        <f>SUM(AK134:BD134)</f>
        <v>3446</v>
      </c>
      <c r="BF134" s="405"/>
      <c r="BG134" s="200">
        <f>+MAX(0,G134-BE134+AM134)</f>
        <v>467473</v>
      </c>
      <c r="BH134" s="359"/>
      <c r="BI134" s="200">
        <f>SUM(BE134:BG134)</f>
        <v>470919</v>
      </c>
      <c r="BJ134" s="359"/>
      <c r="BK134" s="405">
        <f>G134-BI134</f>
        <v>0</v>
      </c>
      <c r="BL134" s="217"/>
    </row>
    <row r="135" spans="1:64" s="200" customFormat="1" hidden="1">
      <c r="A135" s="216"/>
      <c r="B135" s="197" t="s">
        <v>1486</v>
      </c>
      <c r="C135" s="403"/>
      <c r="D135" s="403"/>
      <c r="E135" s="405">
        <v>80000</v>
      </c>
      <c r="F135" s="405">
        <v>80000</v>
      </c>
      <c r="G135" s="405">
        <v>80000</v>
      </c>
      <c r="H135" s="217"/>
      <c r="I135" s="405">
        <f>G135-E135</f>
        <v>0</v>
      </c>
      <c r="J135" s="217"/>
      <c r="K135" s="405">
        <v>0</v>
      </c>
      <c r="L135" s="405">
        <v>0</v>
      </c>
      <c r="M135" s="405">
        <v>0</v>
      </c>
      <c r="N135" s="405">
        <v>0</v>
      </c>
      <c r="O135" s="405">
        <v>0</v>
      </c>
      <c r="P135" s="405">
        <v>0</v>
      </c>
      <c r="Q135" s="405">
        <v>0</v>
      </c>
      <c r="R135" s="405">
        <v>0</v>
      </c>
      <c r="S135" s="405">
        <v>0</v>
      </c>
      <c r="T135" s="405">
        <v>0</v>
      </c>
      <c r="U135" s="405">
        <v>0</v>
      </c>
      <c r="V135" s="405">
        <v>0</v>
      </c>
      <c r="W135" s="405">
        <v>0</v>
      </c>
      <c r="X135" s="405">
        <v>0</v>
      </c>
      <c r="Y135" s="405">
        <v>0</v>
      </c>
      <c r="Z135" s="405">
        <v>0</v>
      </c>
      <c r="AA135" s="405">
        <v>0</v>
      </c>
      <c r="AB135" s="405"/>
      <c r="AC135" s="405">
        <v>0</v>
      </c>
      <c r="AD135" s="405"/>
      <c r="AE135" s="405">
        <v>0</v>
      </c>
      <c r="AF135" s="405"/>
      <c r="AG135" s="359">
        <v>0</v>
      </c>
      <c r="AH135" s="405"/>
      <c r="AI135" s="405">
        <v>0</v>
      </c>
      <c r="AJ135" s="405"/>
      <c r="AK135" s="359">
        <f>SUM(K135:AI135)</f>
        <v>0</v>
      </c>
      <c r="AL135" s="405"/>
      <c r="AM135" s="405"/>
      <c r="AN135" s="405"/>
      <c r="AO135" s="405">
        <v>0</v>
      </c>
      <c r="AP135" s="405"/>
      <c r="AQ135" s="405">
        <v>0</v>
      </c>
      <c r="AR135" s="405"/>
      <c r="AS135" s="405">
        <v>0</v>
      </c>
      <c r="AT135" s="405"/>
      <c r="AU135" s="405">
        <v>0</v>
      </c>
      <c r="AV135" s="405"/>
      <c r="AW135" s="405">
        <v>0</v>
      </c>
      <c r="AX135" s="405"/>
      <c r="AY135" s="405">
        <v>0</v>
      </c>
      <c r="AZ135" s="405"/>
      <c r="BA135" s="405">
        <v>0</v>
      </c>
      <c r="BB135" s="405"/>
      <c r="BC135" s="405">
        <v>0</v>
      </c>
      <c r="BD135" s="405">
        <v>0</v>
      </c>
      <c r="BE135" s="359">
        <f>SUM(AK135:BD135)</f>
        <v>0</v>
      </c>
      <c r="BF135" s="405"/>
      <c r="BG135" s="200">
        <f>+MAX(0,G135-BE135+AM135)</f>
        <v>80000</v>
      </c>
      <c r="BH135" s="359"/>
      <c r="BI135" s="200">
        <f>SUM(BE135:BG135)</f>
        <v>80000</v>
      </c>
      <c r="BJ135" s="359"/>
      <c r="BK135" s="405">
        <f>G135-BI135</f>
        <v>0</v>
      </c>
      <c r="BL135" s="217"/>
    </row>
    <row r="136" spans="1:64" s="200" customFormat="1" hidden="1">
      <c r="A136" s="216"/>
      <c r="B136" s="212" t="s">
        <v>1514</v>
      </c>
      <c r="C136" s="403"/>
      <c r="D136" s="403"/>
      <c r="E136" s="409">
        <f>SUM(E134:E135)</f>
        <v>550919</v>
      </c>
      <c r="F136" s="217"/>
      <c r="G136" s="409">
        <f>SUBTOTAL(9,G134:G135)</f>
        <v>550919</v>
      </c>
      <c r="H136" s="217"/>
      <c r="I136" s="409">
        <f t="shared" ref="I136:AE136" si="43">SUM(I134:I135)</f>
        <v>0</v>
      </c>
      <c r="J136" s="360">
        <f t="shared" si="43"/>
        <v>0</v>
      </c>
      <c r="K136" s="409">
        <f t="shared" si="43"/>
        <v>0</v>
      </c>
      <c r="L136" s="360">
        <f t="shared" si="43"/>
        <v>0</v>
      </c>
      <c r="M136" s="409">
        <f t="shared" si="43"/>
        <v>0</v>
      </c>
      <c r="N136" s="360">
        <f t="shared" si="43"/>
        <v>0</v>
      </c>
      <c r="O136" s="409">
        <f t="shared" si="43"/>
        <v>0</v>
      </c>
      <c r="P136" s="360">
        <f t="shared" si="43"/>
        <v>0</v>
      </c>
      <c r="Q136" s="409">
        <f t="shared" si="43"/>
        <v>0</v>
      </c>
      <c r="R136" s="360">
        <f t="shared" si="43"/>
        <v>0</v>
      </c>
      <c r="S136" s="409">
        <f t="shared" si="43"/>
        <v>0</v>
      </c>
      <c r="T136" s="360">
        <f t="shared" si="43"/>
        <v>0</v>
      </c>
      <c r="U136" s="409">
        <f t="shared" si="43"/>
        <v>0</v>
      </c>
      <c r="V136" s="360">
        <f t="shared" si="43"/>
        <v>0</v>
      </c>
      <c r="W136" s="409">
        <f t="shared" si="43"/>
        <v>0</v>
      </c>
      <c r="X136" s="360">
        <f t="shared" si="43"/>
        <v>0</v>
      </c>
      <c r="Y136" s="409">
        <f t="shared" si="43"/>
        <v>0</v>
      </c>
      <c r="Z136" s="360">
        <f t="shared" si="43"/>
        <v>0</v>
      </c>
      <c r="AA136" s="409">
        <f t="shared" si="43"/>
        <v>0</v>
      </c>
      <c r="AB136" s="360">
        <f t="shared" si="43"/>
        <v>0</v>
      </c>
      <c r="AC136" s="409">
        <f t="shared" si="43"/>
        <v>0</v>
      </c>
      <c r="AD136" s="360">
        <f t="shared" si="43"/>
        <v>0</v>
      </c>
      <c r="AE136" s="409">
        <f t="shared" si="43"/>
        <v>0</v>
      </c>
      <c r="AF136" s="360"/>
      <c r="AG136" s="409">
        <f>SUM(AG134:AG135)</f>
        <v>0</v>
      </c>
      <c r="AH136" s="360">
        <f>SUM(AH134:AH135)</f>
        <v>0</v>
      </c>
      <c r="AI136" s="409">
        <f>SUM(AI134:AI135)</f>
        <v>0</v>
      </c>
      <c r="AJ136" s="360"/>
      <c r="AK136" s="409">
        <f>SUM(AK134:AK135)</f>
        <v>0</v>
      </c>
      <c r="AL136" s="360">
        <f>SUM(AL134:AL135)</f>
        <v>0</v>
      </c>
      <c r="AM136" s="360">
        <f>SUM(AM134:AM135)</f>
        <v>0</v>
      </c>
      <c r="AN136" s="360">
        <f>SUM(AN134:AN135)</f>
        <v>0</v>
      </c>
      <c r="AO136" s="409">
        <f>SUM(AO134:AO135)</f>
        <v>3446</v>
      </c>
      <c r="AP136" s="360"/>
      <c r="AQ136" s="409">
        <f>SUM(AQ134:AQ135)</f>
        <v>0</v>
      </c>
      <c r="AR136" s="360"/>
      <c r="AS136" s="360">
        <f>SUM(AS134:AS135)</f>
        <v>0</v>
      </c>
      <c r="AT136" s="360"/>
      <c r="AU136" s="360">
        <f>SUM(AU134:AU135)</f>
        <v>0</v>
      </c>
      <c r="AV136" s="360"/>
      <c r="AW136" s="360">
        <f>SUM(AW134:AW135)</f>
        <v>0</v>
      </c>
      <c r="AX136" s="360"/>
      <c r="AY136" s="360">
        <f>SUM(AY134:AY135)</f>
        <v>0</v>
      </c>
      <c r="AZ136" s="360"/>
      <c r="BA136" s="360">
        <f>SUM(BA134:BA135)</f>
        <v>0</v>
      </c>
      <c r="BB136" s="360"/>
      <c r="BC136" s="360">
        <f>SUM(BC134:BC135)</f>
        <v>0</v>
      </c>
      <c r="BD136" s="360">
        <f>SUM(BD134:BD135)</f>
        <v>0</v>
      </c>
      <c r="BE136" s="409">
        <f>SUM(BE134:BE135)</f>
        <v>3446</v>
      </c>
      <c r="BF136" s="360"/>
      <c r="BG136" s="409">
        <f>SUM(BG134:BG135)</f>
        <v>547473</v>
      </c>
      <c r="BH136" s="360">
        <f>SUM(BH134:BH135)</f>
        <v>0</v>
      </c>
      <c r="BI136" s="409">
        <f>SUM(BI134:BI135)</f>
        <v>550919</v>
      </c>
      <c r="BJ136" s="360">
        <f>SUM(BJ134:BJ135)</f>
        <v>0</v>
      </c>
      <c r="BK136" s="409">
        <f>SUM(BK134:BK135)</f>
        <v>0</v>
      </c>
      <c r="BL136" s="217"/>
    </row>
    <row r="137" spans="1:64" s="200" customFormat="1" hidden="1">
      <c r="A137" s="216"/>
      <c r="B137" s="197"/>
      <c r="C137" s="403"/>
      <c r="D137" s="403"/>
      <c r="E137" s="360"/>
      <c r="F137" s="217"/>
      <c r="G137" s="360"/>
      <c r="H137" s="217"/>
      <c r="I137" s="360"/>
      <c r="J137" s="217"/>
      <c r="K137" s="360"/>
      <c r="L137" s="360"/>
      <c r="M137" s="360"/>
      <c r="N137" s="360"/>
      <c r="O137" s="360"/>
      <c r="P137" s="360"/>
      <c r="Q137" s="360"/>
      <c r="R137" s="360"/>
      <c r="S137" s="360"/>
      <c r="T137" s="360"/>
      <c r="U137" s="360"/>
      <c r="V137" s="360"/>
      <c r="W137" s="360"/>
      <c r="X137" s="360"/>
      <c r="Y137" s="360"/>
      <c r="Z137" s="360"/>
      <c r="AA137" s="360"/>
      <c r="AB137" s="360"/>
      <c r="AC137" s="360"/>
      <c r="AD137" s="360"/>
      <c r="AE137" s="360"/>
      <c r="AF137" s="360"/>
      <c r="AG137" s="360"/>
      <c r="AH137" s="360"/>
      <c r="AI137" s="360"/>
      <c r="AJ137" s="360"/>
      <c r="AK137" s="360"/>
      <c r="AL137" s="360"/>
      <c r="AM137" s="360"/>
      <c r="AN137" s="360"/>
      <c r="AO137" s="360"/>
      <c r="AP137" s="360"/>
      <c r="AQ137" s="360"/>
      <c r="AR137" s="360"/>
      <c r="AS137" s="360"/>
      <c r="AT137" s="360"/>
      <c r="AU137" s="360"/>
      <c r="AV137" s="360"/>
      <c r="AW137" s="360"/>
      <c r="AX137" s="360"/>
      <c r="AY137" s="360"/>
      <c r="AZ137" s="360"/>
      <c r="BA137" s="360"/>
      <c r="BB137" s="360"/>
      <c r="BC137" s="360"/>
      <c r="BD137" s="360"/>
      <c r="BE137" s="360"/>
      <c r="BF137" s="360"/>
      <c r="BG137" s="360"/>
      <c r="BH137" s="360"/>
      <c r="BI137" s="360"/>
      <c r="BJ137" s="360"/>
      <c r="BK137" s="360"/>
      <c r="BL137" s="217"/>
    </row>
    <row r="138" spans="1:64" s="222" customFormat="1" hidden="1">
      <c r="A138" s="340" t="s">
        <v>1495</v>
      </c>
      <c r="E138" s="361">
        <f>170512+125000</f>
        <v>295512</v>
      </c>
      <c r="F138" s="361">
        <f>170512+125000</f>
        <v>295512</v>
      </c>
      <c r="G138" s="361">
        <f>170512+125000</f>
        <v>295512</v>
      </c>
      <c r="H138" s="223"/>
      <c r="I138" s="361">
        <f>G138-E138</f>
        <v>0</v>
      </c>
      <c r="J138" s="361">
        <f>H138-F138</f>
        <v>-295512</v>
      </c>
      <c r="K138" s="361">
        <v>0</v>
      </c>
      <c r="L138" s="361">
        <v>0</v>
      </c>
      <c r="M138" s="361">
        <v>0</v>
      </c>
      <c r="N138" s="361">
        <v>0</v>
      </c>
      <c r="O138" s="361">
        <v>0</v>
      </c>
      <c r="P138" s="361">
        <v>0</v>
      </c>
      <c r="Q138" s="361">
        <v>0</v>
      </c>
      <c r="R138" s="361">
        <v>0</v>
      </c>
      <c r="S138" s="361">
        <v>0</v>
      </c>
      <c r="T138" s="361">
        <v>0</v>
      </c>
      <c r="U138" s="361">
        <v>0</v>
      </c>
      <c r="V138" s="361">
        <v>0</v>
      </c>
      <c r="W138" s="361">
        <v>0</v>
      </c>
      <c r="X138" s="361">
        <v>0</v>
      </c>
      <c r="Y138" s="361">
        <v>0</v>
      </c>
      <c r="Z138" s="361">
        <v>0</v>
      </c>
      <c r="AA138" s="361">
        <v>0</v>
      </c>
      <c r="AB138" s="361"/>
      <c r="AC138" s="361">
        <v>0</v>
      </c>
      <c r="AD138" s="361"/>
      <c r="AE138" s="361">
        <v>0</v>
      </c>
      <c r="AF138" s="361"/>
      <c r="AG138" s="361">
        <v>0</v>
      </c>
      <c r="AH138" s="361"/>
      <c r="AI138" s="361">
        <v>0</v>
      </c>
      <c r="AJ138" s="361"/>
      <c r="AK138" s="361">
        <f>SUM(K138:AI138)</f>
        <v>0</v>
      </c>
      <c r="AL138" s="361"/>
      <c r="AM138" s="361"/>
      <c r="AN138" s="361"/>
      <c r="AO138" s="361">
        <v>0</v>
      </c>
      <c r="AP138" s="361"/>
      <c r="AQ138" s="361">
        <v>0</v>
      </c>
      <c r="AR138" s="361"/>
      <c r="AS138" s="361">
        <v>0</v>
      </c>
      <c r="AT138" s="361"/>
      <c r="AU138" s="361">
        <v>0</v>
      </c>
      <c r="AV138" s="361"/>
      <c r="AW138" s="361">
        <v>0</v>
      </c>
      <c r="AX138" s="361"/>
      <c r="AY138" s="361">
        <v>0</v>
      </c>
      <c r="AZ138" s="361"/>
      <c r="BA138" s="361">
        <v>0</v>
      </c>
      <c r="BB138" s="361"/>
      <c r="BC138" s="361">
        <v>0</v>
      </c>
      <c r="BD138" s="361">
        <v>0</v>
      </c>
      <c r="BE138" s="361">
        <f>SUM(AK138:BD138)</f>
        <v>0</v>
      </c>
      <c r="BF138" s="361"/>
      <c r="BG138" s="222">
        <f>+MAX(0,G138-BE138+AM138)</f>
        <v>295512</v>
      </c>
      <c r="BH138" s="361"/>
      <c r="BI138" s="222">
        <f>SUM(BE138:BG138)</f>
        <v>295512</v>
      </c>
      <c r="BJ138" s="361"/>
      <c r="BK138" s="361">
        <f>G138-BI138</f>
        <v>0</v>
      </c>
      <c r="BL138" s="223"/>
    </row>
    <row r="139" spans="1:64" s="200" customFormat="1" hidden="1">
      <c r="A139" s="216"/>
      <c r="B139" s="197"/>
      <c r="C139" s="403"/>
      <c r="D139" s="403"/>
      <c r="E139" s="359"/>
      <c r="F139" s="217"/>
      <c r="G139" s="359"/>
      <c r="H139" s="217"/>
      <c r="I139" s="359"/>
      <c r="J139" s="217"/>
      <c r="K139" s="359"/>
      <c r="L139" s="359"/>
      <c r="M139" s="359"/>
      <c r="N139" s="359"/>
      <c r="O139" s="359"/>
      <c r="P139" s="359"/>
      <c r="Q139" s="359"/>
      <c r="R139" s="359"/>
      <c r="S139" s="359"/>
      <c r="T139" s="359"/>
      <c r="U139" s="359"/>
      <c r="V139" s="359"/>
      <c r="W139" s="359"/>
      <c r="X139" s="359"/>
      <c r="Y139" s="359"/>
      <c r="Z139" s="359"/>
      <c r="AA139" s="359"/>
      <c r="AB139" s="359"/>
      <c r="AC139" s="359"/>
      <c r="AD139" s="359"/>
      <c r="AE139" s="359"/>
      <c r="AF139" s="359"/>
      <c r="AG139" s="359"/>
      <c r="AH139" s="359"/>
      <c r="AI139" s="359"/>
      <c r="AJ139" s="359"/>
      <c r="AK139" s="359"/>
      <c r="AL139" s="359"/>
      <c r="AM139" s="359"/>
      <c r="AN139" s="359"/>
      <c r="AO139" s="359"/>
      <c r="AP139" s="359"/>
      <c r="AQ139" s="359"/>
      <c r="AR139" s="359"/>
      <c r="AS139" s="359"/>
      <c r="AT139" s="359"/>
      <c r="AU139" s="359"/>
      <c r="AV139" s="359"/>
      <c r="AW139" s="359"/>
      <c r="AX139" s="359"/>
      <c r="AY139" s="359"/>
      <c r="AZ139" s="359"/>
      <c r="BA139" s="359"/>
      <c r="BB139" s="359"/>
      <c r="BC139" s="359"/>
      <c r="BD139" s="359"/>
      <c r="BE139" s="359"/>
      <c r="BF139" s="359"/>
      <c r="BG139" s="359"/>
      <c r="BH139" s="359"/>
      <c r="BI139" s="359"/>
      <c r="BJ139" s="359"/>
      <c r="BK139" s="405"/>
      <c r="BL139" s="217"/>
    </row>
    <row r="140" spans="1:64" s="200" customFormat="1" hidden="1">
      <c r="A140" s="340" t="s">
        <v>1496</v>
      </c>
      <c r="C140" s="403"/>
      <c r="D140" s="403"/>
      <c r="E140" s="361"/>
      <c r="F140" s="217"/>
      <c r="G140" s="361"/>
      <c r="H140" s="217"/>
      <c r="I140" s="361"/>
      <c r="J140" s="217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61"/>
      <c r="Z140" s="361"/>
      <c r="AA140" s="361"/>
      <c r="AB140" s="361"/>
      <c r="AC140" s="361"/>
      <c r="AD140" s="361"/>
      <c r="AE140" s="361"/>
      <c r="AF140" s="361"/>
      <c r="AG140" s="361"/>
      <c r="AH140" s="361"/>
      <c r="AI140" s="361"/>
      <c r="AJ140" s="361"/>
      <c r="AK140" s="361"/>
      <c r="AL140" s="361"/>
      <c r="AM140" s="361"/>
      <c r="AN140" s="361"/>
      <c r="AO140" s="361"/>
      <c r="AP140" s="361"/>
      <c r="AQ140" s="361"/>
      <c r="AR140" s="361"/>
      <c r="AS140" s="361"/>
      <c r="AT140" s="361"/>
      <c r="AU140" s="361"/>
      <c r="AV140" s="361"/>
      <c r="AW140" s="361"/>
      <c r="AX140" s="361"/>
      <c r="AY140" s="361"/>
      <c r="AZ140" s="361"/>
      <c r="BA140" s="361"/>
      <c r="BB140" s="361"/>
      <c r="BC140" s="361"/>
      <c r="BD140" s="361"/>
      <c r="BE140" s="361"/>
      <c r="BF140" s="361"/>
      <c r="BG140" s="200">
        <f>+MAX(0,G140-BE140+AM140)</f>
        <v>0</v>
      </c>
      <c r="BH140" s="361"/>
      <c r="BI140" s="200">
        <f>SUM(BE140:BG140)</f>
        <v>0</v>
      </c>
      <c r="BJ140" s="361"/>
      <c r="BK140" s="361">
        <f>G140-BI140</f>
        <v>0</v>
      </c>
      <c r="BL140" s="217"/>
    </row>
    <row r="141" spans="1:64" s="200" customFormat="1" hidden="1">
      <c r="A141" s="216"/>
      <c r="B141" s="197" t="s">
        <v>1484</v>
      </c>
      <c r="C141" s="403"/>
      <c r="D141" s="403"/>
      <c r="E141" s="405">
        <v>0</v>
      </c>
      <c r="F141" s="405">
        <v>0</v>
      </c>
      <c r="G141" s="405">
        <v>0</v>
      </c>
      <c r="H141" s="217"/>
      <c r="I141" s="405">
        <f>G141-E141</f>
        <v>0</v>
      </c>
      <c r="J141" s="217"/>
      <c r="K141" s="405">
        <v>0</v>
      </c>
      <c r="L141" s="405">
        <v>0</v>
      </c>
      <c r="M141" s="405">
        <v>0</v>
      </c>
      <c r="N141" s="405">
        <v>0</v>
      </c>
      <c r="O141" s="405">
        <v>0</v>
      </c>
      <c r="P141" s="405">
        <v>0</v>
      </c>
      <c r="Q141" s="405">
        <v>0</v>
      </c>
      <c r="R141" s="405">
        <v>0</v>
      </c>
      <c r="S141" s="405">
        <v>0</v>
      </c>
      <c r="T141" s="405">
        <v>0</v>
      </c>
      <c r="U141" s="405">
        <v>0</v>
      </c>
      <c r="V141" s="405">
        <v>0</v>
      </c>
      <c r="W141" s="405">
        <v>0</v>
      </c>
      <c r="X141" s="405">
        <v>0</v>
      </c>
      <c r="Y141" s="405">
        <v>0</v>
      </c>
      <c r="Z141" s="405">
        <v>0</v>
      </c>
      <c r="AA141" s="405">
        <v>0</v>
      </c>
      <c r="AB141" s="405">
        <v>0</v>
      </c>
      <c r="AC141" s="405">
        <v>0</v>
      </c>
      <c r="AD141" s="405">
        <v>0</v>
      </c>
      <c r="AE141" s="405">
        <v>0</v>
      </c>
      <c r="AF141" s="405"/>
      <c r="AG141" s="405">
        <v>0</v>
      </c>
      <c r="AH141" s="405">
        <v>0</v>
      </c>
      <c r="AI141" s="405">
        <v>0</v>
      </c>
      <c r="AJ141" s="405"/>
      <c r="AK141" s="359">
        <f>SUM(K141:AI141)</f>
        <v>0</v>
      </c>
      <c r="AL141" s="405"/>
      <c r="AM141" s="405"/>
      <c r="AN141" s="405"/>
      <c r="AO141" s="405">
        <v>0</v>
      </c>
      <c r="AP141" s="405"/>
      <c r="AQ141" s="405">
        <v>0</v>
      </c>
      <c r="AR141" s="405"/>
      <c r="AS141" s="405">
        <v>0</v>
      </c>
      <c r="AT141" s="405"/>
      <c r="AU141" s="405">
        <v>0</v>
      </c>
      <c r="AV141" s="405"/>
      <c r="AW141" s="405">
        <v>0</v>
      </c>
      <c r="AX141" s="405"/>
      <c r="AY141" s="405">
        <v>0</v>
      </c>
      <c r="AZ141" s="405"/>
      <c r="BA141" s="405">
        <v>0</v>
      </c>
      <c r="BB141" s="405"/>
      <c r="BC141" s="405">
        <v>0</v>
      </c>
      <c r="BD141" s="405">
        <v>0</v>
      </c>
      <c r="BE141" s="359">
        <f>SUM(AK141:BD141)</f>
        <v>0</v>
      </c>
      <c r="BF141" s="405"/>
      <c r="BG141" s="200">
        <f>+MAX(0,G141-BE141+AM141)</f>
        <v>0</v>
      </c>
      <c r="BH141" s="359"/>
      <c r="BI141" s="200">
        <f>SUM(BE141:BG141)</f>
        <v>0</v>
      </c>
      <c r="BJ141" s="359"/>
      <c r="BK141" s="405">
        <f>G141-BI141</f>
        <v>0</v>
      </c>
      <c r="BL141" s="217"/>
    </row>
    <row r="142" spans="1:64" s="200" customFormat="1" hidden="1">
      <c r="A142" s="216"/>
      <c r="B142" s="197" t="s">
        <v>1497</v>
      </c>
      <c r="C142" s="403"/>
      <c r="D142" s="403"/>
      <c r="E142" s="405">
        <v>399485</v>
      </c>
      <c r="F142" s="405">
        <v>399485</v>
      </c>
      <c r="G142" s="405">
        <v>399485</v>
      </c>
      <c r="H142" s="217"/>
      <c r="I142" s="405">
        <f>G142-E142</f>
        <v>0</v>
      </c>
      <c r="J142" s="217"/>
      <c r="K142" s="405">
        <v>0</v>
      </c>
      <c r="L142" s="405">
        <v>0</v>
      </c>
      <c r="M142" s="405">
        <v>0</v>
      </c>
      <c r="N142" s="405">
        <v>0</v>
      </c>
      <c r="O142" s="405">
        <v>0</v>
      </c>
      <c r="P142" s="405">
        <v>0</v>
      </c>
      <c r="Q142" s="405">
        <v>0</v>
      </c>
      <c r="R142" s="405">
        <v>0</v>
      </c>
      <c r="S142" s="405">
        <v>0</v>
      </c>
      <c r="T142" s="405">
        <v>0</v>
      </c>
      <c r="U142" s="405">
        <v>0</v>
      </c>
      <c r="V142" s="405">
        <v>0</v>
      </c>
      <c r="W142" s="405">
        <v>0</v>
      </c>
      <c r="X142" s="405">
        <v>0</v>
      </c>
      <c r="Y142" s="405">
        <v>0</v>
      </c>
      <c r="Z142" s="405">
        <v>0</v>
      </c>
      <c r="AA142" s="405">
        <v>0</v>
      </c>
      <c r="AB142" s="405">
        <v>0</v>
      </c>
      <c r="AC142" s="405">
        <v>0</v>
      </c>
      <c r="AD142" s="405">
        <v>0</v>
      </c>
      <c r="AE142" s="405">
        <v>0</v>
      </c>
      <c r="AF142" s="405"/>
      <c r="AG142" s="405">
        <v>0</v>
      </c>
      <c r="AH142" s="405">
        <v>0</v>
      </c>
      <c r="AI142" s="405">
        <v>0</v>
      </c>
      <c r="AJ142" s="405"/>
      <c r="AK142" s="359">
        <f>SUM(K142:AI142)</f>
        <v>0</v>
      </c>
      <c r="AL142" s="405"/>
      <c r="AM142" s="405"/>
      <c r="AN142" s="405"/>
      <c r="AO142" s="405">
        <v>0</v>
      </c>
      <c r="AP142" s="405"/>
      <c r="AQ142" s="405">
        <v>0</v>
      </c>
      <c r="AR142" s="405"/>
      <c r="AS142" s="405">
        <v>0</v>
      </c>
      <c r="AT142" s="405"/>
      <c r="AU142" s="405">
        <v>0</v>
      </c>
      <c r="AV142" s="405"/>
      <c r="AW142" s="405">
        <v>0</v>
      </c>
      <c r="AX142" s="405"/>
      <c r="AY142" s="405">
        <v>0</v>
      </c>
      <c r="AZ142" s="405"/>
      <c r="BA142" s="405">
        <v>0</v>
      </c>
      <c r="BB142" s="405"/>
      <c r="BC142" s="405">
        <v>0</v>
      </c>
      <c r="BD142" s="405">
        <v>0</v>
      </c>
      <c r="BE142" s="359">
        <f>SUM(AK142:BD142)</f>
        <v>0</v>
      </c>
      <c r="BF142" s="405"/>
      <c r="BG142" s="200">
        <f>+MAX(0,G142-BE142+AM142)</f>
        <v>399485</v>
      </c>
      <c r="BH142" s="359"/>
      <c r="BI142" s="200">
        <f>SUM(BE142:BG142)</f>
        <v>399485</v>
      </c>
      <c r="BJ142" s="359"/>
      <c r="BK142" s="405">
        <f>G142-BI142</f>
        <v>0</v>
      </c>
      <c r="BL142" s="217"/>
    </row>
    <row r="143" spans="1:64" s="200" customFormat="1" hidden="1">
      <c r="A143" s="216"/>
      <c r="B143" s="212" t="s">
        <v>1515</v>
      </c>
      <c r="C143" s="403"/>
      <c r="D143" s="403"/>
      <c r="E143" s="409">
        <f>SUM(E141:E142)</f>
        <v>399485</v>
      </c>
      <c r="F143" s="217"/>
      <c r="G143" s="409">
        <f>SUBTOTAL(9,G141:G142)</f>
        <v>399485</v>
      </c>
      <c r="H143" s="217"/>
      <c r="I143" s="409">
        <f t="shared" ref="I143:AD143" si="44">SUM(I141:I142)</f>
        <v>0</v>
      </c>
      <c r="J143" s="360">
        <f t="shared" si="44"/>
        <v>0</v>
      </c>
      <c r="K143" s="409">
        <f t="shared" si="44"/>
        <v>0</v>
      </c>
      <c r="L143" s="360">
        <f t="shared" si="44"/>
        <v>0</v>
      </c>
      <c r="M143" s="409">
        <f t="shared" si="44"/>
        <v>0</v>
      </c>
      <c r="N143" s="360">
        <f t="shared" si="44"/>
        <v>0</v>
      </c>
      <c r="O143" s="409">
        <f t="shared" si="44"/>
        <v>0</v>
      </c>
      <c r="P143" s="360">
        <f t="shared" si="44"/>
        <v>0</v>
      </c>
      <c r="Q143" s="409">
        <f t="shared" si="44"/>
        <v>0</v>
      </c>
      <c r="R143" s="360">
        <f t="shared" si="44"/>
        <v>0</v>
      </c>
      <c r="S143" s="409">
        <f t="shared" si="44"/>
        <v>0</v>
      </c>
      <c r="T143" s="360">
        <f t="shared" si="44"/>
        <v>0</v>
      </c>
      <c r="U143" s="409">
        <f t="shared" si="44"/>
        <v>0</v>
      </c>
      <c r="V143" s="360">
        <f t="shared" si="44"/>
        <v>0</v>
      </c>
      <c r="W143" s="409">
        <f t="shared" si="44"/>
        <v>0</v>
      </c>
      <c r="X143" s="360">
        <f t="shared" si="44"/>
        <v>0</v>
      </c>
      <c r="Y143" s="409">
        <f t="shared" si="44"/>
        <v>0</v>
      </c>
      <c r="Z143" s="360">
        <f t="shared" si="44"/>
        <v>0</v>
      </c>
      <c r="AA143" s="409">
        <f t="shared" si="44"/>
        <v>0</v>
      </c>
      <c r="AB143" s="360">
        <f t="shared" si="44"/>
        <v>0</v>
      </c>
      <c r="AC143" s="409">
        <f t="shared" si="44"/>
        <v>0</v>
      </c>
      <c r="AD143" s="360">
        <f t="shared" si="44"/>
        <v>0</v>
      </c>
      <c r="AE143" s="409">
        <v>0</v>
      </c>
      <c r="AF143" s="360"/>
      <c r="AG143" s="409">
        <v>0</v>
      </c>
      <c r="AH143" s="360">
        <f>SUM(AH141:AH142)</f>
        <v>0</v>
      </c>
      <c r="AI143" s="409">
        <f>SUM(AI141:AI142)</f>
        <v>0</v>
      </c>
      <c r="AJ143" s="360"/>
      <c r="AK143" s="409">
        <f>SUM(AK141:AK142)</f>
        <v>0</v>
      </c>
      <c r="AL143" s="360">
        <f>SUM(AL141:AL142)</f>
        <v>0</v>
      </c>
      <c r="AM143" s="360">
        <f>SUM(AM141:AM142)</f>
        <v>0</v>
      </c>
      <c r="AN143" s="360">
        <f>SUM(AN141:AN142)</f>
        <v>0</v>
      </c>
      <c r="AO143" s="409">
        <f>SUM(AO141:AO142)</f>
        <v>0</v>
      </c>
      <c r="AP143" s="360"/>
      <c r="AQ143" s="409">
        <f>SUM(AQ141:AQ142)</f>
        <v>0</v>
      </c>
      <c r="AR143" s="360"/>
      <c r="AS143" s="360">
        <f>SUM(AS141:AS142)</f>
        <v>0</v>
      </c>
      <c r="AT143" s="360"/>
      <c r="AU143" s="360">
        <f>SUM(AU141:AU142)</f>
        <v>0</v>
      </c>
      <c r="AV143" s="360"/>
      <c r="AW143" s="360">
        <f>SUM(AW141:AW142)</f>
        <v>0</v>
      </c>
      <c r="AX143" s="360"/>
      <c r="AY143" s="360">
        <f>SUM(AY141:AY142)</f>
        <v>0</v>
      </c>
      <c r="AZ143" s="360"/>
      <c r="BA143" s="360">
        <f>SUM(BA141:BA142)</f>
        <v>0</v>
      </c>
      <c r="BB143" s="360"/>
      <c r="BC143" s="360">
        <f>SUM(BC141:BC142)</f>
        <v>0</v>
      </c>
      <c r="BD143" s="360">
        <f>SUM(BD141:BD142)</f>
        <v>0</v>
      </c>
      <c r="BE143" s="409">
        <f>SUM(BE141:BE142)</f>
        <v>0</v>
      </c>
      <c r="BF143" s="360"/>
      <c r="BG143" s="409">
        <f t="shared" ref="BG143:BL143" si="45">SUM(BG141:BG142)</f>
        <v>399485</v>
      </c>
      <c r="BH143" s="360">
        <f t="shared" si="45"/>
        <v>0</v>
      </c>
      <c r="BI143" s="409">
        <f t="shared" si="45"/>
        <v>399485</v>
      </c>
      <c r="BJ143" s="360">
        <f t="shared" si="45"/>
        <v>0</v>
      </c>
      <c r="BK143" s="409">
        <f t="shared" si="45"/>
        <v>0</v>
      </c>
      <c r="BL143" s="360">
        <f t="shared" si="45"/>
        <v>0</v>
      </c>
    </row>
    <row r="144" spans="1:64" s="200" customFormat="1" hidden="1">
      <c r="A144" s="216"/>
      <c r="B144" s="197"/>
      <c r="C144" s="403"/>
      <c r="D144" s="403"/>
      <c r="E144" s="359"/>
      <c r="F144" s="217"/>
      <c r="G144" s="359"/>
      <c r="H144" s="217"/>
      <c r="I144" s="359"/>
      <c r="J144" s="217"/>
      <c r="K144" s="359"/>
      <c r="L144" s="359"/>
      <c r="M144" s="359"/>
      <c r="N144" s="359"/>
      <c r="O144" s="359"/>
      <c r="P144" s="359"/>
      <c r="Q144" s="359"/>
      <c r="R144" s="359"/>
      <c r="S144" s="359"/>
      <c r="T144" s="359"/>
      <c r="U144" s="359"/>
      <c r="V144" s="359"/>
      <c r="W144" s="359"/>
      <c r="X144" s="359"/>
      <c r="Y144" s="359"/>
      <c r="Z144" s="359"/>
      <c r="AA144" s="359"/>
      <c r="AB144" s="359"/>
      <c r="AC144" s="359"/>
      <c r="AD144" s="359"/>
      <c r="AE144" s="359"/>
      <c r="AF144" s="359"/>
      <c r="AG144" s="359"/>
      <c r="AH144" s="359"/>
      <c r="AI144" s="359"/>
      <c r="AJ144" s="359"/>
      <c r="AK144" s="359"/>
      <c r="AL144" s="359"/>
      <c r="AM144" s="359"/>
      <c r="AN144" s="359"/>
      <c r="AO144" s="359"/>
      <c r="AP144" s="359"/>
      <c r="AQ144" s="359"/>
      <c r="AR144" s="359"/>
      <c r="AS144" s="359"/>
      <c r="AT144" s="359"/>
      <c r="AU144" s="359"/>
      <c r="AV144" s="359"/>
      <c r="AW144" s="359"/>
      <c r="AX144" s="359"/>
      <c r="AY144" s="359"/>
      <c r="AZ144" s="359"/>
      <c r="BA144" s="359"/>
      <c r="BB144" s="359"/>
      <c r="BC144" s="359"/>
      <c r="BD144" s="359"/>
      <c r="BE144" s="359"/>
      <c r="BF144" s="359"/>
      <c r="BG144" s="359"/>
      <c r="BH144" s="359"/>
      <c r="BI144" s="359"/>
      <c r="BJ144" s="359"/>
      <c r="BK144" s="405"/>
      <c r="BL144" s="217"/>
    </row>
    <row r="145" spans="1:64" s="200" customFormat="1" hidden="1">
      <c r="A145" s="340" t="s">
        <v>1498</v>
      </c>
      <c r="C145" s="403"/>
      <c r="D145" s="403"/>
      <c r="E145" s="361"/>
      <c r="F145" s="217"/>
      <c r="G145" s="361"/>
      <c r="H145" s="217"/>
      <c r="I145" s="361"/>
      <c r="J145" s="217"/>
      <c r="K145" s="361"/>
      <c r="L145" s="361"/>
      <c r="M145" s="361"/>
      <c r="N145" s="361"/>
      <c r="O145" s="361"/>
      <c r="P145" s="361"/>
      <c r="Q145" s="361"/>
      <c r="R145" s="361"/>
      <c r="S145" s="361"/>
      <c r="T145" s="361"/>
      <c r="U145" s="361"/>
      <c r="V145" s="361"/>
      <c r="W145" s="361"/>
      <c r="X145" s="361"/>
      <c r="Y145" s="361"/>
      <c r="Z145" s="361"/>
      <c r="AA145" s="361"/>
      <c r="AB145" s="361"/>
      <c r="AC145" s="361"/>
      <c r="AD145" s="361"/>
      <c r="AE145" s="361"/>
      <c r="AF145" s="361"/>
      <c r="AG145" s="361"/>
      <c r="AH145" s="361"/>
      <c r="AI145" s="361"/>
      <c r="AJ145" s="361"/>
      <c r="AK145" s="361"/>
      <c r="AL145" s="361"/>
      <c r="AM145" s="361"/>
      <c r="AN145" s="361"/>
      <c r="AO145" s="361"/>
      <c r="AP145" s="361"/>
      <c r="AQ145" s="361"/>
      <c r="AR145" s="361"/>
      <c r="AS145" s="361"/>
      <c r="AT145" s="361"/>
      <c r="AU145" s="361"/>
      <c r="AV145" s="361"/>
      <c r="AW145" s="361"/>
      <c r="AX145" s="361"/>
      <c r="AY145" s="361"/>
      <c r="AZ145" s="361"/>
      <c r="BA145" s="361"/>
      <c r="BB145" s="361"/>
      <c r="BC145" s="361"/>
      <c r="BD145" s="361"/>
      <c r="BE145" s="361"/>
      <c r="BF145" s="361"/>
      <c r="BG145" s="361"/>
      <c r="BH145" s="361"/>
      <c r="BI145" s="361"/>
      <c r="BJ145" s="361"/>
      <c r="BK145" s="361"/>
      <c r="BL145" s="217"/>
    </row>
    <row r="146" spans="1:64" s="200" customFormat="1" hidden="1">
      <c r="A146" s="216"/>
      <c r="B146" s="197" t="s">
        <v>1484</v>
      </c>
      <c r="C146" s="403"/>
      <c r="D146" s="403"/>
      <c r="E146" s="405">
        <v>881025</v>
      </c>
      <c r="F146" s="405">
        <v>858573</v>
      </c>
      <c r="G146" s="405">
        <v>881025</v>
      </c>
      <c r="H146" s="217"/>
      <c r="I146" s="405">
        <f>G146-E146</f>
        <v>0</v>
      </c>
      <c r="J146" s="217"/>
      <c r="K146" s="405">
        <v>0</v>
      </c>
      <c r="L146" s="405">
        <v>0</v>
      </c>
      <c r="M146" s="405">
        <v>0</v>
      </c>
      <c r="N146" s="405">
        <v>0</v>
      </c>
      <c r="O146" s="405">
        <v>0</v>
      </c>
      <c r="P146" s="405">
        <v>0</v>
      </c>
      <c r="Q146" s="405">
        <v>0</v>
      </c>
      <c r="R146" s="405">
        <v>0</v>
      </c>
      <c r="S146" s="405">
        <v>0</v>
      </c>
      <c r="T146" s="405">
        <v>0</v>
      </c>
      <c r="U146" s="405">
        <v>0</v>
      </c>
      <c r="V146" s="405">
        <v>0</v>
      </c>
      <c r="W146" s="405">
        <v>0</v>
      </c>
      <c r="X146" s="405">
        <v>0</v>
      </c>
      <c r="Y146" s="405">
        <v>0</v>
      </c>
      <c r="Z146" s="405">
        <v>0</v>
      </c>
      <c r="AA146" s="405">
        <v>0</v>
      </c>
      <c r="AB146" s="405"/>
      <c r="AC146" s="405">
        <v>0</v>
      </c>
      <c r="AD146" s="405"/>
      <c r="AE146" s="405">
        <v>0</v>
      </c>
      <c r="AF146" s="405"/>
      <c r="AG146" s="359">
        <v>0</v>
      </c>
      <c r="AH146" s="405"/>
      <c r="AI146" s="405">
        <v>0</v>
      </c>
      <c r="AJ146" s="405"/>
      <c r="AK146" s="359">
        <f>SUM(K146:AI146)</f>
        <v>0</v>
      </c>
      <c r="AL146" s="405"/>
      <c r="AM146" s="405"/>
      <c r="AN146" s="405"/>
      <c r="AO146" s="405">
        <f>31324</f>
        <v>31324</v>
      </c>
      <c r="AP146" s="405"/>
      <c r="AQ146" s="405">
        <v>0</v>
      </c>
      <c r="AR146" s="405"/>
      <c r="AS146" s="405">
        <v>0</v>
      </c>
      <c r="AT146" s="405"/>
      <c r="AU146" s="405">
        <v>0</v>
      </c>
      <c r="AV146" s="405"/>
      <c r="AW146" s="405">
        <v>0</v>
      </c>
      <c r="AX146" s="405"/>
      <c r="AY146" s="405">
        <v>0</v>
      </c>
      <c r="AZ146" s="405"/>
      <c r="BA146" s="405">
        <v>0</v>
      </c>
      <c r="BB146" s="405"/>
      <c r="BC146" s="405">
        <v>0</v>
      </c>
      <c r="BD146" s="405">
        <v>0</v>
      </c>
      <c r="BE146" s="359">
        <f>SUM(AK146:BD146)</f>
        <v>31324</v>
      </c>
      <c r="BF146" s="405"/>
      <c r="BG146" s="200">
        <f>+MAX(0,G146-BE146+AM146)</f>
        <v>849701</v>
      </c>
      <c r="BH146" s="359"/>
      <c r="BI146" s="200">
        <f>SUM(BE146:BG146)</f>
        <v>881025</v>
      </c>
      <c r="BJ146" s="359"/>
      <c r="BK146" s="405">
        <f>G146-BI146</f>
        <v>0</v>
      </c>
      <c r="BL146" s="217"/>
    </row>
    <row r="147" spans="1:64" s="200" customFormat="1" hidden="1">
      <c r="A147" s="216"/>
      <c r="B147" s="197" t="s">
        <v>1486</v>
      </c>
      <c r="C147" s="403"/>
      <c r="D147" s="403"/>
      <c r="E147" s="405">
        <v>941930</v>
      </c>
      <c r="F147" s="405">
        <v>941930</v>
      </c>
      <c r="G147" s="405">
        <v>941930</v>
      </c>
      <c r="H147" s="217"/>
      <c r="I147" s="405">
        <f>G147-E147</f>
        <v>0</v>
      </c>
      <c r="J147" s="217"/>
      <c r="K147" s="405">
        <v>0</v>
      </c>
      <c r="L147" s="405">
        <v>0</v>
      </c>
      <c r="M147" s="405">
        <v>0</v>
      </c>
      <c r="N147" s="405">
        <v>0</v>
      </c>
      <c r="O147" s="405">
        <v>0</v>
      </c>
      <c r="P147" s="405">
        <v>0</v>
      </c>
      <c r="Q147" s="405">
        <v>0</v>
      </c>
      <c r="R147" s="405">
        <v>0</v>
      </c>
      <c r="S147" s="405">
        <v>0</v>
      </c>
      <c r="T147" s="405">
        <v>0</v>
      </c>
      <c r="U147" s="405">
        <v>0</v>
      </c>
      <c r="V147" s="405">
        <v>0</v>
      </c>
      <c r="W147" s="405">
        <v>0</v>
      </c>
      <c r="X147" s="405">
        <v>0</v>
      </c>
      <c r="Y147" s="405">
        <v>0</v>
      </c>
      <c r="Z147" s="405">
        <v>0</v>
      </c>
      <c r="AA147" s="405">
        <v>0</v>
      </c>
      <c r="AB147" s="405"/>
      <c r="AC147" s="405">
        <v>0</v>
      </c>
      <c r="AD147" s="405"/>
      <c r="AE147" s="405">
        <v>0</v>
      </c>
      <c r="AF147" s="405"/>
      <c r="AG147" s="359">
        <v>0</v>
      </c>
      <c r="AH147" s="405"/>
      <c r="AI147" s="405">
        <v>0</v>
      </c>
      <c r="AJ147" s="405"/>
      <c r="AK147" s="359">
        <f>SUM(K147:AI147)</f>
        <v>0</v>
      </c>
      <c r="AL147" s="405"/>
      <c r="AM147" s="405"/>
      <c r="AN147" s="405"/>
      <c r="AO147" s="405">
        <v>4633</v>
      </c>
      <c r="AP147" s="405"/>
      <c r="AQ147" s="405">
        <v>0</v>
      </c>
      <c r="AR147" s="405"/>
      <c r="AS147" s="405">
        <v>0</v>
      </c>
      <c r="AT147" s="405"/>
      <c r="AU147" s="405">
        <v>0</v>
      </c>
      <c r="AV147" s="405"/>
      <c r="AW147" s="405">
        <v>0</v>
      </c>
      <c r="AX147" s="405"/>
      <c r="AY147" s="405">
        <v>0</v>
      </c>
      <c r="AZ147" s="405"/>
      <c r="BA147" s="405">
        <v>0</v>
      </c>
      <c r="BB147" s="405"/>
      <c r="BC147" s="405">
        <v>0</v>
      </c>
      <c r="BD147" s="405">
        <v>0</v>
      </c>
      <c r="BE147" s="359">
        <f>SUM(AK147:BD147)</f>
        <v>4633</v>
      </c>
      <c r="BF147" s="405"/>
      <c r="BG147" s="200">
        <f>+MAX(0,G147-BE147+AM147)</f>
        <v>937297</v>
      </c>
      <c r="BH147" s="359"/>
      <c r="BI147" s="200">
        <f>SUM(BE147:BG147)</f>
        <v>941930</v>
      </c>
      <c r="BJ147" s="359"/>
      <c r="BK147" s="405">
        <f>G147-BI147</f>
        <v>0</v>
      </c>
      <c r="BL147" s="217"/>
    </row>
    <row r="148" spans="1:64" s="200" customFormat="1" hidden="1">
      <c r="A148" s="216"/>
      <c r="B148" s="212" t="s">
        <v>1516</v>
      </c>
      <c r="C148" s="403"/>
      <c r="D148" s="403"/>
      <c r="E148" s="409">
        <f>SUM(E146:E147)</f>
        <v>1822955</v>
      </c>
      <c r="F148" s="217"/>
      <c r="G148" s="409">
        <f>SUBTOTAL(9,G146:G147)</f>
        <v>1822955</v>
      </c>
      <c r="H148" s="217"/>
      <c r="I148" s="409">
        <f t="shared" ref="I148:AD148" si="46">SUM(I146:I147)</f>
        <v>0</v>
      </c>
      <c r="J148" s="360">
        <f t="shared" si="46"/>
        <v>0</v>
      </c>
      <c r="K148" s="409">
        <f t="shared" si="46"/>
        <v>0</v>
      </c>
      <c r="L148" s="360">
        <f t="shared" si="46"/>
        <v>0</v>
      </c>
      <c r="M148" s="409">
        <f t="shared" si="46"/>
        <v>0</v>
      </c>
      <c r="N148" s="360">
        <f t="shared" si="46"/>
        <v>0</v>
      </c>
      <c r="O148" s="409">
        <f t="shared" si="46"/>
        <v>0</v>
      </c>
      <c r="P148" s="360">
        <f t="shared" si="46"/>
        <v>0</v>
      </c>
      <c r="Q148" s="409">
        <f t="shared" si="46"/>
        <v>0</v>
      </c>
      <c r="R148" s="360">
        <f t="shared" si="46"/>
        <v>0</v>
      </c>
      <c r="S148" s="409">
        <f t="shared" si="46"/>
        <v>0</v>
      </c>
      <c r="T148" s="360">
        <f t="shared" si="46"/>
        <v>0</v>
      </c>
      <c r="U148" s="409">
        <f t="shared" si="46"/>
        <v>0</v>
      </c>
      <c r="V148" s="360">
        <f t="shared" si="46"/>
        <v>0</v>
      </c>
      <c r="W148" s="409">
        <f t="shared" si="46"/>
        <v>0</v>
      </c>
      <c r="X148" s="360">
        <f t="shared" si="46"/>
        <v>0</v>
      </c>
      <c r="Y148" s="409">
        <f t="shared" si="46"/>
        <v>0</v>
      </c>
      <c r="Z148" s="360">
        <f t="shared" si="46"/>
        <v>0</v>
      </c>
      <c r="AA148" s="409">
        <f t="shared" si="46"/>
        <v>0</v>
      </c>
      <c r="AB148" s="360">
        <f t="shared" si="46"/>
        <v>0</v>
      </c>
      <c r="AC148" s="409">
        <f t="shared" si="46"/>
        <v>0</v>
      </c>
      <c r="AD148" s="360">
        <f t="shared" si="46"/>
        <v>0</v>
      </c>
      <c r="AE148" s="409">
        <v>0</v>
      </c>
      <c r="AF148" s="360"/>
      <c r="AG148" s="409">
        <f>SUM(AG146:AG147)</f>
        <v>0</v>
      </c>
      <c r="AH148" s="360">
        <f>SUM(AH146:AH147)</f>
        <v>0</v>
      </c>
      <c r="AI148" s="409">
        <f>SUM(AI146:AI147)</f>
        <v>0</v>
      </c>
      <c r="AJ148" s="360"/>
      <c r="AK148" s="409">
        <f>SUM(AK146:AK147)</f>
        <v>0</v>
      </c>
      <c r="AL148" s="360">
        <f>SUM(AL146:AL147)</f>
        <v>0</v>
      </c>
      <c r="AM148" s="360">
        <f>SUM(AM146:AM147)</f>
        <v>0</v>
      </c>
      <c r="AN148" s="360">
        <f>SUM(AN146:AN147)</f>
        <v>0</v>
      </c>
      <c r="AO148" s="409">
        <f>SUM(AO146:AO147)</f>
        <v>35957</v>
      </c>
      <c r="AP148" s="360"/>
      <c r="AQ148" s="409">
        <f>SUM(AQ146:AQ147)</f>
        <v>0</v>
      </c>
      <c r="AR148" s="360"/>
      <c r="AS148" s="360">
        <f>SUM(AS146:AS147)</f>
        <v>0</v>
      </c>
      <c r="AT148" s="360"/>
      <c r="AU148" s="360">
        <f>SUM(AU146:AU147)</f>
        <v>0</v>
      </c>
      <c r="AV148" s="360"/>
      <c r="AW148" s="360">
        <f>SUM(AW146:AW147)</f>
        <v>0</v>
      </c>
      <c r="AX148" s="360"/>
      <c r="AY148" s="360">
        <f>SUM(AY146:AY147)</f>
        <v>0</v>
      </c>
      <c r="AZ148" s="360"/>
      <c r="BA148" s="360">
        <f>SUM(BA146:BA147)</f>
        <v>0</v>
      </c>
      <c r="BB148" s="360"/>
      <c r="BC148" s="360">
        <f>SUM(BC146:BC147)</f>
        <v>0</v>
      </c>
      <c r="BD148" s="360">
        <f>SUM(BD146:BD147)</f>
        <v>0</v>
      </c>
      <c r="BE148" s="409">
        <f>SUM(BE146:BE147)</f>
        <v>35957</v>
      </c>
      <c r="BF148" s="360"/>
      <c r="BG148" s="409">
        <f t="shared" ref="BG148:BL148" si="47">SUM(BG146:BG147)</f>
        <v>1786998</v>
      </c>
      <c r="BH148" s="360">
        <f t="shared" si="47"/>
        <v>0</v>
      </c>
      <c r="BI148" s="409">
        <f t="shared" si="47"/>
        <v>1822955</v>
      </c>
      <c r="BJ148" s="360">
        <f t="shared" si="47"/>
        <v>0</v>
      </c>
      <c r="BK148" s="409">
        <f t="shared" si="47"/>
        <v>0</v>
      </c>
      <c r="BL148" s="409">
        <f t="shared" si="47"/>
        <v>0</v>
      </c>
    </row>
    <row r="149" spans="1:64" s="200" customFormat="1" hidden="1">
      <c r="A149" s="216"/>
      <c r="B149" s="197"/>
      <c r="C149" s="403"/>
      <c r="D149" s="403"/>
      <c r="E149" s="359"/>
      <c r="F149" s="217"/>
      <c r="G149" s="359"/>
      <c r="H149" s="217"/>
      <c r="I149" s="359"/>
      <c r="J149" s="217"/>
      <c r="K149" s="359"/>
      <c r="L149" s="359"/>
      <c r="M149" s="359"/>
      <c r="N149" s="359"/>
      <c r="O149" s="359"/>
      <c r="P149" s="359"/>
      <c r="Q149" s="359"/>
      <c r="R149" s="359"/>
      <c r="S149" s="359"/>
      <c r="T149" s="359"/>
      <c r="U149" s="359"/>
      <c r="V149" s="359"/>
      <c r="W149" s="359"/>
      <c r="X149" s="359"/>
      <c r="Y149" s="359"/>
      <c r="Z149" s="359"/>
      <c r="AA149" s="359"/>
      <c r="AB149" s="359"/>
      <c r="AC149" s="359"/>
      <c r="AD149" s="359"/>
      <c r="AE149" s="359"/>
      <c r="AF149" s="359"/>
      <c r="AG149" s="359"/>
      <c r="AH149" s="359"/>
      <c r="AI149" s="359"/>
      <c r="AJ149" s="359"/>
      <c r="AK149" s="359"/>
      <c r="AL149" s="359"/>
      <c r="AM149" s="359"/>
      <c r="AN149" s="359"/>
      <c r="AO149" s="359"/>
      <c r="AP149" s="359"/>
      <c r="AQ149" s="359"/>
      <c r="AR149" s="359"/>
      <c r="AS149" s="359"/>
      <c r="AT149" s="359"/>
      <c r="AU149" s="359"/>
      <c r="AV149" s="359"/>
      <c r="AW149" s="359"/>
      <c r="AX149" s="359"/>
      <c r="AY149" s="359"/>
      <c r="AZ149" s="359"/>
      <c r="BA149" s="359"/>
      <c r="BB149" s="359"/>
      <c r="BC149" s="359"/>
      <c r="BD149" s="359"/>
      <c r="BE149" s="359"/>
      <c r="BF149" s="359"/>
      <c r="BG149" s="359"/>
      <c r="BH149" s="359"/>
      <c r="BI149" s="359"/>
      <c r="BJ149" s="359"/>
      <c r="BK149" s="405"/>
      <c r="BL149" s="217"/>
    </row>
    <row r="150" spans="1:64" s="222" customFormat="1" hidden="1">
      <c r="A150" s="340" t="s">
        <v>1499</v>
      </c>
      <c r="E150" s="361">
        <v>0</v>
      </c>
      <c r="F150" s="361">
        <v>0</v>
      </c>
      <c r="G150" s="361">
        <v>0</v>
      </c>
      <c r="H150" s="223"/>
      <c r="I150" s="361">
        <f>G150-E150</f>
        <v>0</v>
      </c>
      <c r="J150" s="223"/>
      <c r="K150" s="361">
        <v>0</v>
      </c>
      <c r="L150" s="361">
        <v>0</v>
      </c>
      <c r="M150" s="361">
        <v>0</v>
      </c>
      <c r="N150" s="361">
        <v>0</v>
      </c>
      <c r="O150" s="361">
        <v>0</v>
      </c>
      <c r="P150" s="361">
        <v>0</v>
      </c>
      <c r="Q150" s="361">
        <v>0</v>
      </c>
      <c r="R150" s="361">
        <v>0</v>
      </c>
      <c r="S150" s="361">
        <v>0</v>
      </c>
      <c r="T150" s="361">
        <v>0</v>
      </c>
      <c r="U150" s="361">
        <v>0</v>
      </c>
      <c r="V150" s="361">
        <v>0</v>
      </c>
      <c r="W150" s="361">
        <v>0</v>
      </c>
      <c r="X150" s="361">
        <v>0</v>
      </c>
      <c r="Y150" s="361">
        <v>0</v>
      </c>
      <c r="Z150" s="361">
        <v>0</v>
      </c>
      <c r="AA150" s="361">
        <v>0</v>
      </c>
      <c r="AB150" s="361"/>
      <c r="AC150" s="361">
        <v>0</v>
      </c>
      <c r="AD150" s="361"/>
      <c r="AE150" s="361">
        <v>0</v>
      </c>
      <c r="AF150" s="361"/>
      <c r="AG150" s="361">
        <v>0</v>
      </c>
      <c r="AH150" s="361"/>
      <c r="AI150" s="361"/>
      <c r="AJ150" s="361"/>
      <c r="AK150" s="361">
        <f>SUM(K150:AI150)</f>
        <v>0</v>
      </c>
      <c r="AL150" s="361"/>
      <c r="AM150" s="361"/>
      <c r="AN150" s="361"/>
      <c r="AO150" s="361">
        <v>0</v>
      </c>
      <c r="AP150" s="361"/>
      <c r="AQ150" s="361">
        <v>0</v>
      </c>
      <c r="AR150" s="361"/>
      <c r="AS150" s="361">
        <v>0</v>
      </c>
      <c r="AT150" s="361"/>
      <c r="AU150" s="361">
        <v>0</v>
      </c>
      <c r="AV150" s="361"/>
      <c r="AW150" s="361">
        <v>0</v>
      </c>
      <c r="AX150" s="361"/>
      <c r="AY150" s="361">
        <v>0</v>
      </c>
      <c r="AZ150" s="361"/>
      <c r="BA150" s="361">
        <v>0</v>
      </c>
      <c r="BB150" s="361"/>
      <c r="BC150" s="361">
        <v>0</v>
      </c>
      <c r="BD150" s="361">
        <v>0</v>
      </c>
      <c r="BE150" s="361">
        <f>SUM(AK150:BD150)</f>
        <v>0</v>
      </c>
      <c r="BF150" s="361"/>
      <c r="BG150" s="222">
        <f>+MAX(0,G150-BE150+AM150)</f>
        <v>0</v>
      </c>
      <c r="BH150" s="361"/>
      <c r="BI150" s="222">
        <f>SUM(BE150:BG150)</f>
        <v>0</v>
      </c>
      <c r="BJ150" s="361"/>
      <c r="BK150" s="361">
        <f>G150-BI150</f>
        <v>0</v>
      </c>
      <c r="BL150" s="223"/>
    </row>
    <row r="151" spans="1:64" s="200" customFormat="1" ht="12" hidden="1" customHeight="1">
      <c r="A151" s="216"/>
      <c r="B151" s="197"/>
      <c r="C151" s="403"/>
      <c r="D151" s="403"/>
      <c r="E151" s="359"/>
      <c r="F151" s="217"/>
      <c r="G151" s="359"/>
      <c r="H151" s="217"/>
      <c r="I151" s="359"/>
      <c r="J151" s="217"/>
      <c r="K151" s="359"/>
      <c r="L151" s="359"/>
      <c r="M151" s="359"/>
      <c r="N151" s="359"/>
      <c r="O151" s="359"/>
      <c r="P151" s="359"/>
      <c r="Q151" s="359"/>
      <c r="R151" s="359"/>
      <c r="S151" s="359"/>
      <c r="T151" s="359"/>
      <c r="U151" s="359"/>
      <c r="V151" s="359"/>
      <c r="W151" s="359"/>
      <c r="X151" s="359"/>
      <c r="Y151" s="359"/>
      <c r="Z151" s="359"/>
      <c r="AA151" s="359"/>
      <c r="AB151" s="359"/>
      <c r="AC151" s="359"/>
      <c r="AD151" s="359"/>
      <c r="AE151" s="359"/>
      <c r="AF151" s="359"/>
      <c r="AG151" s="359"/>
      <c r="AH151" s="359"/>
      <c r="AI151" s="359"/>
      <c r="AJ151" s="359"/>
      <c r="AK151" s="359"/>
      <c r="AL151" s="359"/>
      <c r="AM151" s="359"/>
      <c r="AN151" s="359"/>
      <c r="AO151" s="359"/>
      <c r="AP151" s="359"/>
      <c r="AQ151" s="359"/>
      <c r="AR151" s="359"/>
      <c r="AS151" s="359"/>
      <c r="AT151" s="359"/>
      <c r="AU151" s="359"/>
      <c r="AV151" s="359"/>
      <c r="AW151" s="359"/>
      <c r="AX151" s="359"/>
      <c r="AY151" s="359"/>
      <c r="AZ151" s="359"/>
      <c r="BA151" s="359"/>
      <c r="BB151" s="359"/>
      <c r="BC151" s="359"/>
      <c r="BD151" s="359"/>
      <c r="BE151" s="359"/>
      <c r="BF151" s="359"/>
      <c r="BG151" s="359"/>
      <c r="BH151" s="359"/>
      <c r="BI151" s="359"/>
      <c r="BJ151" s="359"/>
      <c r="BK151" s="405"/>
      <c r="BL151" s="217"/>
    </row>
    <row r="152" spans="1:64" s="200" customFormat="1" hidden="1">
      <c r="A152" s="340" t="s">
        <v>1500</v>
      </c>
      <c r="C152" s="403"/>
      <c r="D152" s="403"/>
      <c r="E152" s="361"/>
      <c r="F152" s="217"/>
      <c r="G152" s="361"/>
      <c r="H152" s="217"/>
      <c r="I152" s="361"/>
      <c r="J152" s="217"/>
      <c r="K152" s="361"/>
      <c r="L152" s="361"/>
      <c r="M152" s="361"/>
      <c r="N152" s="361"/>
      <c r="O152" s="361"/>
      <c r="P152" s="361"/>
      <c r="Q152" s="361"/>
      <c r="R152" s="361"/>
      <c r="S152" s="361"/>
      <c r="T152" s="361"/>
      <c r="U152" s="361"/>
      <c r="V152" s="361"/>
      <c r="W152" s="361"/>
      <c r="X152" s="361"/>
      <c r="Y152" s="361"/>
      <c r="Z152" s="361"/>
      <c r="AA152" s="361"/>
      <c r="AB152" s="361"/>
      <c r="AC152" s="361"/>
      <c r="AD152" s="361"/>
      <c r="AE152" s="361"/>
      <c r="AF152" s="361"/>
      <c r="AG152" s="361"/>
      <c r="AH152" s="361"/>
      <c r="AI152" s="361"/>
      <c r="AJ152" s="361"/>
      <c r="AK152" s="361"/>
      <c r="AL152" s="361"/>
      <c r="AM152" s="361"/>
      <c r="AN152" s="361"/>
      <c r="AO152" s="361"/>
      <c r="AP152" s="361"/>
      <c r="AQ152" s="361"/>
      <c r="AR152" s="361"/>
      <c r="AS152" s="361"/>
      <c r="AT152" s="361"/>
      <c r="AU152" s="361"/>
      <c r="AV152" s="361"/>
      <c r="AW152" s="361"/>
      <c r="AX152" s="361"/>
      <c r="AY152" s="361"/>
      <c r="AZ152" s="361"/>
      <c r="BA152" s="361"/>
      <c r="BB152" s="361"/>
      <c r="BC152" s="361"/>
      <c r="BD152" s="361"/>
      <c r="BE152" s="361"/>
      <c r="BF152" s="361"/>
      <c r="BG152" s="361"/>
      <c r="BH152" s="361"/>
      <c r="BI152" s="361"/>
      <c r="BJ152" s="361"/>
      <c r="BK152" s="361"/>
      <c r="BL152" s="217"/>
    </row>
    <row r="153" spans="1:64" s="200" customFormat="1" hidden="1">
      <c r="A153" s="216"/>
      <c r="B153" s="197" t="s">
        <v>1484</v>
      </c>
      <c r="C153" s="403"/>
      <c r="D153" s="403"/>
      <c r="E153" s="405">
        <v>448332</v>
      </c>
      <c r="F153" s="405">
        <v>448332</v>
      </c>
      <c r="G153" s="405">
        <v>448332</v>
      </c>
      <c r="H153" s="217"/>
      <c r="I153" s="405">
        <f>G153-E153</f>
        <v>0</v>
      </c>
      <c r="J153" s="217"/>
      <c r="K153" s="405">
        <v>0</v>
      </c>
      <c r="L153" s="405">
        <v>0</v>
      </c>
      <c r="M153" s="405">
        <v>0</v>
      </c>
      <c r="N153" s="405">
        <v>0</v>
      </c>
      <c r="O153" s="405">
        <v>0</v>
      </c>
      <c r="P153" s="405">
        <v>0</v>
      </c>
      <c r="Q153" s="405">
        <v>0</v>
      </c>
      <c r="R153" s="405">
        <v>0</v>
      </c>
      <c r="S153" s="405">
        <v>0</v>
      </c>
      <c r="T153" s="405">
        <v>0</v>
      </c>
      <c r="U153" s="405">
        <v>0</v>
      </c>
      <c r="V153" s="405">
        <v>0</v>
      </c>
      <c r="W153" s="405">
        <v>0</v>
      </c>
      <c r="X153" s="405">
        <v>0</v>
      </c>
      <c r="Y153" s="405">
        <v>0</v>
      </c>
      <c r="Z153" s="405">
        <v>0</v>
      </c>
      <c r="AA153" s="405">
        <v>0</v>
      </c>
      <c r="AB153" s="405"/>
      <c r="AC153" s="405">
        <v>0</v>
      </c>
      <c r="AD153" s="405"/>
      <c r="AE153" s="405">
        <v>0</v>
      </c>
      <c r="AF153" s="405"/>
      <c r="AG153" s="359">
        <v>0</v>
      </c>
      <c r="AH153" s="405"/>
      <c r="AI153" s="405">
        <v>0</v>
      </c>
      <c r="AJ153" s="405"/>
      <c r="AK153" s="359">
        <f>SUM(K153:AI153)</f>
        <v>0</v>
      </c>
      <c r="AL153" s="405"/>
      <c r="AM153" s="405"/>
      <c r="AN153" s="405"/>
      <c r="AO153" s="405">
        <f>26998</f>
        <v>26998</v>
      </c>
      <c r="AP153" s="405"/>
      <c r="AQ153" s="405">
        <v>0</v>
      </c>
      <c r="AR153" s="405"/>
      <c r="AS153" s="405">
        <v>0</v>
      </c>
      <c r="AT153" s="405"/>
      <c r="AU153" s="405">
        <v>0</v>
      </c>
      <c r="AV153" s="405"/>
      <c r="AW153" s="405">
        <v>0</v>
      </c>
      <c r="AX153" s="405"/>
      <c r="AY153" s="405">
        <v>0</v>
      </c>
      <c r="AZ153" s="405"/>
      <c r="BA153" s="405">
        <v>0</v>
      </c>
      <c r="BB153" s="405"/>
      <c r="BC153" s="405">
        <v>0</v>
      </c>
      <c r="BD153" s="405">
        <v>0</v>
      </c>
      <c r="BE153" s="359">
        <f>SUM(AK153:BD153)</f>
        <v>26998</v>
      </c>
      <c r="BF153" s="405"/>
      <c r="BG153" s="200">
        <f>+MAX(0,G153-BE153+AM153)</f>
        <v>421334</v>
      </c>
      <c r="BH153" s="359"/>
      <c r="BI153" s="200">
        <f>SUM(BE153:BG153)</f>
        <v>448332</v>
      </c>
      <c r="BJ153" s="359"/>
      <c r="BK153" s="405">
        <f>G153-BI153</f>
        <v>0</v>
      </c>
      <c r="BL153" s="217"/>
    </row>
    <row r="154" spans="1:64" s="200" customFormat="1" hidden="1">
      <c r="A154" s="216"/>
      <c r="B154" s="197" t="s">
        <v>1485</v>
      </c>
      <c r="C154" s="403"/>
      <c r="D154" s="403"/>
      <c r="E154" s="405">
        <v>155150</v>
      </c>
      <c r="F154" s="405">
        <v>155150</v>
      </c>
      <c r="G154" s="405">
        <v>155150</v>
      </c>
      <c r="H154" s="217"/>
      <c r="I154" s="405">
        <f>G154-E154</f>
        <v>0</v>
      </c>
      <c r="J154" s="217"/>
      <c r="K154" s="405">
        <v>0</v>
      </c>
      <c r="L154" s="405">
        <v>0</v>
      </c>
      <c r="M154" s="405">
        <v>0</v>
      </c>
      <c r="N154" s="405">
        <v>0</v>
      </c>
      <c r="O154" s="405">
        <v>0</v>
      </c>
      <c r="P154" s="405">
        <v>0</v>
      </c>
      <c r="Q154" s="405">
        <v>0</v>
      </c>
      <c r="R154" s="405">
        <v>0</v>
      </c>
      <c r="S154" s="405">
        <v>0</v>
      </c>
      <c r="T154" s="405">
        <v>0</v>
      </c>
      <c r="U154" s="405">
        <v>0</v>
      </c>
      <c r="V154" s="405">
        <v>0</v>
      </c>
      <c r="W154" s="405">
        <v>0</v>
      </c>
      <c r="X154" s="405">
        <v>0</v>
      </c>
      <c r="Y154" s="405">
        <v>0</v>
      </c>
      <c r="Z154" s="405">
        <v>0</v>
      </c>
      <c r="AA154" s="405">
        <v>0</v>
      </c>
      <c r="AB154" s="405"/>
      <c r="AC154" s="405">
        <v>0</v>
      </c>
      <c r="AD154" s="405"/>
      <c r="AE154" s="405">
        <v>0</v>
      </c>
      <c r="AF154" s="405"/>
      <c r="AG154" s="359">
        <v>0</v>
      </c>
      <c r="AH154" s="405"/>
      <c r="AI154" s="405">
        <v>0</v>
      </c>
      <c r="AJ154" s="405"/>
      <c r="AK154" s="359">
        <f>SUM(K154:AI154)</f>
        <v>0</v>
      </c>
      <c r="AL154" s="405"/>
      <c r="AM154" s="405"/>
      <c r="AN154" s="405"/>
      <c r="AO154" s="405">
        <v>1050</v>
      </c>
      <c r="AP154" s="405"/>
      <c r="AQ154" s="405">
        <v>0</v>
      </c>
      <c r="AR154" s="405"/>
      <c r="AS154" s="405">
        <v>0</v>
      </c>
      <c r="AT154" s="405"/>
      <c r="AU154" s="405">
        <v>0</v>
      </c>
      <c r="AV154" s="405"/>
      <c r="AW154" s="405">
        <v>0</v>
      </c>
      <c r="AX154" s="405"/>
      <c r="AY154" s="405">
        <v>0</v>
      </c>
      <c r="AZ154" s="405"/>
      <c r="BA154" s="405">
        <v>0</v>
      </c>
      <c r="BB154" s="405"/>
      <c r="BC154" s="405">
        <v>0</v>
      </c>
      <c r="BD154" s="405">
        <v>0</v>
      </c>
      <c r="BE154" s="359">
        <f>SUM(AK154:BD154)</f>
        <v>1050</v>
      </c>
      <c r="BF154" s="405"/>
      <c r="BG154" s="200">
        <f>+MAX(0,G154-BE154+AM154)</f>
        <v>154100</v>
      </c>
      <c r="BH154" s="359"/>
      <c r="BI154" s="200">
        <f>SUM(BE154:BG154)</f>
        <v>155150</v>
      </c>
      <c r="BJ154" s="359"/>
      <c r="BK154" s="405">
        <f>G154-BI154</f>
        <v>0</v>
      </c>
      <c r="BL154" s="217"/>
    </row>
    <row r="155" spans="1:64" s="200" customFormat="1" hidden="1">
      <c r="A155" s="216"/>
      <c r="B155" s="197" t="s">
        <v>1486</v>
      </c>
      <c r="C155" s="403"/>
      <c r="D155" s="403"/>
      <c r="E155" s="405">
        <v>0</v>
      </c>
      <c r="F155" s="405">
        <v>0</v>
      </c>
      <c r="G155" s="405">
        <v>0</v>
      </c>
      <c r="H155" s="217"/>
      <c r="I155" s="405">
        <f>G155-E155</f>
        <v>0</v>
      </c>
      <c r="J155" s="217"/>
      <c r="K155" s="405">
        <v>0</v>
      </c>
      <c r="L155" s="405">
        <v>0</v>
      </c>
      <c r="M155" s="405">
        <v>0</v>
      </c>
      <c r="N155" s="405">
        <v>0</v>
      </c>
      <c r="O155" s="405">
        <v>0</v>
      </c>
      <c r="P155" s="405">
        <v>0</v>
      </c>
      <c r="Q155" s="405">
        <v>0</v>
      </c>
      <c r="R155" s="405">
        <v>0</v>
      </c>
      <c r="S155" s="405">
        <v>0</v>
      </c>
      <c r="T155" s="405">
        <v>0</v>
      </c>
      <c r="U155" s="405">
        <v>0</v>
      </c>
      <c r="V155" s="405">
        <v>0</v>
      </c>
      <c r="W155" s="405">
        <v>0</v>
      </c>
      <c r="X155" s="405">
        <v>0</v>
      </c>
      <c r="Y155" s="405">
        <v>0</v>
      </c>
      <c r="Z155" s="405">
        <v>0</v>
      </c>
      <c r="AA155" s="405">
        <v>0</v>
      </c>
      <c r="AB155" s="405"/>
      <c r="AC155" s="405">
        <v>0</v>
      </c>
      <c r="AD155" s="405"/>
      <c r="AE155" s="405">
        <v>0</v>
      </c>
      <c r="AF155" s="405"/>
      <c r="AG155" s="359">
        <v>0</v>
      </c>
      <c r="AH155" s="405"/>
      <c r="AI155" s="405">
        <v>0</v>
      </c>
      <c r="AJ155" s="405"/>
      <c r="AK155" s="359">
        <f>SUM(K155:AI155)</f>
        <v>0</v>
      </c>
      <c r="AL155" s="405"/>
      <c r="AM155" s="405"/>
      <c r="AN155" s="405"/>
      <c r="AO155" s="405">
        <v>0</v>
      </c>
      <c r="AP155" s="405"/>
      <c r="AQ155" s="405">
        <v>0</v>
      </c>
      <c r="AR155" s="405"/>
      <c r="AS155" s="405">
        <v>0</v>
      </c>
      <c r="AT155" s="405"/>
      <c r="AU155" s="405">
        <v>0</v>
      </c>
      <c r="AV155" s="405"/>
      <c r="AW155" s="405">
        <v>0</v>
      </c>
      <c r="AX155" s="405"/>
      <c r="AY155" s="405">
        <v>0</v>
      </c>
      <c r="AZ155" s="405"/>
      <c r="BA155" s="405">
        <v>0</v>
      </c>
      <c r="BB155" s="405"/>
      <c r="BC155" s="405">
        <v>0</v>
      </c>
      <c r="BD155" s="405">
        <v>0</v>
      </c>
      <c r="BE155" s="359">
        <f>SUM(AO155:BA155)</f>
        <v>0</v>
      </c>
      <c r="BF155" s="405"/>
      <c r="BG155" s="200">
        <f>+MAX(0,G155-BE155+AM155)</f>
        <v>0</v>
      </c>
      <c r="BH155" s="359"/>
      <c r="BI155" s="200">
        <f>SUM(BE155:BG155)</f>
        <v>0</v>
      </c>
      <c r="BJ155" s="359"/>
      <c r="BK155" s="405">
        <f>G155-BI155</f>
        <v>0</v>
      </c>
      <c r="BL155" s="217"/>
    </row>
    <row r="156" spans="1:64" s="200" customFormat="1" hidden="1">
      <c r="A156" s="216"/>
      <c r="B156" s="212" t="s">
        <v>1517</v>
      </c>
      <c r="C156" s="403"/>
      <c r="D156" s="403"/>
      <c r="E156" s="409">
        <f>SUM(E153:E155)</f>
        <v>603482</v>
      </c>
      <c r="F156" s="217"/>
      <c r="G156" s="409">
        <f>SUBTOTAL(9,G153:G155)</f>
        <v>603482</v>
      </c>
      <c r="H156" s="217"/>
      <c r="I156" s="409">
        <f t="shared" ref="I156:AE156" si="48">SUM(I153:I155)</f>
        <v>0</v>
      </c>
      <c r="J156" s="360">
        <f t="shared" si="48"/>
        <v>0</v>
      </c>
      <c r="K156" s="409">
        <f t="shared" si="48"/>
        <v>0</v>
      </c>
      <c r="L156" s="360">
        <f t="shared" si="48"/>
        <v>0</v>
      </c>
      <c r="M156" s="409">
        <f t="shared" si="48"/>
        <v>0</v>
      </c>
      <c r="N156" s="360">
        <f t="shared" si="48"/>
        <v>0</v>
      </c>
      <c r="O156" s="409">
        <f t="shared" si="48"/>
        <v>0</v>
      </c>
      <c r="P156" s="360">
        <f t="shared" si="48"/>
        <v>0</v>
      </c>
      <c r="Q156" s="409">
        <f t="shared" si="48"/>
        <v>0</v>
      </c>
      <c r="R156" s="360">
        <f t="shared" si="48"/>
        <v>0</v>
      </c>
      <c r="S156" s="409">
        <f t="shared" si="48"/>
        <v>0</v>
      </c>
      <c r="T156" s="360">
        <f t="shared" si="48"/>
        <v>0</v>
      </c>
      <c r="U156" s="409">
        <f t="shared" si="48"/>
        <v>0</v>
      </c>
      <c r="V156" s="360">
        <f t="shared" si="48"/>
        <v>0</v>
      </c>
      <c r="W156" s="409">
        <f t="shared" si="48"/>
        <v>0</v>
      </c>
      <c r="X156" s="360">
        <f t="shared" si="48"/>
        <v>0</v>
      </c>
      <c r="Y156" s="409">
        <f t="shared" si="48"/>
        <v>0</v>
      </c>
      <c r="Z156" s="360">
        <f t="shared" si="48"/>
        <v>0</v>
      </c>
      <c r="AA156" s="409">
        <f t="shared" si="48"/>
        <v>0</v>
      </c>
      <c r="AB156" s="360">
        <f t="shared" si="48"/>
        <v>0</v>
      </c>
      <c r="AC156" s="409">
        <f t="shared" si="48"/>
        <v>0</v>
      </c>
      <c r="AD156" s="360">
        <f t="shared" si="48"/>
        <v>0</v>
      </c>
      <c r="AE156" s="409">
        <f t="shared" si="48"/>
        <v>0</v>
      </c>
      <c r="AF156" s="360"/>
      <c r="AG156" s="409">
        <f>SUM(AG153:AG155)</f>
        <v>0</v>
      </c>
      <c r="AH156" s="360">
        <f>SUM(AH153:AH155)</f>
        <v>0</v>
      </c>
      <c r="AI156" s="409">
        <f>SUM(AI153:AI155)</f>
        <v>0</v>
      </c>
      <c r="AJ156" s="360"/>
      <c r="AK156" s="409">
        <f>SUM(AK153:AK155)</f>
        <v>0</v>
      </c>
      <c r="AL156" s="360">
        <f>SUM(AL153:AL155)</f>
        <v>0</v>
      </c>
      <c r="AM156" s="360">
        <f>SUM(AM153:AM155)</f>
        <v>0</v>
      </c>
      <c r="AN156" s="360">
        <f>SUM(AN153:AN155)</f>
        <v>0</v>
      </c>
      <c r="AO156" s="409">
        <f>SUM(AO153:AO155)</f>
        <v>28048</v>
      </c>
      <c r="AP156" s="360"/>
      <c r="AQ156" s="409">
        <f>SUM(AQ153:AQ155)</f>
        <v>0</v>
      </c>
      <c r="AR156" s="360"/>
      <c r="AS156" s="360">
        <f>SUM(AS153:AS155)</f>
        <v>0</v>
      </c>
      <c r="AT156" s="360"/>
      <c r="AU156" s="360">
        <f>SUM(AU153:AU155)</f>
        <v>0</v>
      </c>
      <c r="AV156" s="360"/>
      <c r="AW156" s="360">
        <f>SUM(AW153:AW155)</f>
        <v>0</v>
      </c>
      <c r="AX156" s="360"/>
      <c r="AY156" s="360">
        <f>SUM(AY153:AY155)</f>
        <v>0</v>
      </c>
      <c r="AZ156" s="360"/>
      <c r="BA156" s="360">
        <f>SUM(BA153:BA155)</f>
        <v>0</v>
      </c>
      <c r="BB156" s="360"/>
      <c r="BC156" s="360">
        <f>SUM(BC153:BC155)</f>
        <v>0</v>
      </c>
      <c r="BD156" s="360">
        <f>SUM(BD153:BD155)</f>
        <v>0</v>
      </c>
      <c r="BE156" s="409">
        <f>SUM(BE153:BE155)</f>
        <v>28048</v>
      </c>
      <c r="BF156" s="360"/>
      <c r="BG156" s="409">
        <f t="shared" ref="BG156:BL156" si="49">SUM(BG153:BG155)</f>
        <v>575434</v>
      </c>
      <c r="BH156" s="360">
        <f t="shared" si="49"/>
        <v>0</v>
      </c>
      <c r="BI156" s="409">
        <f t="shared" si="49"/>
        <v>603482</v>
      </c>
      <c r="BJ156" s="360">
        <f t="shared" si="49"/>
        <v>0</v>
      </c>
      <c r="BK156" s="409">
        <f t="shared" si="49"/>
        <v>0</v>
      </c>
      <c r="BL156" s="360">
        <f t="shared" si="49"/>
        <v>0</v>
      </c>
    </row>
    <row r="157" spans="1:64" s="200" customFormat="1" hidden="1">
      <c r="A157" s="216"/>
      <c r="B157" s="212"/>
      <c r="C157" s="403"/>
      <c r="D157" s="403"/>
      <c r="E157" s="360"/>
      <c r="F157" s="217"/>
      <c r="G157" s="360"/>
      <c r="H157" s="217"/>
      <c r="I157" s="360"/>
      <c r="J157" s="360"/>
      <c r="K157" s="360"/>
      <c r="L157" s="360"/>
      <c r="M157" s="360"/>
      <c r="N157" s="360"/>
      <c r="O157" s="360"/>
      <c r="P157" s="360"/>
      <c r="Q157" s="360"/>
      <c r="R157" s="360"/>
      <c r="S157" s="360"/>
      <c r="T157" s="360"/>
      <c r="U157" s="360"/>
      <c r="V157" s="360"/>
      <c r="W157" s="360"/>
      <c r="X157" s="360"/>
      <c r="Y157" s="360"/>
      <c r="Z157" s="360"/>
      <c r="AA157" s="360"/>
      <c r="AB157" s="360"/>
      <c r="AC157" s="360"/>
      <c r="AD157" s="360"/>
      <c r="AE157" s="360"/>
      <c r="AF157" s="360"/>
      <c r="AG157" s="360"/>
      <c r="AH157" s="360"/>
      <c r="AI157" s="360"/>
      <c r="AJ157" s="360"/>
      <c r="AK157" s="360"/>
      <c r="AL157" s="360"/>
      <c r="AM157" s="360"/>
      <c r="AN157" s="360"/>
      <c r="AO157" s="360"/>
      <c r="AP157" s="360"/>
      <c r="AQ157" s="360"/>
      <c r="AR157" s="360"/>
      <c r="AS157" s="360"/>
      <c r="AT157" s="360"/>
      <c r="AU157" s="360"/>
      <c r="AV157" s="360"/>
      <c r="AW157" s="360"/>
      <c r="AX157" s="360"/>
      <c r="AY157" s="360"/>
      <c r="AZ157" s="360"/>
      <c r="BA157" s="360"/>
      <c r="BB157" s="360"/>
      <c r="BC157" s="360"/>
      <c r="BD157" s="360"/>
      <c r="BE157" s="360"/>
      <c r="BF157" s="360"/>
      <c r="BG157" s="360"/>
      <c r="BH157" s="360"/>
      <c r="BI157" s="360"/>
      <c r="BJ157" s="360"/>
      <c r="BK157" s="360"/>
      <c r="BL157" s="360"/>
    </row>
    <row r="158" spans="1:64" s="200" customFormat="1" hidden="1">
      <c r="A158" s="216"/>
      <c r="B158" s="212" t="s">
        <v>364</v>
      </c>
      <c r="C158" s="403"/>
      <c r="D158" s="403"/>
      <c r="E158" s="360">
        <f t="shared" ref="E158:AJ158" si="50">E156+E150+E148+E143+E138+E136+E131+E126+E122+E117+E112+E106+E100+E94+E90+E64</f>
        <v>18803321</v>
      </c>
      <c r="F158" s="360">
        <f t="shared" si="50"/>
        <v>592152</v>
      </c>
      <c r="G158" s="360">
        <f t="shared" si="50"/>
        <v>18803321</v>
      </c>
      <c r="H158" s="360">
        <f t="shared" si="50"/>
        <v>0</v>
      </c>
      <c r="I158" s="360">
        <f t="shared" si="50"/>
        <v>0</v>
      </c>
      <c r="J158" s="360">
        <f t="shared" si="50"/>
        <v>-295512</v>
      </c>
      <c r="K158" s="360">
        <f t="shared" si="50"/>
        <v>0</v>
      </c>
      <c r="L158" s="360">
        <f t="shared" si="50"/>
        <v>0</v>
      </c>
      <c r="M158" s="360">
        <f t="shared" si="50"/>
        <v>0</v>
      </c>
      <c r="N158" s="360">
        <f t="shared" si="50"/>
        <v>0</v>
      </c>
      <c r="O158" s="360">
        <f t="shared" si="50"/>
        <v>0</v>
      </c>
      <c r="P158" s="360">
        <f t="shared" si="50"/>
        <v>0</v>
      </c>
      <c r="Q158" s="360">
        <f t="shared" si="50"/>
        <v>0</v>
      </c>
      <c r="R158" s="360">
        <f t="shared" si="50"/>
        <v>0</v>
      </c>
      <c r="S158" s="360">
        <f t="shared" si="50"/>
        <v>0</v>
      </c>
      <c r="T158" s="360">
        <f t="shared" si="50"/>
        <v>0</v>
      </c>
      <c r="U158" s="360">
        <f t="shared" si="50"/>
        <v>0</v>
      </c>
      <c r="V158" s="360">
        <f t="shared" si="50"/>
        <v>0</v>
      </c>
      <c r="W158" s="360">
        <f t="shared" si="50"/>
        <v>0</v>
      </c>
      <c r="X158" s="360">
        <f t="shared" si="50"/>
        <v>0</v>
      </c>
      <c r="Y158" s="360">
        <f t="shared" si="50"/>
        <v>0</v>
      </c>
      <c r="Z158" s="360">
        <f t="shared" si="50"/>
        <v>0</v>
      </c>
      <c r="AA158" s="360">
        <f t="shared" si="50"/>
        <v>0</v>
      </c>
      <c r="AB158" s="360">
        <f t="shared" si="50"/>
        <v>0</v>
      </c>
      <c r="AC158" s="360">
        <f t="shared" si="50"/>
        <v>0</v>
      </c>
      <c r="AD158" s="360">
        <f t="shared" si="50"/>
        <v>0</v>
      </c>
      <c r="AE158" s="360">
        <f t="shared" si="50"/>
        <v>0</v>
      </c>
      <c r="AF158" s="360">
        <f t="shared" si="50"/>
        <v>0</v>
      </c>
      <c r="AG158" s="360">
        <f t="shared" si="50"/>
        <v>286479</v>
      </c>
      <c r="AH158" s="360">
        <f t="shared" si="50"/>
        <v>286479</v>
      </c>
      <c r="AI158" s="360">
        <f t="shared" si="50"/>
        <v>587507</v>
      </c>
      <c r="AJ158" s="360">
        <f t="shared" si="50"/>
        <v>0</v>
      </c>
      <c r="AK158" s="360">
        <f>AK156+AK150+AK148+AK143+AK138+AK136+AK131+AK126+AK122+AK117+AK112+AK106+AK100+AK94+AK90+AK64+AK124</f>
        <v>873986</v>
      </c>
      <c r="AL158" s="360">
        <f>AL156+AL150+AL148+AL143+AL138+AL136+AL131+AL126+AL122+AL117+AL112+AL106+AL100+AL94+AL90+AL64+AL124</f>
        <v>0</v>
      </c>
      <c r="AM158" s="360">
        <f>AM156+AM150+AM148+AM143+AM138+AM136+AM131+AM126+AM122+AM117+AM112+AM106+AM100+AM94+AM90+AM64+AM124</f>
        <v>0</v>
      </c>
      <c r="AN158" s="360">
        <f>AN156+AN150+AN148+AN143+AN138+AN136+AN131+AN126+AN122+AN117+AN112+AN106+AN100+AN94+AN90+AN64+AN124</f>
        <v>0</v>
      </c>
      <c r="AO158" s="360">
        <f>AO156+AO150+AO148+AO143+AO138+AO136+AO131+AO126+AO122+AO117+AO112+AO106+AO100+AO94+AO90+AO64+AO124</f>
        <v>2958819</v>
      </c>
      <c r="AP158" s="360">
        <f t="shared" ref="AP158:BA158" si="51">AP156+AP150+AP148+AP143+AP138+AP136+AP131+AP126+AP122+AP117+AP112+AP106+AP100+AP94+AP90+AP64</f>
        <v>0</v>
      </c>
      <c r="AQ158" s="360">
        <f t="shared" si="51"/>
        <v>0</v>
      </c>
      <c r="AR158" s="360">
        <f t="shared" si="51"/>
        <v>0</v>
      </c>
      <c r="AS158" s="360">
        <f t="shared" si="51"/>
        <v>0</v>
      </c>
      <c r="AT158" s="360">
        <f t="shared" si="51"/>
        <v>0</v>
      </c>
      <c r="AU158" s="360">
        <f t="shared" si="51"/>
        <v>0</v>
      </c>
      <c r="AV158" s="360">
        <f t="shared" si="51"/>
        <v>0</v>
      </c>
      <c r="AW158" s="360">
        <f t="shared" si="51"/>
        <v>0</v>
      </c>
      <c r="AX158" s="360">
        <f t="shared" si="51"/>
        <v>0</v>
      </c>
      <c r="AY158" s="360">
        <f t="shared" si="51"/>
        <v>0</v>
      </c>
      <c r="AZ158" s="360">
        <f t="shared" si="51"/>
        <v>0</v>
      </c>
      <c r="BA158" s="360">
        <f t="shared" si="51"/>
        <v>0</v>
      </c>
      <c r="BB158" s="360"/>
      <c r="BC158" s="360">
        <f t="shared" ref="BC158:BK158" si="52">BC156+BC150+BC148+BC143+BC138+BC136+BC131+BC126+BC122+BC117+BC112+BC106+BC100+BC94+BC90+BC64</f>
        <v>0</v>
      </c>
      <c r="BD158" s="360">
        <f t="shared" si="52"/>
        <v>11</v>
      </c>
      <c r="BE158" s="360">
        <f t="shared" si="52"/>
        <v>3832805</v>
      </c>
      <c r="BF158" s="360">
        <f t="shared" si="52"/>
        <v>0</v>
      </c>
      <c r="BG158" s="360">
        <f t="shared" si="52"/>
        <v>14970516</v>
      </c>
      <c r="BH158" s="360">
        <f t="shared" si="52"/>
        <v>0</v>
      </c>
      <c r="BI158" s="360">
        <f t="shared" si="52"/>
        <v>18803321</v>
      </c>
      <c r="BJ158" s="360">
        <f t="shared" si="52"/>
        <v>0</v>
      </c>
      <c r="BK158" s="360">
        <f t="shared" si="52"/>
        <v>0</v>
      </c>
      <c r="BL158" s="360"/>
    </row>
    <row r="159" spans="1:64" s="200" customFormat="1" hidden="1">
      <c r="A159" s="216"/>
      <c r="B159" s="212"/>
      <c r="C159" s="403"/>
      <c r="D159" s="403"/>
      <c r="E159" s="360"/>
      <c r="F159" s="217"/>
      <c r="G159" s="360"/>
      <c r="H159" s="217"/>
      <c r="I159" s="360"/>
      <c r="J159" s="360"/>
      <c r="K159" s="360"/>
      <c r="L159" s="360"/>
      <c r="M159" s="360"/>
      <c r="N159" s="360"/>
      <c r="O159" s="360"/>
      <c r="P159" s="360"/>
      <c r="Q159" s="360"/>
      <c r="R159" s="360"/>
      <c r="S159" s="360"/>
      <c r="T159" s="360"/>
      <c r="U159" s="360"/>
      <c r="V159" s="360"/>
      <c r="W159" s="360"/>
      <c r="X159" s="360"/>
      <c r="Y159" s="360"/>
      <c r="Z159" s="360"/>
      <c r="AA159" s="360"/>
      <c r="AB159" s="360"/>
      <c r="AC159" s="360"/>
      <c r="AD159" s="360"/>
      <c r="AE159" s="360"/>
      <c r="AF159" s="360"/>
      <c r="AG159" s="360"/>
      <c r="AH159" s="360"/>
      <c r="AI159" s="360"/>
      <c r="AJ159" s="360"/>
      <c r="AK159" s="360"/>
      <c r="AL159" s="360"/>
      <c r="AM159" s="360"/>
      <c r="AN159" s="360"/>
      <c r="AO159" s="360"/>
      <c r="AP159" s="360"/>
      <c r="AQ159" s="360"/>
      <c r="AR159" s="360"/>
      <c r="AS159" s="360"/>
      <c r="AT159" s="360"/>
      <c r="AU159" s="360"/>
      <c r="AV159" s="360"/>
      <c r="AW159" s="360"/>
      <c r="AX159" s="360"/>
      <c r="AY159" s="360"/>
      <c r="AZ159" s="360"/>
      <c r="BA159" s="360"/>
      <c r="BB159" s="360"/>
      <c r="BC159" s="360"/>
      <c r="BD159" s="360"/>
      <c r="BE159" s="360"/>
      <c r="BF159" s="360"/>
      <c r="BG159" s="360"/>
      <c r="BH159" s="360"/>
      <c r="BI159" s="360"/>
      <c r="BJ159" s="360"/>
      <c r="BK159" s="360"/>
      <c r="BL159" s="217"/>
    </row>
    <row r="160" spans="1:64" s="222" customFormat="1" hidden="1">
      <c r="A160" s="366" t="s">
        <v>1518</v>
      </c>
      <c r="B160" s="212"/>
      <c r="E160" s="360">
        <v>2048928</v>
      </c>
      <c r="F160" s="223"/>
      <c r="G160" s="360">
        <v>2048928</v>
      </c>
      <c r="H160" s="223"/>
      <c r="I160" s="360">
        <f>G160-E160</f>
        <v>0</v>
      </c>
      <c r="J160" s="360"/>
      <c r="K160" s="360">
        <v>0</v>
      </c>
      <c r="L160" s="360">
        <v>0</v>
      </c>
      <c r="M160" s="360">
        <v>0</v>
      </c>
      <c r="N160" s="360">
        <v>0</v>
      </c>
      <c r="O160" s="360">
        <v>0</v>
      </c>
      <c r="P160" s="360">
        <v>0</v>
      </c>
      <c r="Q160" s="360">
        <v>0</v>
      </c>
      <c r="R160" s="360">
        <v>0</v>
      </c>
      <c r="S160" s="360">
        <v>0</v>
      </c>
      <c r="T160" s="360">
        <v>0</v>
      </c>
      <c r="U160" s="360">
        <v>0</v>
      </c>
      <c r="V160" s="360">
        <v>0</v>
      </c>
      <c r="W160" s="360">
        <v>0</v>
      </c>
      <c r="X160" s="360">
        <v>0</v>
      </c>
      <c r="Y160" s="360">
        <v>0</v>
      </c>
      <c r="Z160" s="360">
        <v>0</v>
      </c>
      <c r="AA160" s="360">
        <v>0</v>
      </c>
      <c r="AB160" s="360">
        <v>0</v>
      </c>
      <c r="AC160" s="360">
        <v>0</v>
      </c>
      <c r="AD160" s="360">
        <v>0</v>
      </c>
      <c r="AE160" s="360">
        <v>0</v>
      </c>
      <c r="AF160" s="360"/>
      <c r="AG160" s="360">
        <f>151015+151015</f>
        <v>302030</v>
      </c>
      <c r="AH160" s="360"/>
      <c r="AI160" s="360">
        <v>328718</v>
      </c>
      <c r="AJ160" s="360"/>
      <c r="AK160" s="360">
        <f>SUM(K160:AJ160)</f>
        <v>630748</v>
      </c>
      <c r="AL160" s="360"/>
      <c r="AM160" s="360"/>
      <c r="AN160" s="360"/>
      <c r="AO160" s="360">
        <v>157687</v>
      </c>
      <c r="AP160" s="360"/>
      <c r="AQ160" s="360">
        <v>0</v>
      </c>
      <c r="AR160" s="360"/>
      <c r="AS160" s="360">
        <v>0</v>
      </c>
      <c r="AT160" s="360"/>
      <c r="AU160" s="360">
        <v>0</v>
      </c>
      <c r="AV160" s="360"/>
      <c r="AW160" s="360">
        <v>0</v>
      </c>
      <c r="AX160" s="360"/>
      <c r="AY160" s="360">
        <v>0</v>
      </c>
      <c r="AZ160" s="360"/>
      <c r="BA160" s="360">
        <v>0</v>
      </c>
      <c r="BB160" s="360"/>
      <c r="BC160" s="360">
        <v>0</v>
      </c>
      <c r="BD160" s="360">
        <v>0</v>
      </c>
      <c r="BE160" s="360">
        <f>SUM(AK160:BD160)</f>
        <v>788435</v>
      </c>
      <c r="BF160" s="360"/>
      <c r="BG160" s="222">
        <f>+MAX(0,G160-BE160+AM160)</f>
        <v>1260493</v>
      </c>
      <c r="BH160" s="360"/>
      <c r="BI160" s="222">
        <f>SUM(BE160:BG160)</f>
        <v>2048928</v>
      </c>
      <c r="BJ160" s="360"/>
      <c r="BK160" s="360">
        <f>G160-BI160</f>
        <v>0</v>
      </c>
      <c r="BL160" s="223"/>
    </row>
    <row r="161" spans="1:64" s="200" customFormat="1" hidden="1">
      <c r="A161" s="216"/>
      <c r="B161" s="212"/>
      <c r="C161" s="403"/>
      <c r="D161" s="403"/>
      <c r="E161" s="360"/>
      <c r="F161" s="217"/>
      <c r="G161" s="360"/>
      <c r="H161" s="217"/>
      <c r="I161" s="360"/>
      <c r="J161" s="360"/>
      <c r="K161" s="360"/>
      <c r="L161" s="360"/>
      <c r="M161" s="360"/>
      <c r="N161" s="360"/>
      <c r="O161" s="360"/>
      <c r="P161" s="360"/>
      <c r="Q161" s="360"/>
      <c r="R161" s="360"/>
      <c r="S161" s="360"/>
      <c r="T161" s="360"/>
      <c r="U161" s="360"/>
      <c r="V161" s="360"/>
      <c r="W161" s="360"/>
      <c r="X161" s="360"/>
      <c r="Y161" s="360"/>
      <c r="Z161" s="360"/>
      <c r="AA161" s="360"/>
      <c r="AB161" s="360"/>
      <c r="AC161" s="360"/>
      <c r="AD161" s="360"/>
      <c r="AE161" s="360"/>
      <c r="AF161" s="360"/>
      <c r="AG161" s="360"/>
      <c r="AH161" s="360"/>
      <c r="AI161" s="360"/>
      <c r="AJ161" s="360"/>
      <c r="AK161" s="360"/>
      <c r="AL161" s="360"/>
      <c r="AM161" s="360"/>
      <c r="AN161" s="360"/>
      <c r="AO161" s="360"/>
      <c r="AP161" s="360"/>
      <c r="AQ161" s="360"/>
      <c r="AR161" s="360"/>
      <c r="AS161" s="360"/>
      <c r="AT161" s="360"/>
      <c r="AU161" s="360"/>
      <c r="AV161" s="360"/>
      <c r="AW161" s="360"/>
      <c r="AX161" s="360"/>
      <c r="AY161" s="360"/>
      <c r="AZ161" s="360"/>
      <c r="BA161" s="360"/>
      <c r="BB161" s="360"/>
      <c r="BC161" s="360"/>
      <c r="BD161" s="360"/>
      <c r="BE161" s="360"/>
      <c r="BF161" s="360"/>
      <c r="BG161" s="360"/>
      <c r="BH161" s="360"/>
      <c r="BI161" s="360"/>
      <c r="BJ161" s="360"/>
      <c r="BK161" s="360"/>
      <c r="BL161" s="217"/>
    </row>
    <row r="162" spans="1:64" s="222" customFormat="1" hidden="1">
      <c r="A162" s="366" t="s">
        <v>1519</v>
      </c>
      <c r="B162" s="212"/>
      <c r="E162" s="360">
        <v>1297298</v>
      </c>
      <c r="F162" s="223"/>
      <c r="G162" s="360">
        <v>1297298</v>
      </c>
      <c r="H162" s="223"/>
      <c r="I162" s="360">
        <f>G162-E162</f>
        <v>0</v>
      </c>
      <c r="J162" s="360"/>
      <c r="K162" s="360">
        <v>0</v>
      </c>
      <c r="L162" s="360">
        <v>0</v>
      </c>
      <c r="M162" s="360">
        <v>0</v>
      </c>
      <c r="N162" s="360">
        <v>0</v>
      </c>
      <c r="O162" s="360">
        <v>0</v>
      </c>
      <c r="P162" s="360">
        <v>0</v>
      </c>
      <c r="Q162" s="360">
        <v>0</v>
      </c>
      <c r="R162" s="360">
        <v>0</v>
      </c>
      <c r="S162" s="360">
        <v>0</v>
      </c>
      <c r="T162" s="360">
        <v>0</v>
      </c>
      <c r="U162" s="360">
        <v>0</v>
      </c>
      <c r="V162" s="360">
        <v>0</v>
      </c>
      <c r="W162" s="360">
        <v>0</v>
      </c>
      <c r="X162" s="360">
        <v>0</v>
      </c>
      <c r="Y162" s="360">
        <v>0</v>
      </c>
      <c r="Z162" s="360">
        <v>0</v>
      </c>
      <c r="AA162" s="360">
        <v>0</v>
      </c>
      <c r="AB162" s="360">
        <v>0</v>
      </c>
      <c r="AC162" s="360">
        <v>0</v>
      </c>
      <c r="AD162" s="360">
        <v>0</v>
      </c>
      <c r="AE162" s="360">
        <v>0</v>
      </c>
      <c r="AF162" s="360"/>
      <c r="AG162" s="360">
        <v>0</v>
      </c>
      <c r="AH162" s="360"/>
      <c r="AI162" s="360">
        <v>0</v>
      </c>
      <c r="AJ162" s="360"/>
      <c r="AK162" s="360">
        <f>SUM(K162:AJ162)</f>
        <v>0</v>
      </c>
      <c r="AL162" s="360"/>
      <c r="AM162" s="360"/>
      <c r="AN162" s="360"/>
      <c r="AO162" s="360">
        <v>0</v>
      </c>
      <c r="AP162" s="360"/>
      <c r="AQ162" s="360">
        <v>0</v>
      </c>
      <c r="AR162" s="360"/>
      <c r="AS162" s="360">
        <v>0</v>
      </c>
      <c r="AT162" s="360"/>
      <c r="AU162" s="360">
        <v>0</v>
      </c>
      <c r="AV162" s="360"/>
      <c r="AW162" s="360">
        <v>0</v>
      </c>
      <c r="AX162" s="360"/>
      <c r="AY162" s="360">
        <v>0</v>
      </c>
      <c r="AZ162" s="360"/>
      <c r="BA162" s="360">
        <v>0</v>
      </c>
      <c r="BB162" s="360"/>
      <c r="BC162" s="360">
        <v>0</v>
      </c>
      <c r="BD162" s="360">
        <v>0</v>
      </c>
      <c r="BE162" s="360">
        <f>SUM(AK162:BD162)</f>
        <v>0</v>
      </c>
      <c r="BF162" s="360"/>
      <c r="BG162" s="222">
        <f>+MAX(0,G162-BE162+AM162)</f>
        <v>1297298</v>
      </c>
      <c r="BH162" s="360"/>
      <c r="BI162" s="222">
        <f>SUM(BE162:BG162)</f>
        <v>1297298</v>
      </c>
      <c r="BJ162" s="360"/>
      <c r="BK162" s="360">
        <f>G162-BI162</f>
        <v>0</v>
      </c>
      <c r="BL162" s="223"/>
    </row>
    <row r="163" spans="1:64" s="222" customFormat="1" hidden="1">
      <c r="A163" s="366"/>
      <c r="B163" s="212"/>
      <c r="E163" s="360"/>
      <c r="F163" s="223"/>
      <c r="G163" s="360"/>
      <c r="H163" s="223"/>
      <c r="I163" s="360"/>
      <c r="J163" s="360"/>
      <c r="K163" s="360"/>
      <c r="L163" s="360"/>
      <c r="M163" s="360"/>
      <c r="N163" s="360"/>
      <c r="O163" s="360"/>
      <c r="P163" s="360"/>
      <c r="Q163" s="360"/>
      <c r="R163" s="360"/>
      <c r="S163" s="360"/>
      <c r="T163" s="360"/>
      <c r="U163" s="360"/>
      <c r="V163" s="360"/>
      <c r="W163" s="360"/>
      <c r="X163" s="360"/>
      <c r="Y163" s="360"/>
      <c r="Z163" s="360"/>
      <c r="AA163" s="360"/>
      <c r="AB163" s="360"/>
      <c r="AC163" s="360"/>
      <c r="AD163" s="360"/>
      <c r="AE163" s="360"/>
      <c r="AF163" s="360"/>
      <c r="AG163" s="360"/>
      <c r="AH163" s="360"/>
      <c r="AI163" s="360"/>
      <c r="AJ163" s="360"/>
      <c r="AK163" s="360"/>
      <c r="AL163" s="360"/>
      <c r="AM163" s="360"/>
      <c r="AN163" s="360"/>
      <c r="AO163" s="360"/>
      <c r="AP163" s="360"/>
      <c r="AQ163" s="360"/>
      <c r="AR163" s="360"/>
      <c r="AS163" s="360"/>
      <c r="AT163" s="360"/>
      <c r="AU163" s="360"/>
      <c r="AV163" s="360"/>
      <c r="AW163" s="360"/>
      <c r="AX163" s="360"/>
      <c r="AY163" s="360"/>
      <c r="AZ163" s="360"/>
      <c r="BA163" s="360"/>
      <c r="BB163" s="360"/>
      <c r="BC163" s="360"/>
      <c r="BD163" s="360"/>
      <c r="BE163" s="360"/>
      <c r="BF163" s="360"/>
      <c r="BH163" s="360"/>
      <c r="BJ163" s="360"/>
      <c r="BK163" s="360"/>
      <c r="BL163" s="223"/>
    </row>
    <row r="164" spans="1:64" s="222" customFormat="1" hidden="1">
      <c r="A164" s="366" t="s">
        <v>7</v>
      </c>
      <c r="B164" s="212"/>
      <c r="E164" s="360">
        <v>-230000</v>
      </c>
      <c r="F164" s="223"/>
      <c r="G164" s="360">
        <v>-230000</v>
      </c>
      <c r="H164" s="223"/>
      <c r="I164" s="360">
        <f>G164-E164</f>
        <v>0</v>
      </c>
      <c r="J164" s="360"/>
      <c r="K164" s="360">
        <v>0</v>
      </c>
      <c r="L164" s="360">
        <v>0</v>
      </c>
      <c r="M164" s="360">
        <v>0</v>
      </c>
      <c r="N164" s="360">
        <v>0</v>
      </c>
      <c r="O164" s="360">
        <v>0</v>
      </c>
      <c r="P164" s="360">
        <v>0</v>
      </c>
      <c r="Q164" s="360">
        <v>0</v>
      </c>
      <c r="R164" s="360">
        <v>0</v>
      </c>
      <c r="S164" s="360">
        <v>0</v>
      </c>
      <c r="T164" s="360">
        <v>0</v>
      </c>
      <c r="U164" s="360">
        <v>0</v>
      </c>
      <c r="V164" s="360">
        <v>0</v>
      </c>
      <c r="W164" s="360">
        <v>0</v>
      </c>
      <c r="X164" s="360">
        <v>0</v>
      </c>
      <c r="Y164" s="360">
        <v>0</v>
      </c>
      <c r="Z164" s="360">
        <v>0</v>
      </c>
      <c r="AA164" s="360">
        <v>0</v>
      </c>
      <c r="AB164" s="360">
        <v>0</v>
      </c>
      <c r="AC164" s="360">
        <v>0</v>
      </c>
      <c r="AD164" s="360">
        <v>0</v>
      </c>
      <c r="AE164" s="360">
        <v>0</v>
      </c>
      <c r="AF164" s="360"/>
      <c r="AG164" s="360">
        <v>0</v>
      </c>
      <c r="AH164" s="360"/>
      <c r="AI164" s="360">
        <v>0</v>
      </c>
      <c r="AJ164" s="360"/>
      <c r="AK164" s="360">
        <f>SUM(K164:AJ164)</f>
        <v>0</v>
      </c>
      <c r="AL164" s="360"/>
      <c r="AM164" s="360"/>
      <c r="AN164" s="360"/>
      <c r="AO164" s="360">
        <v>0</v>
      </c>
      <c r="AP164" s="360"/>
      <c r="AQ164" s="360">
        <v>0</v>
      </c>
      <c r="AR164" s="360"/>
      <c r="AS164" s="360">
        <v>0</v>
      </c>
      <c r="AT164" s="360"/>
      <c r="AU164" s="360">
        <v>0</v>
      </c>
      <c r="AV164" s="360"/>
      <c r="AW164" s="360">
        <v>0</v>
      </c>
      <c r="AX164" s="360"/>
      <c r="AY164" s="360">
        <v>0</v>
      </c>
      <c r="AZ164" s="360"/>
      <c r="BA164" s="360">
        <v>0</v>
      </c>
      <c r="BB164" s="360"/>
      <c r="BC164" s="360">
        <v>0</v>
      </c>
      <c r="BD164" s="360">
        <v>0</v>
      </c>
      <c r="BE164" s="360">
        <f>SUM(AK164:BD164)</f>
        <v>0</v>
      </c>
      <c r="BF164" s="360"/>
      <c r="BG164" s="222">
        <f>G164-BE164</f>
        <v>-230000</v>
      </c>
      <c r="BH164" s="360"/>
      <c r="BI164" s="222">
        <f>SUM(BE164:BG164)</f>
        <v>-230000</v>
      </c>
      <c r="BJ164" s="360"/>
      <c r="BK164" s="360">
        <f>G164-BI164</f>
        <v>0</v>
      </c>
      <c r="BL164" s="223"/>
    </row>
    <row r="165" spans="1:64" s="200" customFormat="1" hidden="1">
      <c r="A165" s="366"/>
      <c r="B165" s="212"/>
      <c r="C165" s="403"/>
      <c r="D165" s="403"/>
      <c r="E165" s="360"/>
      <c r="F165" s="217"/>
      <c r="G165" s="360"/>
      <c r="H165" s="217"/>
      <c r="I165" s="360"/>
      <c r="J165" s="360"/>
      <c r="K165" s="360"/>
      <c r="L165" s="360"/>
      <c r="M165" s="360"/>
      <c r="N165" s="360"/>
      <c r="O165" s="360"/>
      <c r="P165" s="360"/>
      <c r="Q165" s="360"/>
      <c r="R165" s="360"/>
      <c r="S165" s="360"/>
      <c r="T165" s="360"/>
      <c r="U165" s="360"/>
      <c r="V165" s="360"/>
      <c r="W165" s="360"/>
      <c r="X165" s="360"/>
      <c r="Y165" s="360"/>
      <c r="Z165" s="360"/>
      <c r="AA165" s="360"/>
      <c r="AB165" s="360"/>
      <c r="AC165" s="360"/>
      <c r="AD165" s="360"/>
      <c r="AE165" s="360"/>
      <c r="AF165" s="360"/>
      <c r="AG165" s="360"/>
      <c r="AH165" s="360"/>
      <c r="AI165" s="360"/>
      <c r="AJ165" s="360"/>
      <c r="AK165" s="360"/>
      <c r="AL165" s="360"/>
      <c r="AM165" s="360"/>
      <c r="AN165" s="360"/>
      <c r="AO165" s="360"/>
      <c r="AP165" s="360"/>
      <c r="AQ165" s="360"/>
      <c r="AR165" s="360"/>
      <c r="AS165" s="360"/>
      <c r="AT165" s="360"/>
      <c r="AU165" s="360"/>
      <c r="AV165" s="360"/>
      <c r="AW165" s="360"/>
      <c r="AX165" s="360"/>
      <c r="AY165" s="360"/>
      <c r="AZ165" s="360"/>
      <c r="BA165" s="360"/>
      <c r="BB165" s="360"/>
      <c r="BC165" s="360"/>
      <c r="BD165" s="360"/>
      <c r="BE165" s="360"/>
      <c r="BF165" s="360"/>
      <c r="BG165" s="222"/>
      <c r="BH165" s="360"/>
      <c r="BI165" s="222"/>
      <c r="BJ165" s="360"/>
      <c r="BK165" s="360"/>
      <c r="BL165" s="217"/>
    </row>
    <row r="166" spans="1:64" s="222" customFormat="1" hidden="1">
      <c r="A166" s="366" t="s">
        <v>1460</v>
      </c>
      <c r="B166" s="212"/>
      <c r="E166" s="360">
        <v>149109</v>
      </c>
      <c r="F166" s="360">
        <v>777891</v>
      </c>
      <c r="G166" s="360">
        <v>0</v>
      </c>
      <c r="H166" s="223"/>
      <c r="I166" s="360">
        <f>G166-E166</f>
        <v>-149109</v>
      </c>
      <c r="J166" s="360"/>
      <c r="K166" s="360">
        <v>0</v>
      </c>
      <c r="L166" s="360">
        <v>0</v>
      </c>
      <c r="M166" s="360">
        <v>0</v>
      </c>
      <c r="N166" s="360">
        <v>0</v>
      </c>
      <c r="O166" s="360">
        <v>0</v>
      </c>
      <c r="P166" s="360">
        <v>0</v>
      </c>
      <c r="Q166" s="360">
        <v>0</v>
      </c>
      <c r="R166" s="360">
        <v>0</v>
      </c>
      <c r="S166" s="360">
        <v>0</v>
      </c>
      <c r="T166" s="360">
        <v>0</v>
      </c>
      <c r="U166" s="360">
        <v>0</v>
      </c>
      <c r="V166" s="360">
        <v>0</v>
      </c>
      <c r="W166" s="360">
        <v>0</v>
      </c>
      <c r="X166" s="360">
        <v>0</v>
      </c>
      <c r="Y166" s="360">
        <v>0</v>
      </c>
      <c r="Z166" s="360">
        <v>0</v>
      </c>
      <c r="AA166" s="360">
        <v>0</v>
      </c>
      <c r="AB166" s="360">
        <v>0</v>
      </c>
      <c r="AC166" s="360">
        <v>0</v>
      </c>
      <c r="AD166" s="360">
        <v>0</v>
      </c>
      <c r="AE166" s="360">
        <v>0</v>
      </c>
      <c r="AF166" s="360"/>
      <c r="AG166" s="360">
        <v>0</v>
      </c>
      <c r="AH166" s="360"/>
      <c r="AI166" s="360">
        <v>0</v>
      </c>
      <c r="AJ166" s="360"/>
      <c r="AK166" s="360">
        <f>SUM(K166:AJ166)</f>
        <v>0</v>
      </c>
      <c r="AL166" s="360"/>
      <c r="AM166" s="360"/>
      <c r="AN166" s="360"/>
      <c r="AO166" s="360">
        <v>0</v>
      </c>
      <c r="AP166" s="360"/>
      <c r="AQ166" s="360">
        <v>0</v>
      </c>
      <c r="AR166" s="360"/>
      <c r="AS166" s="360">
        <v>0</v>
      </c>
      <c r="AT166" s="360"/>
      <c r="AU166" s="360">
        <v>0</v>
      </c>
      <c r="AV166" s="360"/>
      <c r="AW166" s="360">
        <v>0</v>
      </c>
      <c r="AX166" s="360"/>
      <c r="AY166" s="360">
        <v>0</v>
      </c>
      <c r="AZ166" s="360"/>
      <c r="BA166" s="360">
        <v>0</v>
      </c>
      <c r="BB166" s="360"/>
      <c r="BC166" s="360">
        <v>0</v>
      </c>
      <c r="BD166" s="360">
        <v>0</v>
      </c>
      <c r="BE166" s="360">
        <f>SUM(AK166:BD166)</f>
        <v>0</v>
      </c>
      <c r="BF166" s="360"/>
      <c r="BG166" s="222">
        <f>+MAX(0,G166-BE166+AM166)</f>
        <v>0</v>
      </c>
      <c r="BH166" s="360"/>
      <c r="BI166" s="222">
        <f>SUM(BE166:BG166)</f>
        <v>0</v>
      </c>
      <c r="BJ166" s="360"/>
      <c r="BK166" s="360">
        <f>G166-BI166</f>
        <v>0</v>
      </c>
      <c r="BL166" s="223"/>
    </row>
    <row r="167" spans="1:64" s="200" customFormat="1" hidden="1">
      <c r="A167" s="366"/>
      <c r="B167" s="212"/>
      <c r="C167" s="403"/>
      <c r="D167" s="403"/>
      <c r="E167" s="360"/>
      <c r="F167" s="217"/>
      <c r="G167" s="360"/>
      <c r="H167" s="217"/>
      <c r="I167" s="360"/>
      <c r="J167" s="360"/>
      <c r="K167" s="360"/>
      <c r="L167" s="360"/>
      <c r="M167" s="360"/>
      <c r="N167" s="360"/>
      <c r="O167" s="360"/>
      <c r="P167" s="360"/>
      <c r="Q167" s="360"/>
      <c r="R167" s="360"/>
      <c r="S167" s="360"/>
      <c r="T167" s="360"/>
      <c r="U167" s="360"/>
      <c r="V167" s="360"/>
      <c r="W167" s="360"/>
      <c r="X167" s="360"/>
      <c r="Y167" s="360"/>
      <c r="Z167" s="360"/>
      <c r="AA167" s="360"/>
      <c r="AB167" s="360"/>
      <c r="AC167" s="360"/>
      <c r="AD167" s="360"/>
      <c r="AE167" s="360"/>
      <c r="AF167" s="360"/>
      <c r="AG167" s="360"/>
      <c r="AH167" s="360"/>
      <c r="AI167" s="360"/>
      <c r="AJ167" s="360"/>
      <c r="AK167" s="360"/>
      <c r="AL167" s="360"/>
      <c r="AM167" s="360"/>
      <c r="AN167" s="360"/>
      <c r="AO167" s="360"/>
      <c r="AP167" s="360"/>
      <c r="AQ167" s="360"/>
      <c r="AR167" s="360"/>
      <c r="AS167" s="360"/>
      <c r="AT167" s="360"/>
      <c r="AU167" s="360"/>
      <c r="AV167" s="360"/>
      <c r="AW167" s="360"/>
      <c r="AX167" s="360"/>
      <c r="AY167" s="360"/>
      <c r="AZ167" s="360"/>
      <c r="BA167" s="360"/>
      <c r="BB167" s="360"/>
      <c r="BC167" s="360"/>
      <c r="BD167" s="360"/>
      <c r="BE167" s="360"/>
      <c r="BF167" s="360"/>
      <c r="BG167" s="360"/>
      <c r="BH167" s="360"/>
      <c r="BI167" s="360"/>
      <c r="BJ167" s="360"/>
      <c r="BK167" s="360"/>
      <c r="BL167" s="217"/>
    </row>
    <row r="168" spans="1:64" s="222" customFormat="1" hidden="1">
      <c r="A168" s="366" t="s">
        <v>1571</v>
      </c>
      <c r="B168" s="212"/>
      <c r="E168" s="360">
        <v>0</v>
      </c>
      <c r="F168" s="223"/>
      <c r="G168" s="360">
        <v>0</v>
      </c>
      <c r="H168" s="223"/>
      <c r="I168" s="360"/>
      <c r="J168" s="360"/>
      <c r="K168" s="360"/>
      <c r="L168" s="360"/>
      <c r="M168" s="360"/>
      <c r="N168" s="360"/>
      <c r="O168" s="360"/>
      <c r="P168" s="360"/>
      <c r="Q168" s="360"/>
      <c r="R168" s="360"/>
      <c r="S168" s="360"/>
      <c r="T168" s="360"/>
      <c r="U168" s="360"/>
      <c r="V168" s="360"/>
      <c r="W168" s="360"/>
      <c r="X168" s="360"/>
      <c r="Y168" s="360"/>
      <c r="Z168" s="360"/>
      <c r="AA168" s="360"/>
      <c r="AB168" s="360"/>
      <c r="AC168" s="360"/>
      <c r="AD168" s="360"/>
      <c r="AE168" s="360"/>
      <c r="AF168" s="360"/>
      <c r="AG168" s="360">
        <f>-AG64+201869+82855</f>
        <v>-1755</v>
      </c>
      <c r="AH168" s="360"/>
      <c r="AI168" s="360">
        <f>2173279-6359-AI156-AI150-AI148-AI143-AI138-AI136-AI131-AI126-AI124-AI122-AI117-AI112-AI106-AI100-AI94-AI90-AI64</f>
        <v>1579413</v>
      </c>
      <c r="AJ168" s="360"/>
      <c r="AK168" s="360">
        <f>SUM(K168:AJ168)</f>
        <v>1577658</v>
      </c>
      <c r="AL168" s="360"/>
      <c r="AM168" s="360"/>
      <c r="AN168" s="360"/>
      <c r="AO168" s="360">
        <f>5309025-(31972-6359)-AO158-AO160-AO162-AO164-AO166</f>
        <v>2166906</v>
      </c>
      <c r="AP168" s="360"/>
      <c r="AQ168" s="360">
        <v>0</v>
      </c>
      <c r="AR168" s="360"/>
      <c r="AS168" s="360">
        <v>0</v>
      </c>
      <c r="AT168" s="360"/>
      <c r="AU168" s="360">
        <v>0</v>
      </c>
      <c r="AV168" s="360"/>
      <c r="AW168" s="360">
        <v>0</v>
      </c>
      <c r="AX168" s="360"/>
      <c r="AY168" s="360">
        <v>0</v>
      </c>
      <c r="AZ168" s="360"/>
      <c r="BA168" s="360">
        <v>0</v>
      </c>
      <c r="BB168" s="360"/>
      <c r="BC168" s="360">
        <v>0</v>
      </c>
      <c r="BD168" s="360">
        <v>0</v>
      </c>
      <c r="BE168" s="360">
        <f>SUM(AK168:BD168)</f>
        <v>3744564</v>
      </c>
      <c r="BF168" s="360"/>
      <c r="BG168" s="222">
        <f>-BE168</f>
        <v>-3744564</v>
      </c>
      <c r="BH168" s="360"/>
      <c r="BI168" s="222">
        <f>SUM(BE168:BG168)</f>
        <v>0</v>
      </c>
      <c r="BJ168" s="360"/>
      <c r="BK168" s="360">
        <f>G168-BI168</f>
        <v>0</v>
      </c>
      <c r="BL168" s="223"/>
    </row>
    <row r="169" spans="1:64" s="222" customFormat="1">
      <c r="A169" s="366"/>
      <c r="B169" s="212"/>
      <c r="E169" s="360"/>
      <c r="F169" s="223"/>
      <c r="G169" s="360"/>
      <c r="H169" s="223"/>
      <c r="I169" s="360"/>
      <c r="J169" s="360"/>
      <c r="K169" s="360"/>
      <c r="L169" s="360"/>
      <c r="M169" s="360"/>
      <c r="N169" s="360"/>
      <c r="O169" s="360"/>
      <c r="P169" s="360"/>
      <c r="Q169" s="360"/>
      <c r="R169" s="360"/>
      <c r="S169" s="360"/>
      <c r="T169" s="360"/>
      <c r="U169" s="360"/>
      <c r="V169" s="360"/>
      <c r="W169" s="360"/>
      <c r="X169" s="360"/>
      <c r="Y169" s="360"/>
      <c r="Z169" s="360"/>
      <c r="AA169" s="360"/>
      <c r="AB169" s="360"/>
      <c r="AC169" s="360"/>
      <c r="AD169" s="360"/>
      <c r="AE169" s="360"/>
      <c r="AF169" s="360"/>
      <c r="AG169" s="360"/>
      <c r="AH169" s="360"/>
      <c r="AI169" s="360"/>
      <c r="AJ169" s="360"/>
      <c r="AK169" s="360"/>
      <c r="AL169" s="360"/>
      <c r="AM169" s="360"/>
      <c r="AN169" s="360"/>
      <c r="AO169" s="360"/>
      <c r="AP169" s="360"/>
      <c r="AQ169" s="360"/>
      <c r="AR169" s="360"/>
      <c r="AS169" s="360"/>
      <c r="AT169" s="360"/>
      <c r="AU169" s="360"/>
      <c r="AV169" s="360"/>
      <c r="AW169" s="360"/>
      <c r="AX169" s="360"/>
      <c r="AY169" s="360"/>
      <c r="AZ169" s="360"/>
      <c r="BA169" s="360"/>
      <c r="BB169" s="360"/>
      <c r="BC169" s="360"/>
      <c r="BD169" s="360"/>
      <c r="BE169" s="360"/>
      <c r="BF169" s="360"/>
      <c r="BH169" s="360"/>
      <c r="BJ169" s="360"/>
      <c r="BK169" s="360"/>
      <c r="BL169" s="223"/>
    </row>
    <row r="170" spans="1:64" s="200" customFormat="1" hidden="1">
      <c r="A170" s="216"/>
      <c r="B170" s="212"/>
      <c r="C170" s="403"/>
      <c r="D170" s="403"/>
      <c r="E170" s="360"/>
      <c r="F170" s="217"/>
      <c r="G170" s="360"/>
      <c r="H170" s="217"/>
      <c r="I170" s="360"/>
      <c r="J170" s="360"/>
      <c r="K170" s="360"/>
      <c r="L170" s="360"/>
      <c r="M170" s="360"/>
      <c r="N170" s="360"/>
      <c r="O170" s="360"/>
      <c r="P170" s="360"/>
      <c r="Q170" s="360"/>
      <c r="R170" s="360"/>
      <c r="S170" s="360"/>
      <c r="T170" s="360"/>
      <c r="U170" s="360"/>
      <c r="V170" s="360"/>
      <c r="W170" s="360"/>
      <c r="X170" s="360"/>
      <c r="Y170" s="360"/>
      <c r="Z170" s="360"/>
      <c r="AA170" s="360"/>
      <c r="AB170" s="360"/>
      <c r="AC170" s="360"/>
      <c r="AD170" s="360"/>
      <c r="AE170" s="360"/>
      <c r="AF170" s="360"/>
      <c r="AG170" s="360"/>
      <c r="AH170" s="360"/>
      <c r="AI170" s="360"/>
      <c r="AJ170" s="360"/>
      <c r="AK170" s="360"/>
      <c r="AL170" s="360"/>
      <c r="AM170" s="360"/>
      <c r="AN170" s="360"/>
      <c r="AO170" s="360"/>
      <c r="AP170" s="360"/>
      <c r="AQ170" s="360"/>
      <c r="AR170" s="360"/>
      <c r="AS170" s="360"/>
      <c r="AT170" s="360"/>
      <c r="AU170" s="360"/>
      <c r="AV170" s="360"/>
      <c r="AW170" s="360"/>
      <c r="AX170" s="360"/>
      <c r="AY170" s="360"/>
      <c r="AZ170" s="360"/>
      <c r="BA170" s="360"/>
      <c r="BB170" s="360"/>
      <c r="BC170" s="360"/>
      <c r="BD170" s="360"/>
      <c r="BE170" s="360"/>
      <c r="BF170" s="360"/>
      <c r="BG170" s="360"/>
      <c r="BH170" s="360"/>
      <c r="BI170" s="360"/>
      <c r="BJ170" s="360"/>
      <c r="BK170" s="360"/>
      <c r="BL170" s="217"/>
    </row>
    <row r="171" spans="1:64" s="222" customFormat="1">
      <c r="A171" s="410" t="s">
        <v>205</v>
      </c>
      <c r="B171" s="411"/>
      <c r="E171" s="222">
        <v>22115722</v>
      </c>
      <c r="F171" s="222">
        <f t="shared" ref="F171:AP171" si="53">F168+F162+F160+F158+F164+F166</f>
        <v>1370043</v>
      </c>
      <c r="G171" s="222">
        <f>ENA!G164</f>
        <v>26066481.960000001</v>
      </c>
      <c r="H171" s="222">
        <f t="shared" si="53"/>
        <v>0</v>
      </c>
      <c r="I171" s="222">
        <f t="shared" si="53"/>
        <v>-149109</v>
      </c>
      <c r="J171" s="222">
        <f t="shared" si="53"/>
        <v>-295512</v>
      </c>
      <c r="K171" s="222">
        <f t="shared" si="53"/>
        <v>0</v>
      </c>
      <c r="L171" s="222">
        <f t="shared" si="53"/>
        <v>0</v>
      </c>
      <c r="M171" s="222">
        <f t="shared" si="53"/>
        <v>0</v>
      </c>
      <c r="N171" s="222">
        <f t="shared" si="53"/>
        <v>0</v>
      </c>
      <c r="O171" s="222">
        <f t="shared" si="53"/>
        <v>0</v>
      </c>
      <c r="P171" s="222">
        <f t="shared" si="53"/>
        <v>0</v>
      </c>
      <c r="Q171" s="222">
        <f t="shared" si="53"/>
        <v>0</v>
      </c>
      <c r="R171" s="222">
        <f t="shared" si="53"/>
        <v>0</v>
      </c>
      <c r="S171" s="222">
        <f t="shared" si="53"/>
        <v>0</v>
      </c>
      <c r="T171" s="222">
        <f t="shared" si="53"/>
        <v>0</v>
      </c>
      <c r="U171" s="222">
        <f t="shared" si="53"/>
        <v>0</v>
      </c>
      <c r="V171" s="222">
        <f t="shared" si="53"/>
        <v>0</v>
      </c>
      <c r="W171" s="222">
        <f t="shared" si="53"/>
        <v>0</v>
      </c>
      <c r="X171" s="222">
        <f t="shared" si="53"/>
        <v>0</v>
      </c>
      <c r="Y171" s="222">
        <f t="shared" si="53"/>
        <v>0</v>
      </c>
      <c r="Z171" s="222">
        <f t="shared" si="53"/>
        <v>0</v>
      </c>
      <c r="AA171" s="222">
        <f t="shared" si="53"/>
        <v>0</v>
      </c>
      <c r="AB171" s="222">
        <f t="shared" si="53"/>
        <v>0</v>
      </c>
      <c r="AC171" s="222">
        <f t="shared" si="53"/>
        <v>0</v>
      </c>
      <c r="AD171" s="222">
        <f t="shared" si="53"/>
        <v>0</v>
      </c>
      <c r="AE171" s="222">
        <f t="shared" si="53"/>
        <v>0</v>
      </c>
      <c r="AF171" s="222">
        <f t="shared" si="53"/>
        <v>0</v>
      </c>
      <c r="AG171" s="222">
        <f t="shared" si="53"/>
        <v>586754</v>
      </c>
      <c r="AH171" s="222">
        <f t="shared" si="53"/>
        <v>286479</v>
      </c>
      <c r="AI171" s="222">
        <f t="shared" si="53"/>
        <v>2495638</v>
      </c>
      <c r="AJ171" s="222">
        <f t="shared" si="53"/>
        <v>0</v>
      </c>
      <c r="AK171" s="222">
        <v>3088751</v>
      </c>
      <c r="AL171" s="222">
        <f t="shared" si="53"/>
        <v>0</v>
      </c>
      <c r="AM171" s="222">
        <f t="shared" si="53"/>
        <v>0</v>
      </c>
      <c r="AN171" s="222">
        <f t="shared" si="53"/>
        <v>0</v>
      </c>
      <c r="AO171" s="222">
        <v>5309025</v>
      </c>
      <c r="AP171" s="222">
        <f t="shared" si="53"/>
        <v>0</v>
      </c>
      <c r="AQ171" s="222">
        <v>0</v>
      </c>
      <c r="AR171" s="222">
        <f>AR168+AR162+AR160+AR158+AR164+AR166</f>
        <v>0</v>
      </c>
      <c r="AS171" s="222">
        <v>0</v>
      </c>
      <c r="AU171" s="222">
        <v>3927276</v>
      </c>
      <c r="AV171" s="222">
        <f>AV168+AV162+AV160+AV158+AV164+AV166</f>
        <v>0</v>
      </c>
      <c r="AW171" s="222">
        <v>1882165</v>
      </c>
      <c r="AX171" s="222">
        <f>AX168+AX162+AX160+AX158+AX164+AX166</f>
        <v>0</v>
      </c>
      <c r="AY171" s="222">
        <f>712557+157687+3531998</f>
        <v>4402242</v>
      </c>
      <c r="AZ171" s="222">
        <f>AZ168+AZ162+AZ160+AZ158+AZ164+AZ166</f>
        <v>0</v>
      </c>
      <c r="BA171" s="222">
        <f>309587+157687</f>
        <v>467274</v>
      </c>
      <c r="BC171" s="222">
        <f>61332+314371</f>
        <v>375703</v>
      </c>
      <c r="BD171" s="222">
        <f>BD168+BD162+BD160+BD158+BD164+BD166</f>
        <v>11</v>
      </c>
      <c r="BE171" s="222">
        <f>SUM(AG171:BC171)</f>
        <v>22821307</v>
      </c>
      <c r="BF171" s="222">
        <f>BF168+BF162+BF160+BF158+BF164+BF166</f>
        <v>0</v>
      </c>
      <c r="BH171" s="222">
        <f>BH168+BH162+BH160+BH158+BH164+BH166</f>
        <v>0</v>
      </c>
      <c r="BI171" s="222">
        <f>BI168+BI162+BI160+BI158+BI164+BI166+240414</f>
        <v>22159961</v>
      </c>
      <c r="BJ171" s="222">
        <f>BJ168+BJ162+BJ160+BJ158+BJ164+BJ166</f>
        <v>0</v>
      </c>
      <c r="BL171" s="222">
        <f>BL168+BL162+BL160+BL158+BL166</f>
        <v>0</v>
      </c>
    </row>
    <row r="172" spans="1:64" s="200" customFormat="1" hidden="1">
      <c r="A172" s="216"/>
      <c r="B172" s="212"/>
      <c r="C172" s="403"/>
      <c r="D172" s="403"/>
      <c r="F172" s="217"/>
      <c r="G172" s="360"/>
      <c r="H172" s="217"/>
      <c r="J172" s="217"/>
      <c r="L172" s="217"/>
      <c r="N172" s="217"/>
      <c r="P172" s="217"/>
      <c r="R172" s="217"/>
      <c r="T172" s="217"/>
      <c r="V172" s="217"/>
      <c r="X172" s="217"/>
      <c r="Z172" s="217"/>
      <c r="AB172" s="217"/>
      <c r="AD172" s="217"/>
      <c r="AF172" s="217"/>
      <c r="AH172" s="217"/>
      <c r="AJ172" s="217"/>
      <c r="AL172" s="217"/>
      <c r="AM172" s="217"/>
      <c r="AN172" s="217"/>
      <c r="AP172" s="217"/>
      <c r="AQ172" s="217"/>
      <c r="AR172" s="217"/>
      <c r="AS172" s="217"/>
      <c r="AT172" s="217"/>
      <c r="AU172" s="217"/>
      <c r="AV172" s="217"/>
      <c r="AW172" s="217"/>
      <c r="AX172" s="217"/>
      <c r="AY172" s="217"/>
      <c r="AZ172" s="217"/>
      <c r="BA172" s="217"/>
      <c r="BB172" s="217"/>
      <c r="BC172" s="217"/>
      <c r="BD172" s="217"/>
      <c r="BF172" s="217"/>
      <c r="BH172" s="217"/>
      <c r="BJ172" s="217"/>
      <c r="BL172" s="217"/>
    </row>
    <row r="173" spans="1:64" s="222" customFormat="1" hidden="1">
      <c r="A173" s="215"/>
      <c r="B173" s="212" t="s">
        <v>206</v>
      </c>
      <c r="E173" s="222">
        <f t="shared" ref="E173:AE173" si="54">+E171+E46+E36</f>
        <v>104098333.83</v>
      </c>
      <c r="F173" s="223">
        <f t="shared" si="54"/>
        <v>1370043</v>
      </c>
      <c r="G173" s="222">
        <f t="shared" si="54"/>
        <v>114430997.59</v>
      </c>
      <c r="H173" s="223">
        <f t="shared" si="54"/>
        <v>0</v>
      </c>
      <c r="I173" s="222">
        <f t="shared" si="54"/>
        <v>5940635.8000000007</v>
      </c>
      <c r="J173" s="223">
        <f t="shared" si="54"/>
        <v>-295512</v>
      </c>
      <c r="K173" s="222">
        <f t="shared" si="54"/>
        <v>21150000</v>
      </c>
      <c r="L173" s="223">
        <f t="shared" si="54"/>
        <v>0</v>
      </c>
      <c r="M173" s="222">
        <f t="shared" si="54"/>
        <v>4263906.4800000004</v>
      </c>
      <c r="N173" s="223">
        <f t="shared" si="54"/>
        <v>0</v>
      </c>
      <c r="O173" s="222">
        <f t="shared" si="54"/>
        <v>3055146.4</v>
      </c>
      <c r="P173" s="223">
        <f t="shared" si="54"/>
        <v>0</v>
      </c>
      <c r="Q173" s="222">
        <f t="shared" si="54"/>
        <v>1650000</v>
      </c>
      <c r="R173" s="223">
        <f t="shared" si="54"/>
        <v>0</v>
      </c>
      <c r="S173" s="222">
        <f t="shared" si="54"/>
        <v>2814117</v>
      </c>
      <c r="T173" s="223">
        <f t="shared" si="54"/>
        <v>0</v>
      </c>
      <c r="U173" s="222">
        <f t="shared" si="54"/>
        <v>4389866.41</v>
      </c>
      <c r="V173" s="223">
        <f t="shared" si="54"/>
        <v>0</v>
      </c>
      <c r="W173" s="222">
        <f t="shared" si="54"/>
        <v>2662213.1399999997</v>
      </c>
      <c r="X173" s="223">
        <f t="shared" si="54"/>
        <v>0</v>
      </c>
      <c r="Y173" s="222">
        <f t="shared" si="54"/>
        <v>167441.37000000011</v>
      </c>
      <c r="Z173" s="223">
        <f t="shared" si="54"/>
        <v>0</v>
      </c>
      <c r="AA173" s="222">
        <f t="shared" si="54"/>
        <v>3251216.99</v>
      </c>
      <c r="AB173" s="223">
        <f t="shared" si="54"/>
        <v>0</v>
      </c>
      <c r="AC173" s="222">
        <f t="shared" si="54"/>
        <v>3049213.96</v>
      </c>
      <c r="AD173" s="223">
        <f t="shared" si="54"/>
        <v>0</v>
      </c>
      <c r="AE173" s="222">
        <f t="shared" si="54"/>
        <v>5927496.9900000002</v>
      </c>
      <c r="AF173" s="223"/>
      <c r="AG173" s="222">
        <f>+AG171+AG46+AG36</f>
        <v>6264886</v>
      </c>
      <c r="AH173" s="223">
        <f>+AH171+AH46+AH36</f>
        <v>286479</v>
      </c>
      <c r="AI173" s="222">
        <f>+AI171+AI46+AI36</f>
        <v>6373099.5899999999</v>
      </c>
      <c r="AJ173" s="223"/>
      <c r="AK173" s="222">
        <f>+AK171+AK46+AK36</f>
        <v>65722841.480000004</v>
      </c>
      <c r="AL173" s="223">
        <f>+AL171+AL46+AL36</f>
        <v>0</v>
      </c>
      <c r="AM173" s="223">
        <f>+AM171+AM46+AM36</f>
        <v>0</v>
      </c>
      <c r="AN173" s="223">
        <f>+AN171+AN46+AN36</f>
        <v>0</v>
      </c>
      <c r="AO173" s="222">
        <f>+AO171+AO46+AO36</f>
        <v>9100937.0899999999</v>
      </c>
      <c r="AP173" s="223"/>
      <c r="AQ173" s="223">
        <f>+AQ171+AQ46+AQ36</f>
        <v>3192446.4799999995</v>
      </c>
      <c r="AR173" s="223"/>
      <c r="AS173" s="223">
        <f>+AS171+AS46+AS36</f>
        <v>8907307.8800000008</v>
      </c>
      <c r="AT173" s="223"/>
      <c r="AU173" s="223">
        <f>+AU171+AU46+AU36</f>
        <v>5580688.0800000001</v>
      </c>
      <c r="AV173" s="223"/>
      <c r="AW173" s="223">
        <f>+AW171+AW46+AW36</f>
        <v>3728090.8200000003</v>
      </c>
      <c r="AX173" s="223"/>
      <c r="AY173" s="223">
        <f>+AY171+AY46+AY36</f>
        <v>7555397.666666666</v>
      </c>
      <c r="AZ173" s="223"/>
      <c r="BA173" s="223">
        <f>+BA171+BA46+BA36</f>
        <v>1418811.6666666667</v>
      </c>
      <c r="BB173" s="223"/>
      <c r="BC173" s="223">
        <f>+BC171+BC46+BC36</f>
        <v>851084.66666666674</v>
      </c>
      <c r="BD173" s="223">
        <f>+BD171+BD46+BD36</f>
        <v>11</v>
      </c>
      <c r="BE173" s="222">
        <f>+BE171+BE46+BE36</f>
        <v>109426476.83000001</v>
      </c>
      <c r="BF173" s="223"/>
      <c r="BG173" s="222">
        <f t="shared" ref="BG173:BL173" si="55">+BG171+BG46+BG36</f>
        <v>11.220000000030268</v>
      </c>
      <c r="BH173" s="223">
        <f t="shared" si="55"/>
        <v>0</v>
      </c>
      <c r="BI173" s="222">
        <f t="shared" si="55"/>
        <v>108513131.61000001</v>
      </c>
      <c r="BJ173" s="223">
        <f t="shared" si="55"/>
        <v>0</v>
      </c>
      <c r="BK173" s="222">
        <f t="shared" si="55"/>
        <v>-3658942.7800000026</v>
      </c>
      <c r="BL173" s="223">
        <f t="shared" si="55"/>
        <v>0</v>
      </c>
    </row>
    <row r="174" spans="1:64" s="222" customFormat="1">
      <c r="A174" s="215"/>
      <c r="B174" s="212"/>
      <c r="F174" s="223"/>
      <c r="H174" s="223"/>
      <c r="J174" s="223"/>
      <c r="L174" s="223"/>
      <c r="N174" s="223"/>
      <c r="P174" s="223"/>
      <c r="R174" s="223"/>
      <c r="T174" s="223"/>
      <c r="V174" s="223"/>
      <c r="X174" s="223"/>
      <c r="Z174" s="223"/>
      <c r="AB174" s="223"/>
      <c r="AD174" s="223"/>
      <c r="AF174" s="223"/>
      <c r="AH174" s="223"/>
      <c r="AJ174" s="223"/>
      <c r="AL174" s="223"/>
      <c r="AM174" s="223"/>
      <c r="AN174" s="223"/>
      <c r="AP174" s="223"/>
      <c r="AQ174" s="223"/>
      <c r="AR174" s="223"/>
      <c r="AS174" s="223"/>
      <c r="AT174" s="223"/>
      <c r="AU174" s="223"/>
      <c r="AV174" s="223"/>
      <c r="AW174" s="223"/>
      <c r="AX174" s="223"/>
      <c r="AY174" s="223"/>
      <c r="AZ174" s="223"/>
      <c r="BA174" s="223"/>
      <c r="BB174" s="223"/>
      <c r="BC174" s="223"/>
      <c r="BD174" s="223"/>
      <c r="BF174" s="223"/>
      <c r="BH174" s="223"/>
      <c r="BJ174" s="223"/>
      <c r="BL174" s="223"/>
    </row>
    <row r="175" spans="1:64" s="222" customFormat="1">
      <c r="A175" s="215"/>
      <c r="B175" s="212" t="s">
        <v>7</v>
      </c>
      <c r="F175" s="223"/>
      <c r="G175" s="222">
        <v>-230000</v>
      </c>
      <c r="H175" s="223"/>
      <c r="J175" s="223"/>
      <c r="L175" s="223"/>
      <c r="N175" s="223"/>
      <c r="P175" s="223"/>
      <c r="R175" s="223"/>
      <c r="T175" s="223"/>
      <c r="V175" s="223"/>
      <c r="X175" s="223"/>
      <c r="Z175" s="223"/>
      <c r="AB175" s="223"/>
      <c r="AD175" s="223"/>
      <c r="AF175" s="223"/>
      <c r="AH175" s="223"/>
      <c r="AJ175" s="223"/>
      <c r="AL175" s="223"/>
      <c r="AM175" s="223"/>
      <c r="AN175" s="223"/>
      <c r="AP175" s="223"/>
      <c r="AQ175" s="223"/>
      <c r="AR175" s="223"/>
      <c r="AS175" s="223"/>
      <c r="AT175" s="223"/>
      <c r="AU175" s="223"/>
      <c r="AV175" s="223"/>
      <c r="AW175" s="223"/>
      <c r="AX175" s="223"/>
      <c r="AY175" s="223">
        <v>-230000</v>
      </c>
      <c r="AZ175" s="223"/>
      <c r="BA175" s="223"/>
      <c r="BB175" s="223"/>
      <c r="BC175" s="223"/>
      <c r="BD175" s="223"/>
      <c r="BE175" s="222">
        <f>SUM(AG175:BC175)</f>
        <v>-230000</v>
      </c>
      <c r="BF175" s="223"/>
      <c r="BH175" s="223"/>
      <c r="BJ175" s="223"/>
      <c r="BL175" s="223"/>
    </row>
    <row r="176" spans="1:64" s="222" customFormat="1">
      <c r="A176" s="215"/>
      <c r="B176" s="212"/>
      <c r="F176" s="223"/>
      <c r="H176" s="223"/>
      <c r="J176" s="223"/>
      <c r="L176" s="223"/>
      <c r="N176" s="223"/>
      <c r="P176" s="223"/>
      <c r="R176" s="223"/>
      <c r="T176" s="223"/>
      <c r="V176" s="223"/>
      <c r="X176" s="223"/>
      <c r="Z176" s="223"/>
      <c r="AB176" s="223"/>
      <c r="AD176" s="223"/>
      <c r="AF176" s="223"/>
      <c r="AH176" s="223"/>
      <c r="AJ176" s="223"/>
      <c r="AL176" s="223"/>
      <c r="AM176" s="223"/>
      <c r="AN176" s="223"/>
      <c r="AP176" s="223"/>
      <c r="AQ176" s="223"/>
      <c r="AR176" s="223"/>
      <c r="AS176" s="223"/>
      <c r="AT176" s="223"/>
      <c r="AU176" s="223"/>
      <c r="AV176" s="223"/>
      <c r="AW176" s="223"/>
      <c r="AX176" s="223"/>
      <c r="AY176" s="223"/>
      <c r="AZ176" s="223"/>
      <c r="BA176" s="223"/>
      <c r="BB176" s="223"/>
      <c r="BC176" s="223"/>
      <c r="BD176" s="223"/>
      <c r="BE176" s="200"/>
      <c r="BF176" s="223"/>
      <c r="BH176" s="223"/>
      <c r="BJ176" s="223"/>
      <c r="BL176" s="223"/>
    </row>
    <row r="177" spans="1:64" s="222" customFormat="1">
      <c r="A177" s="215"/>
      <c r="B177" s="212" t="s">
        <v>34</v>
      </c>
      <c r="F177" s="223"/>
      <c r="G177" s="222">
        <f>-6121912+4916256</f>
        <v>-1205656</v>
      </c>
      <c r="H177" s="223"/>
      <c r="J177" s="223"/>
      <c r="L177" s="223"/>
      <c r="N177" s="223"/>
      <c r="P177" s="223"/>
      <c r="R177" s="223"/>
      <c r="T177" s="223"/>
      <c r="V177" s="223"/>
      <c r="X177" s="223"/>
      <c r="Z177" s="223"/>
      <c r="AB177" s="223"/>
      <c r="AD177" s="223"/>
      <c r="AF177" s="223"/>
      <c r="AH177" s="223"/>
      <c r="AJ177" s="223"/>
      <c r="AK177" s="222">
        <v>1964470</v>
      </c>
      <c r="AL177" s="223"/>
      <c r="AM177" s="223"/>
      <c r="AN177" s="223"/>
      <c r="AP177" s="223"/>
      <c r="AQ177" s="223">
        <v>1787992</v>
      </c>
      <c r="AR177" s="223"/>
      <c r="AS177" s="223">
        <v>-53400</v>
      </c>
      <c r="AT177" s="223"/>
      <c r="AU177" s="223">
        <f>703804-5479320</f>
        <v>-4775516</v>
      </c>
      <c r="AV177" s="223"/>
      <c r="AW177" s="223">
        <v>-129202</v>
      </c>
      <c r="AX177" s="223"/>
      <c r="AY177" s="223"/>
      <c r="AZ177" s="223"/>
      <c r="BA177" s="223"/>
      <c r="BB177" s="223"/>
      <c r="BC177" s="223"/>
      <c r="BD177" s="223"/>
      <c r="BE177" s="222">
        <v>-1183424</v>
      </c>
      <c r="BF177" s="223"/>
      <c r="BH177" s="223"/>
      <c r="BJ177" s="223"/>
      <c r="BL177" s="223"/>
    </row>
    <row r="178" spans="1:64" s="200" customFormat="1">
      <c r="A178" s="215"/>
      <c r="B178" s="212"/>
      <c r="C178" s="403"/>
      <c r="D178" s="403"/>
      <c r="F178" s="217"/>
      <c r="H178" s="217"/>
      <c r="J178" s="217"/>
      <c r="L178" s="217"/>
      <c r="N178" s="217"/>
      <c r="P178" s="217"/>
      <c r="R178" s="217"/>
      <c r="T178" s="217"/>
      <c r="V178" s="217"/>
      <c r="X178" s="217"/>
      <c r="Z178" s="217"/>
      <c r="AB178" s="217"/>
      <c r="AD178" s="217"/>
      <c r="AF178" s="217"/>
      <c r="AH178" s="217"/>
      <c r="AJ178" s="217"/>
      <c r="AL178" s="217"/>
      <c r="AM178" s="217"/>
      <c r="AN178" s="217"/>
      <c r="AP178" s="217"/>
      <c r="AQ178" s="217"/>
      <c r="AR178" s="217"/>
      <c r="AS178" s="217"/>
      <c r="AT178" s="217"/>
      <c r="AU178" s="217"/>
      <c r="AV178" s="217"/>
      <c r="AW178" s="217"/>
      <c r="AX178" s="217"/>
      <c r="AY178" s="217"/>
      <c r="AZ178" s="217"/>
      <c r="BA178" s="217"/>
      <c r="BB178" s="217"/>
      <c r="BC178" s="217"/>
      <c r="BD178" s="217"/>
      <c r="BF178" s="217"/>
      <c r="BH178" s="217"/>
      <c r="BJ178" s="217"/>
      <c r="BL178" s="217"/>
    </row>
    <row r="179" spans="1:64" s="225" customFormat="1">
      <c r="A179" s="412" t="s">
        <v>260</v>
      </c>
      <c r="B179" s="212"/>
      <c r="E179" s="225">
        <v>1694670</v>
      </c>
      <c r="F179" s="223">
        <v>0</v>
      </c>
      <c r="G179" s="225">
        <v>0</v>
      </c>
      <c r="H179" s="223"/>
      <c r="I179" s="225">
        <f>+G179-E179</f>
        <v>-1694670</v>
      </c>
      <c r="J179" s="223"/>
      <c r="K179" s="225">
        <v>0</v>
      </c>
      <c r="M179" s="225">
        <v>0</v>
      </c>
      <c r="O179" s="225">
        <v>0</v>
      </c>
      <c r="Q179" s="413">
        <v>5000</v>
      </c>
      <c r="S179" s="223">
        <f>5000</f>
        <v>5000</v>
      </c>
      <c r="T179" s="223"/>
      <c r="U179" s="225">
        <v>5000</v>
      </c>
      <c r="W179" s="225">
        <v>0</v>
      </c>
      <c r="Y179" s="225">
        <v>0</v>
      </c>
      <c r="AC179" s="225">
        <v>0</v>
      </c>
      <c r="AE179" s="225">
        <v>0</v>
      </c>
      <c r="AG179" s="225">
        <v>0</v>
      </c>
      <c r="AI179" s="225">
        <v>0</v>
      </c>
      <c r="AK179" s="225">
        <v>0</v>
      </c>
      <c r="AM179" s="225">
        <v>0</v>
      </c>
      <c r="AO179" s="225">
        <v>0</v>
      </c>
      <c r="AQ179" s="225">
        <v>0</v>
      </c>
      <c r="AS179" s="225">
        <v>0</v>
      </c>
      <c r="AU179" s="225">
        <v>0</v>
      </c>
      <c r="AW179" s="225">
        <v>0</v>
      </c>
      <c r="BD179" s="225">
        <v>0</v>
      </c>
      <c r="BE179" s="222">
        <f>SUM(AG179:BC179)</f>
        <v>0</v>
      </c>
      <c r="BG179" s="225">
        <f>+MAX(0,G179-BE179+AM179)</f>
        <v>0</v>
      </c>
      <c r="BH179" s="223"/>
      <c r="BI179" s="225">
        <f>SUM(BE179:BG179)</f>
        <v>0</v>
      </c>
      <c r="BJ179" s="223"/>
      <c r="BK179" s="348">
        <f>+G179-BI179</f>
        <v>0</v>
      </c>
    </row>
    <row r="180" spans="1:64">
      <c r="A180" s="212"/>
      <c r="B180" s="212"/>
      <c r="C180" s="402"/>
      <c r="D180" s="402"/>
      <c r="E180" s="206"/>
      <c r="F180" s="217"/>
      <c r="G180" s="206"/>
      <c r="H180" s="217"/>
      <c r="I180" s="206"/>
      <c r="J180" s="217"/>
      <c r="K180" s="206"/>
      <c r="L180" s="206"/>
      <c r="M180" s="206"/>
      <c r="O180" s="206"/>
      <c r="Q180" s="206"/>
      <c r="S180" s="206"/>
      <c r="U180" s="206"/>
      <c r="V180" s="206"/>
      <c r="W180" s="206"/>
      <c r="X180" s="206"/>
      <c r="Y180" s="206"/>
      <c r="Z180" s="206"/>
      <c r="AA180" s="206"/>
      <c r="AB180" s="206"/>
      <c r="AC180" s="206"/>
      <c r="AD180" s="206"/>
      <c r="AE180" s="206"/>
      <c r="AF180" s="206"/>
      <c r="AG180" s="206"/>
      <c r="AI180" s="206"/>
      <c r="AK180" s="206"/>
      <c r="AM180" s="206"/>
      <c r="AO180" s="206"/>
      <c r="BE180" s="222"/>
      <c r="BG180" s="206"/>
      <c r="BH180" s="217"/>
      <c r="BI180" s="206"/>
      <c r="BJ180" s="217"/>
      <c r="BK180" s="348"/>
    </row>
    <row r="181" spans="1:64" hidden="1">
      <c r="A181" s="212" t="s">
        <v>261</v>
      </c>
      <c r="B181" s="206"/>
      <c r="C181" s="402"/>
      <c r="D181" s="402"/>
      <c r="E181" s="206"/>
      <c r="G181" s="206"/>
      <c r="I181" s="206"/>
      <c r="K181" s="206"/>
      <c r="L181" s="206"/>
      <c r="M181" s="206"/>
      <c r="O181" s="206"/>
      <c r="Q181" s="206"/>
      <c r="S181" s="206"/>
      <c r="U181" s="206"/>
      <c r="V181" s="206"/>
      <c r="W181" s="206"/>
      <c r="X181" s="206"/>
      <c r="Y181" s="206"/>
      <c r="Z181" s="206"/>
      <c r="AA181" s="206"/>
      <c r="AB181" s="206"/>
      <c r="AC181" s="206"/>
      <c r="AD181" s="206"/>
      <c r="AE181" s="206"/>
      <c r="AF181" s="206"/>
      <c r="AG181" s="206"/>
      <c r="AI181" s="206"/>
      <c r="AK181" s="206"/>
      <c r="AM181" s="206"/>
      <c r="AO181" s="206"/>
      <c r="BE181" s="200"/>
      <c r="BG181" s="206"/>
      <c r="BI181" s="206"/>
      <c r="BK181" s="348"/>
    </row>
    <row r="182" spans="1:64" hidden="1">
      <c r="A182" s="197"/>
      <c r="B182" s="206" t="s">
        <v>434</v>
      </c>
      <c r="C182" s="206"/>
      <c r="D182" s="206"/>
      <c r="E182" s="206">
        <v>351920.32</v>
      </c>
      <c r="G182" s="206">
        <v>351920.32</v>
      </c>
      <c r="I182" s="206">
        <f>+G182-E182</f>
        <v>0</v>
      </c>
      <c r="K182" s="206">
        <v>45000</v>
      </c>
      <c r="L182" s="206"/>
      <c r="M182" s="206">
        <v>0</v>
      </c>
      <c r="O182" s="206">
        <v>0</v>
      </c>
      <c r="Q182" s="206">
        <v>0</v>
      </c>
      <c r="S182" s="217">
        <f>8000+8000</f>
        <v>16000</v>
      </c>
      <c r="U182" s="206">
        <v>0</v>
      </c>
      <c r="V182" s="206"/>
      <c r="W182" s="206">
        <v>0</v>
      </c>
      <c r="X182" s="206"/>
      <c r="Y182" s="206">
        <f>315565.77+7000</f>
        <v>322565.77</v>
      </c>
      <c r="Z182" s="206"/>
      <c r="AA182" s="206">
        <f>-149519.93-7000</f>
        <v>-156519.93</v>
      </c>
      <c r="AB182" s="206"/>
      <c r="AC182" s="206">
        <v>0</v>
      </c>
      <c r="AD182" s="206"/>
      <c r="AE182" s="206">
        <v>16000</v>
      </c>
      <c r="AF182" s="206"/>
      <c r="AG182" s="206"/>
      <c r="AI182" s="206"/>
      <c r="AK182" s="206">
        <f>SUM(K182:AJ182)</f>
        <v>243045.84000000003</v>
      </c>
      <c r="AM182" s="206">
        <v>0</v>
      </c>
      <c r="AO182" s="206">
        <v>156476.51999999999</v>
      </c>
      <c r="AQ182" s="206">
        <v>0</v>
      </c>
      <c r="AS182" s="206">
        <v>0</v>
      </c>
      <c r="AU182" s="206">
        <v>0</v>
      </c>
      <c r="AW182" s="206">
        <v>0</v>
      </c>
      <c r="AY182" s="206">
        <v>0</v>
      </c>
      <c r="BA182" s="206">
        <v>0</v>
      </c>
      <c r="BC182" s="206">
        <v>0</v>
      </c>
      <c r="BD182" s="206">
        <v>0</v>
      </c>
      <c r="BE182" s="222">
        <f>SUM(AG182:BC182)</f>
        <v>399522.36</v>
      </c>
      <c r="BG182" s="206">
        <f>+MAX(0,G182-BE182+AM182)</f>
        <v>0</v>
      </c>
      <c r="BI182" s="206">
        <f>SUM(BE182:BG182)</f>
        <v>399522.36</v>
      </c>
      <c r="BK182" s="348">
        <f>+G182-BI182</f>
        <v>-47602.039999999979</v>
      </c>
    </row>
    <row r="183" spans="1:64" hidden="1">
      <c r="A183" s="197"/>
      <c r="B183" s="206" t="s">
        <v>359</v>
      </c>
      <c r="C183" s="206"/>
      <c r="D183" s="206"/>
      <c r="E183" s="206">
        <v>0</v>
      </c>
      <c r="G183" s="206">
        <f>+E183+I183</f>
        <v>0</v>
      </c>
      <c r="I183" s="206">
        <v>0</v>
      </c>
      <c r="K183" s="206">
        <v>0</v>
      </c>
      <c r="L183" s="206"/>
      <c r="M183" s="206">
        <v>0</v>
      </c>
      <c r="O183" s="206">
        <v>0</v>
      </c>
      <c r="Q183" s="206">
        <v>0</v>
      </c>
      <c r="S183" s="206">
        <v>0</v>
      </c>
      <c r="U183" s="206">
        <v>0</v>
      </c>
      <c r="V183" s="206"/>
      <c r="W183" s="206">
        <v>0</v>
      </c>
      <c r="X183" s="206"/>
      <c r="Y183" s="206">
        <v>0</v>
      </c>
      <c r="Z183" s="206"/>
      <c r="AA183" s="206">
        <v>0</v>
      </c>
      <c r="AB183" s="206"/>
      <c r="AC183" s="206">
        <v>0</v>
      </c>
      <c r="AD183" s="206"/>
      <c r="AE183" s="206">
        <v>0</v>
      </c>
      <c r="AF183" s="206"/>
      <c r="AG183" s="206">
        <v>0</v>
      </c>
      <c r="AI183" s="206">
        <v>0</v>
      </c>
      <c r="AK183" s="206">
        <f>SUM(K183:AJ183)</f>
        <v>0</v>
      </c>
      <c r="AM183" s="206">
        <v>0</v>
      </c>
      <c r="AO183" s="206">
        <v>0</v>
      </c>
      <c r="AQ183" s="206">
        <v>0</v>
      </c>
      <c r="AS183" s="206">
        <v>0</v>
      </c>
      <c r="AU183" s="206">
        <v>0</v>
      </c>
      <c r="AW183" s="206">
        <v>0</v>
      </c>
      <c r="AY183" s="206">
        <v>0</v>
      </c>
      <c r="BA183" s="206">
        <v>0</v>
      </c>
      <c r="BC183" s="206">
        <v>0</v>
      </c>
      <c r="BD183" s="206">
        <v>0</v>
      </c>
      <c r="BE183" s="222">
        <f>SUM(AG183:BC183)</f>
        <v>0</v>
      </c>
      <c r="BG183" s="206">
        <f>+MAX(0,G183-AK183+AM183)</f>
        <v>0</v>
      </c>
      <c r="BI183" s="206">
        <f>+AK183+BG183</f>
        <v>0</v>
      </c>
      <c r="BK183" s="206">
        <f>+G183-BI183</f>
        <v>0</v>
      </c>
    </row>
    <row r="184" spans="1:64" hidden="1">
      <c r="A184" s="197"/>
      <c r="B184" s="206" t="s">
        <v>359</v>
      </c>
      <c r="C184" s="206"/>
      <c r="D184" s="206"/>
      <c r="E184" s="206">
        <v>0</v>
      </c>
      <c r="G184" s="206">
        <f>+E184+I184</f>
        <v>0</v>
      </c>
      <c r="I184" s="206">
        <v>0</v>
      </c>
      <c r="K184" s="206">
        <v>0</v>
      </c>
      <c r="L184" s="206"/>
      <c r="M184" s="206">
        <v>0</v>
      </c>
      <c r="O184" s="206">
        <v>0</v>
      </c>
      <c r="Q184" s="206">
        <v>0</v>
      </c>
      <c r="S184" s="206">
        <v>0</v>
      </c>
      <c r="U184" s="206">
        <v>0</v>
      </c>
      <c r="V184" s="206"/>
      <c r="W184" s="206">
        <v>0</v>
      </c>
      <c r="X184" s="206"/>
      <c r="Y184" s="206">
        <v>0</v>
      </c>
      <c r="Z184" s="206"/>
      <c r="AA184" s="206">
        <v>0</v>
      </c>
      <c r="AB184" s="206"/>
      <c r="AC184" s="206">
        <v>0</v>
      </c>
      <c r="AD184" s="206"/>
      <c r="AE184" s="206">
        <v>0</v>
      </c>
      <c r="AF184" s="206"/>
      <c r="AG184" s="206">
        <v>0</v>
      </c>
      <c r="AI184" s="206">
        <v>0</v>
      </c>
      <c r="AK184" s="206">
        <f>SUM(K184:AJ184)</f>
        <v>0</v>
      </c>
      <c r="AM184" s="206">
        <v>0</v>
      </c>
      <c r="AO184" s="206">
        <v>0</v>
      </c>
      <c r="AQ184" s="206">
        <v>0</v>
      </c>
      <c r="AS184" s="206">
        <v>0</v>
      </c>
      <c r="AU184" s="206">
        <v>0</v>
      </c>
      <c r="AW184" s="206">
        <v>0</v>
      </c>
      <c r="AY184" s="206">
        <v>0</v>
      </c>
      <c r="BA184" s="206">
        <v>0</v>
      </c>
      <c r="BC184" s="206">
        <v>0</v>
      </c>
      <c r="BD184" s="206">
        <v>0</v>
      </c>
      <c r="BE184" s="200"/>
      <c r="BG184" s="206">
        <f>+MAX(0,G184-AK184+AM184)</f>
        <v>0</v>
      </c>
      <c r="BI184" s="206">
        <f>+AK184+BG184</f>
        <v>0</v>
      </c>
      <c r="BK184" s="206">
        <f>+G184-BI184</f>
        <v>0</v>
      </c>
    </row>
    <row r="185" spans="1:64" hidden="1">
      <c r="A185" s="197"/>
      <c r="B185" s="206"/>
      <c r="C185" s="206"/>
      <c r="D185" s="206"/>
      <c r="E185" s="206"/>
      <c r="G185" s="206"/>
      <c r="I185" s="206"/>
      <c r="K185" s="206"/>
      <c r="L185" s="206"/>
      <c r="M185" s="206"/>
      <c r="O185" s="206"/>
      <c r="Q185" s="206"/>
      <c r="S185" s="206"/>
      <c r="U185" s="206"/>
      <c r="V185" s="206"/>
      <c r="W185" s="206"/>
      <c r="X185" s="206"/>
      <c r="Y185" s="206"/>
      <c r="Z185" s="206"/>
      <c r="AA185" s="206"/>
      <c r="AB185" s="206"/>
      <c r="AC185" s="206"/>
      <c r="AD185" s="206"/>
      <c r="AE185" s="206"/>
      <c r="AF185" s="206"/>
      <c r="AG185" s="206"/>
      <c r="AI185" s="206"/>
      <c r="AK185" s="206"/>
      <c r="AM185" s="206"/>
      <c r="AO185" s="206"/>
      <c r="BE185" s="222">
        <f>SUM(AG185:BC185)</f>
        <v>0</v>
      </c>
      <c r="BG185" s="206"/>
      <c r="BI185" s="206"/>
      <c r="BK185" s="206"/>
    </row>
    <row r="186" spans="1:64" s="225" customFormat="1">
      <c r="A186" s="212"/>
      <c r="B186" s="225" t="s">
        <v>261</v>
      </c>
      <c r="E186" s="225">
        <f>SUM(E182:E185)</f>
        <v>351920.32</v>
      </c>
      <c r="G186" s="225">
        <v>409522</v>
      </c>
      <c r="I186" s="225">
        <f>SUM(I182:I185)</f>
        <v>0</v>
      </c>
      <c r="K186" s="225">
        <f>SUM(K182:K185)</f>
        <v>45000</v>
      </c>
      <c r="M186" s="225">
        <f>SUM(M182:M185)</f>
        <v>0</v>
      </c>
      <c r="O186" s="225">
        <f>SUM(O182:O185)</f>
        <v>0</v>
      </c>
      <c r="Q186" s="225">
        <f>SUM(Q182:Q185)</f>
        <v>0</v>
      </c>
      <c r="S186" s="225">
        <f>SUM(S182:S185)</f>
        <v>16000</v>
      </c>
      <c r="T186" s="223"/>
      <c r="U186" s="225">
        <f>SUM(U182:U185)</f>
        <v>0</v>
      </c>
      <c r="W186" s="225">
        <f>SUM(W182:W185)</f>
        <v>0</v>
      </c>
      <c r="Y186" s="225">
        <f>SUM(Y182:Y185)</f>
        <v>322565.77</v>
      </c>
      <c r="AA186" s="225">
        <f>SUM(AA182:AA185)</f>
        <v>-156519.93</v>
      </c>
      <c r="AC186" s="225">
        <f>SUM(AC182:AC185)</f>
        <v>0</v>
      </c>
      <c r="AE186" s="225">
        <f>SUM(AE182:AE185)</f>
        <v>16000</v>
      </c>
      <c r="AG186" s="225">
        <f>SUM(AG182:AG185)</f>
        <v>0</v>
      </c>
      <c r="AI186" s="225">
        <f>SUM(AI182:AI185)</f>
        <v>0</v>
      </c>
      <c r="AK186" s="225">
        <f>SUM(AK182:AK185)</f>
        <v>243045.84000000003</v>
      </c>
      <c r="AM186" s="225">
        <f>SUM(AM182:AM185)</f>
        <v>0</v>
      </c>
      <c r="AO186" s="225">
        <f>SUM(AO182:AO185)</f>
        <v>156476.51999999999</v>
      </c>
      <c r="AQ186" s="225">
        <f>SUM(AQ182:AQ185)</f>
        <v>0</v>
      </c>
      <c r="AS186" s="225">
        <f>SUM(AS182:AS185)</f>
        <v>0</v>
      </c>
      <c r="AU186" s="225">
        <f>SUM(AU182:AU185)</f>
        <v>0</v>
      </c>
      <c r="AY186" s="225">
        <v>10000</v>
      </c>
      <c r="BA186" s="225">
        <f>SUM(BA182:BA185)</f>
        <v>0</v>
      </c>
      <c r="BC186" s="225">
        <f>SUM(BC182:BC185)</f>
        <v>0</v>
      </c>
      <c r="BD186" s="225">
        <f>SUM(BD182:BD185)</f>
        <v>0</v>
      </c>
      <c r="BE186" s="222">
        <f>SUM(AG186:BC186)</f>
        <v>409522.36</v>
      </c>
      <c r="BG186" s="225">
        <f>SUM(BG182:BG185)</f>
        <v>0</v>
      </c>
      <c r="BI186" s="225">
        <f>SUM(BI182:BI185)</f>
        <v>399522.36</v>
      </c>
      <c r="BK186" s="348">
        <f>SUM(BK182:BK185)</f>
        <v>-47602.039999999979</v>
      </c>
    </row>
    <row r="187" spans="1:64">
      <c r="A187" s="383"/>
      <c r="B187" s="197"/>
      <c r="C187" s="206"/>
      <c r="D187" s="206"/>
      <c r="E187" s="206"/>
      <c r="G187" s="206"/>
      <c r="I187" s="206"/>
      <c r="K187" s="206"/>
      <c r="L187" s="206"/>
      <c r="M187" s="206"/>
      <c r="O187" s="206"/>
      <c r="Q187" s="206"/>
      <c r="S187" s="206"/>
      <c r="U187" s="206"/>
      <c r="V187" s="206"/>
      <c r="W187" s="206"/>
      <c r="X187" s="206"/>
      <c r="Y187" s="206"/>
      <c r="Z187" s="206"/>
      <c r="AA187" s="206"/>
      <c r="AB187" s="206"/>
      <c r="AC187" s="206"/>
      <c r="AD187" s="206"/>
      <c r="AE187" s="206"/>
      <c r="AF187" s="206"/>
      <c r="AG187" s="206"/>
      <c r="AI187" s="206"/>
      <c r="AK187" s="206"/>
      <c r="AM187" s="206"/>
      <c r="AO187" s="206"/>
      <c r="BE187" s="206"/>
      <c r="BG187" s="206"/>
      <c r="BI187" s="206"/>
      <c r="BK187" s="206"/>
    </row>
    <row r="188" spans="1:64" hidden="1">
      <c r="A188" s="212" t="s">
        <v>262</v>
      </c>
      <c r="B188" s="206"/>
      <c r="C188" s="402"/>
      <c r="D188" s="402"/>
      <c r="E188" s="206"/>
      <c r="G188" s="206"/>
      <c r="I188" s="206"/>
      <c r="K188" s="206"/>
      <c r="L188" s="206"/>
      <c r="M188" s="206"/>
      <c r="O188" s="206"/>
      <c r="Q188" s="206"/>
      <c r="S188" s="206"/>
      <c r="U188" s="206"/>
      <c r="V188" s="206"/>
      <c r="W188" s="206"/>
      <c r="X188" s="206"/>
      <c r="Y188" s="206"/>
      <c r="Z188" s="206"/>
      <c r="AA188" s="206"/>
      <c r="AB188" s="206"/>
      <c r="AC188" s="206"/>
      <c r="AD188" s="206"/>
      <c r="AE188" s="206"/>
      <c r="AF188" s="206"/>
      <c r="AG188" s="206"/>
      <c r="AI188" s="206"/>
      <c r="AK188" s="206"/>
      <c r="AM188" s="206"/>
      <c r="AO188" s="206"/>
      <c r="BE188" s="206"/>
      <c r="BG188" s="206"/>
      <c r="BI188" s="206"/>
      <c r="BK188" s="206"/>
    </row>
    <row r="189" spans="1:64" hidden="1">
      <c r="A189" s="212"/>
      <c r="B189" s="206" t="s">
        <v>413</v>
      </c>
      <c r="C189" s="402"/>
      <c r="D189" s="402"/>
      <c r="E189" s="218">
        <v>400000</v>
      </c>
      <c r="G189" s="206">
        <f>348814-272350</f>
        <v>76464</v>
      </c>
      <c r="I189" s="206">
        <f>+G189-E189</f>
        <v>-323536</v>
      </c>
      <c r="K189" s="206">
        <v>0</v>
      </c>
      <c r="L189" s="206"/>
      <c r="M189" s="206">
        <v>0</v>
      </c>
      <c r="O189" s="414"/>
      <c r="Q189" s="415">
        <f>3208.45+3798.17</f>
        <v>7006.62</v>
      </c>
      <c r="S189" s="206">
        <v>0</v>
      </c>
      <c r="U189" s="218">
        <f>1027.25+4563.43+582+8250+18705.49</f>
        <v>33128.17</v>
      </c>
      <c r="V189" s="218"/>
      <c r="W189" s="218">
        <v>0</v>
      </c>
      <c r="X189" s="218"/>
      <c r="Y189" s="218">
        <v>0</v>
      </c>
      <c r="Z189" s="218"/>
      <c r="AA189" s="218">
        <f>969.25</f>
        <v>969.25</v>
      </c>
      <c r="AB189" s="218"/>
      <c r="AC189" s="218">
        <v>0</v>
      </c>
      <c r="AD189" s="218"/>
      <c r="AE189" s="218">
        <f>1848.15</f>
        <v>1848.15</v>
      </c>
      <c r="AF189" s="218"/>
      <c r="AG189" s="206">
        <f>3360+667+2300.25</f>
        <v>6327.25</v>
      </c>
      <c r="AI189" s="206">
        <v>2158</v>
      </c>
      <c r="AK189" s="206">
        <f>SUM(K189:AJ189)</f>
        <v>51437.440000000002</v>
      </c>
      <c r="AM189" s="206">
        <v>0</v>
      </c>
      <c r="AO189" s="206">
        <v>26.24</v>
      </c>
      <c r="AQ189" s="206">
        <v>0</v>
      </c>
      <c r="AS189" s="206">
        <v>25039</v>
      </c>
      <c r="AU189" s="206">
        <v>0</v>
      </c>
      <c r="AW189" s="206">
        <v>0</v>
      </c>
      <c r="AY189" s="206">
        <v>0</v>
      </c>
      <c r="BA189" s="206">
        <v>0</v>
      </c>
      <c r="BC189" s="206">
        <v>0</v>
      </c>
      <c r="BD189" s="206">
        <v>0</v>
      </c>
      <c r="BE189" s="206">
        <f>SUM(AK189:BA189)</f>
        <v>76502.679999999993</v>
      </c>
      <c r="BG189" s="206">
        <f>+MAX(0,G189-BE189+AM189)</f>
        <v>0</v>
      </c>
      <c r="BI189" s="206">
        <f>SUM(BE189:BG189)</f>
        <v>76502.679999999993</v>
      </c>
      <c r="BK189" s="348">
        <f>-BI189+G189</f>
        <v>-38.679999999993015</v>
      </c>
    </row>
    <row r="190" spans="1:64" hidden="1">
      <c r="A190" s="383"/>
      <c r="B190" s="248" t="s">
        <v>1042</v>
      </c>
      <c r="C190" s="402"/>
      <c r="D190" s="402"/>
      <c r="E190" s="206">
        <v>0</v>
      </c>
      <c r="G190" s="206">
        <v>51186</v>
      </c>
      <c r="I190" s="206">
        <f>+G190-E190</f>
        <v>51186</v>
      </c>
      <c r="K190" s="206">
        <v>0</v>
      </c>
      <c r="L190" s="206"/>
      <c r="M190" s="206">
        <v>0</v>
      </c>
      <c r="O190" s="206">
        <v>3168.79</v>
      </c>
      <c r="Q190" s="206">
        <f>3306+6631.5</f>
        <v>9937.5</v>
      </c>
      <c r="S190" s="206">
        <v>0</v>
      </c>
      <c r="U190" s="218">
        <f>10765.92</f>
        <v>10765.92</v>
      </c>
      <c r="V190" s="218"/>
      <c r="W190" s="218">
        <f>2475.23+7636.15</f>
        <v>10111.379999999999</v>
      </c>
      <c r="X190" s="218"/>
      <c r="Y190" s="218">
        <v>0</v>
      </c>
      <c r="Z190" s="218"/>
      <c r="AA190" s="218">
        <f>3916.79+8599.99</f>
        <v>12516.779999999999</v>
      </c>
      <c r="AB190" s="218"/>
      <c r="AC190" s="218">
        <f>2197.53+981.83</f>
        <v>3179.36</v>
      </c>
      <c r="AD190" s="218"/>
      <c r="AE190" s="218">
        <v>0</v>
      </c>
      <c r="AF190" s="218"/>
      <c r="AG190" s="206">
        <v>0</v>
      </c>
      <c r="AI190" s="206">
        <f>1506.69</f>
        <v>1506.69</v>
      </c>
      <c r="AK190" s="206">
        <f>SUM(K190:AJ190)</f>
        <v>51186.42</v>
      </c>
      <c r="AM190" s="206">
        <v>0</v>
      </c>
      <c r="AO190" s="206">
        <v>0</v>
      </c>
      <c r="AQ190" s="206">
        <v>2249</v>
      </c>
      <c r="AS190" s="206">
        <v>0</v>
      </c>
      <c r="AU190" s="206">
        <v>0</v>
      </c>
      <c r="AW190" s="206">
        <v>0</v>
      </c>
      <c r="AY190" s="206">
        <v>0</v>
      </c>
      <c r="BA190" s="206">
        <v>0</v>
      </c>
      <c r="BC190" s="206">
        <v>0</v>
      </c>
      <c r="BD190" s="206">
        <v>0</v>
      </c>
      <c r="BE190" s="206">
        <f>SUM(AK190:BA190)</f>
        <v>53435.42</v>
      </c>
      <c r="BG190" s="206">
        <f>+MAX(0,G190-BE190+AM190)</f>
        <v>0</v>
      </c>
      <c r="BI190" s="206">
        <f>SUM(BE190:BG190)</f>
        <v>53435.42</v>
      </c>
      <c r="BK190" s="348">
        <f>-BI190+G190</f>
        <v>-2249.4199999999983</v>
      </c>
    </row>
    <row r="191" spans="1:64" hidden="1">
      <c r="A191" s="383"/>
      <c r="B191" s="197" t="s">
        <v>359</v>
      </c>
      <c r="C191" s="402"/>
      <c r="D191" s="402"/>
      <c r="E191" s="206">
        <v>0</v>
      </c>
      <c r="G191" s="206">
        <f>+E191+I191</f>
        <v>0</v>
      </c>
      <c r="I191" s="206">
        <v>0</v>
      </c>
      <c r="K191" s="206">
        <v>0</v>
      </c>
      <c r="L191" s="206"/>
      <c r="M191" s="206">
        <v>0</v>
      </c>
      <c r="O191" s="206">
        <v>0</v>
      </c>
      <c r="Q191" s="206">
        <v>0</v>
      </c>
      <c r="S191" s="206">
        <v>0</v>
      </c>
      <c r="U191" s="206">
        <v>0</v>
      </c>
      <c r="V191" s="206"/>
      <c r="W191" s="206">
        <v>0</v>
      </c>
      <c r="X191" s="206"/>
      <c r="Y191" s="206">
        <v>0</v>
      </c>
      <c r="Z191" s="206"/>
      <c r="AA191" s="206">
        <v>0</v>
      </c>
      <c r="AB191" s="206"/>
      <c r="AC191" s="206">
        <v>0</v>
      </c>
      <c r="AD191" s="206"/>
      <c r="AE191" s="206">
        <v>0</v>
      </c>
      <c r="AF191" s="206"/>
      <c r="AG191" s="206">
        <v>0</v>
      </c>
      <c r="AI191" s="206">
        <v>0</v>
      </c>
      <c r="AK191" s="206">
        <f>SUM(K191:AJ191)</f>
        <v>0</v>
      </c>
      <c r="AM191" s="206">
        <v>0</v>
      </c>
      <c r="AO191" s="206">
        <v>0</v>
      </c>
      <c r="AS191" s="206">
        <v>0</v>
      </c>
      <c r="AU191" s="206">
        <v>0</v>
      </c>
      <c r="AW191" s="206">
        <v>0</v>
      </c>
      <c r="AY191" s="206">
        <v>0</v>
      </c>
      <c r="BA191" s="206">
        <v>0</v>
      </c>
      <c r="BC191" s="206">
        <v>0</v>
      </c>
      <c r="BD191" s="206">
        <v>0</v>
      </c>
      <c r="BE191" s="206">
        <f>SUM(AC191:BD191)</f>
        <v>0</v>
      </c>
      <c r="BG191" s="206">
        <f>+MAX(0,G191-AK191+AM191)</f>
        <v>0</v>
      </c>
      <c r="BI191" s="206">
        <f>+AK191+BG191</f>
        <v>0</v>
      </c>
      <c r="BK191" s="348">
        <f>+G191-BI191</f>
        <v>0</v>
      </c>
    </row>
    <row r="192" spans="1:64" hidden="1">
      <c r="A192" s="383"/>
      <c r="B192" s="197"/>
      <c r="C192" s="402"/>
      <c r="D192" s="402"/>
      <c r="E192" s="206"/>
      <c r="G192" s="206"/>
      <c r="I192" s="206"/>
      <c r="K192" s="206"/>
      <c r="L192" s="206"/>
      <c r="M192" s="206"/>
      <c r="O192" s="206"/>
      <c r="Q192" s="206"/>
      <c r="S192" s="206"/>
      <c r="U192" s="206"/>
      <c r="V192" s="206"/>
      <c r="W192" s="206"/>
      <c r="X192" s="206"/>
      <c r="Y192" s="206"/>
      <c r="Z192" s="206"/>
      <c r="AA192" s="206"/>
      <c r="AB192" s="206"/>
      <c r="AC192" s="206"/>
      <c r="AD192" s="206"/>
      <c r="AE192" s="206"/>
      <c r="AF192" s="206"/>
      <c r="AG192" s="206"/>
      <c r="AI192" s="206"/>
      <c r="AK192" s="206"/>
      <c r="AM192" s="206"/>
      <c r="AO192" s="206"/>
      <c r="BE192" s="206"/>
      <c r="BG192" s="206"/>
      <c r="BI192" s="206"/>
      <c r="BK192" s="348"/>
    </row>
    <row r="193" spans="1:63" s="225" customFormat="1">
      <c r="A193" s="416"/>
      <c r="B193" s="212" t="s">
        <v>262</v>
      </c>
      <c r="E193" s="225">
        <f>SUM(E189:E192)</f>
        <v>400000</v>
      </c>
      <c r="G193" s="225">
        <v>105950</v>
      </c>
      <c r="I193" s="225">
        <f>SUM(I189:I192)</f>
        <v>-272350</v>
      </c>
      <c r="K193" s="225">
        <f>SUM(K189:K192)</f>
        <v>0</v>
      </c>
      <c r="M193" s="225">
        <f>SUM(M189:M192)</f>
        <v>0</v>
      </c>
      <c r="O193" s="225">
        <f>SUM(O189:O192)</f>
        <v>3168.79</v>
      </c>
      <c r="Q193" s="225">
        <f>SUM(Q189:Q192)</f>
        <v>16944.12</v>
      </c>
      <c r="S193" s="225">
        <f>SUM(S189:S192)</f>
        <v>0</v>
      </c>
      <c r="T193" s="223"/>
      <c r="U193" s="225">
        <f>SUM(U189:U192)</f>
        <v>43894.09</v>
      </c>
      <c r="W193" s="225">
        <f>SUM(W189:W192)</f>
        <v>10111.379999999999</v>
      </c>
      <c r="Y193" s="225">
        <f>SUM(Y189:Y192)</f>
        <v>0</v>
      </c>
      <c r="AA193" s="225">
        <f>SUM(AA189:AA192)</f>
        <v>13486.029999999999</v>
      </c>
      <c r="AC193" s="225">
        <f>SUM(AC189:AC192)</f>
        <v>3179.36</v>
      </c>
      <c r="AE193" s="225">
        <f>SUM(AE189:AE192)</f>
        <v>1848.15</v>
      </c>
      <c r="AG193" s="225">
        <f>SUM(AG189:AG192)</f>
        <v>6327.25</v>
      </c>
      <c r="AI193" s="225">
        <f>SUM(AI189:AI192)</f>
        <v>3664.69</v>
      </c>
      <c r="AK193" s="225">
        <f>SUM(AK189:AK192)</f>
        <v>102623.86</v>
      </c>
      <c r="AM193" s="225">
        <f>SUM(AM189:AM192)</f>
        <v>0</v>
      </c>
      <c r="AO193" s="225">
        <f>SUM(AO189:AO192)</f>
        <v>26.24</v>
      </c>
      <c r="AQ193" s="225">
        <f>SUM(AQ189:AQ192)</f>
        <v>2249</v>
      </c>
      <c r="AS193" s="225">
        <v>1051</v>
      </c>
      <c r="AU193" s="225">
        <f>SUM(AU189:AU192)</f>
        <v>0</v>
      </c>
      <c r="AW193" s="225">
        <f>SUM(AW189:AW192)</f>
        <v>0</v>
      </c>
      <c r="AY193" s="225">
        <f>SUM(AY189:AY192)</f>
        <v>0</v>
      </c>
      <c r="BA193" s="225">
        <v>0</v>
      </c>
      <c r="BC193" s="225">
        <f>SUM(BC189:BC192)</f>
        <v>0</v>
      </c>
      <c r="BD193" s="225">
        <f>SUM(BD189:BD192)</f>
        <v>0</v>
      </c>
      <c r="BE193" s="225">
        <f>SUM(AK193:BC193)</f>
        <v>105950.1</v>
      </c>
      <c r="BG193" s="225">
        <f>SUM(BG189:BG192)</f>
        <v>0</v>
      </c>
      <c r="BI193" s="225">
        <f>SUM(BI189:BI192)</f>
        <v>129938.09999999999</v>
      </c>
      <c r="BK193" s="348">
        <f>SUM(BK189:BK192)</f>
        <v>-2288.0999999999913</v>
      </c>
    </row>
    <row r="194" spans="1:63" s="225" customFormat="1">
      <c r="A194" s="416"/>
      <c r="B194" s="212"/>
      <c r="T194" s="223"/>
      <c r="BK194" s="348"/>
    </row>
    <row r="195" spans="1:63" s="225" customFormat="1">
      <c r="A195" s="416"/>
      <c r="B195" s="212" t="s">
        <v>35</v>
      </c>
      <c r="T195" s="223"/>
      <c r="AK195" s="225">
        <v>1425</v>
      </c>
      <c r="AQ195" s="225">
        <v>64112</v>
      </c>
      <c r="AS195" s="225">
        <v>0</v>
      </c>
      <c r="AU195" s="225">
        <v>0</v>
      </c>
      <c r="AW195" s="225">
        <v>0</v>
      </c>
      <c r="BE195" s="225">
        <v>0</v>
      </c>
      <c r="BK195" s="348"/>
    </row>
    <row r="196" spans="1:63">
      <c r="A196" s="383"/>
      <c r="B196" s="197"/>
      <c r="C196" s="402"/>
      <c r="D196" s="402"/>
      <c r="E196" s="206"/>
      <c r="G196" s="206"/>
      <c r="I196" s="206"/>
      <c r="K196" s="206"/>
      <c r="L196" s="206"/>
      <c r="M196" s="206"/>
      <c r="O196" s="206"/>
      <c r="Q196" s="206"/>
      <c r="S196" s="206"/>
      <c r="U196" s="206"/>
      <c r="V196" s="206"/>
      <c r="W196" s="206"/>
      <c r="X196" s="206"/>
      <c r="Y196" s="206"/>
      <c r="Z196" s="206"/>
      <c r="AA196" s="206"/>
      <c r="AB196" s="206"/>
      <c r="AC196" s="206"/>
      <c r="AD196" s="206"/>
      <c r="AE196" s="206"/>
      <c r="AF196" s="206"/>
      <c r="AG196" s="206"/>
      <c r="AI196" s="206"/>
      <c r="AK196" s="206"/>
      <c r="AM196" s="206"/>
      <c r="AO196" s="206"/>
      <c r="BE196" s="225"/>
      <c r="BG196" s="206"/>
      <c r="BI196" s="206"/>
      <c r="BK196" s="348"/>
    </row>
    <row r="197" spans="1:63" s="225" customFormat="1">
      <c r="A197" s="412" t="s">
        <v>263</v>
      </c>
      <c r="E197" s="225">
        <v>1000000</v>
      </c>
      <c r="G197" s="225">
        <v>977990</v>
      </c>
      <c r="I197" s="225">
        <f>+G197-E197</f>
        <v>-22010</v>
      </c>
      <c r="K197" s="225">
        <v>0</v>
      </c>
      <c r="M197" s="225">
        <v>0</v>
      </c>
      <c r="O197" s="225">
        <v>0</v>
      </c>
      <c r="Q197" s="225">
        <v>0</v>
      </c>
      <c r="S197" s="225">
        <v>0</v>
      </c>
      <c r="T197" s="223"/>
      <c r="U197" s="225">
        <v>0</v>
      </c>
      <c r="W197" s="225">
        <v>0</v>
      </c>
      <c r="Y197" s="225">
        <v>0</v>
      </c>
      <c r="AA197" s="225">
        <v>0</v>
      </c>
      <c r="AC197" s="225">
        <v>0</v>
      </c>
      <c r="AE197" s="225">
        <v>977990</v>
      </c>
      <c r="AG197" s="225">
        <v>0</v>
      </c>
      <c r="AI197" s="225">
        <v>0</v>
      </c>
      <c r="AK197" s="225">
        <f>SUM(K197:AJ197)</f>
        <v>977990</v>
      </c>
      <c r="AM197" s="225">
        <v>0</v>
      </c>
      <c r="AO197" s="225">
        <v>0</v>
      </c>
      <c r="AQ197" s="225">
        <v>0</v>
      </c>
      <c r="AS197" s="225">
        <v>0</v>
      </c>
      <c r="AU197" s="225">
        <v>0</v>
      </c>
      <c r="AW197" s="225">
        <v>0</v>
      </c>
      <c r="AY197" s="225">
        <v>0</v>
      </c>
      <c r="BA197" s="225">
        <v>0</v>
      </c>
      <c r="BC197" s="225">
        <v>0</v>
      </c>
      <c r="BD197" s="225">
        <v>0</v>
      </c>
      <c r="BE197" s="225">
        <f>SUM(AK197:BC197)</f>
        <v>977990</v>
      </c>
      <c r="BG197" s="225">
        <f>+MAX(0,G197-BE197+AM197)</f>
        <v>0</v>
      </c>
      <c r="BI197" s="225">
        <f>SUM(BE197:BG197)</f>
        <v>977990</v>
      </c>
      <c r="BK197" s="348">
        <f>+G197-BI197</f>
        <v>0</v>
      </c>
    </row>
    <row r="198" spans="1:63">
      <c r="A198" s="383"/>
      <c r="B198" s="197"/>
      <c r="C198" s="402"/>
      <c r="D198" s="402"/>
      <c r="E198" s="206"/>
      <c r="G198" s="206"/>
      <c r="I198" s="206"/>
      <c r="K198" s="206"/>
      <c r="L198" s="206"/>
      <c r="M198" s="206"/>
      <c r="O198" s="206"/>
      <c r="Q198" s="206"/>
      <c r="S198" s="206"/>
      <c r="U198" s="206"/>
      <c r="V198" s="206"/>
      <c r="W198" s="206"/>
      <c r="X198" s="206"/>
      <c r="Y198" s="206"/>
      <c r="Z198" s="206"/>
      <c r="AA198" s="206"/>
      <c r="AB198" s="206"/>
      <c r="AC198" s="206"/>
      <c r="AD198" s="206"/>
      <c r="AE198" s="206"/>
      <c r="AF198" s="206"/>
      <c r="AG198" s="206"/>
      <c r="AI198" s="206"/>
      <c r="AK198" s="206"/>
      <c r="AM198" s="206"/>
      <c r="AO198" s="206"/>
      <c r="BE198" s="206"/>
      <c r="BG198" s="206"/>
      <c r="BI198" s="206"/>
      <c r="BK198" s="348"/>
    </row>
    <row r="199" spans="1:63" hidden="1">
      <c r="A199" s="212" t="s">
        <v>264</v>
      </c>
      <c r="B199" s="206"/>
      <c r="C199" s="402"/>
      <c r="D199" s="402"/>
      <c r="E199" s="206"/>
      <c r="G199" s="206"/>
      <c r="I199" s="225">
        <f>+G199-E199</f>
        <v>0</v>
      </c>
      <c r="K199" s="206"/>
      <c r="L199" s="206"/>
      <c r="M199" s="206"/>
      <c r="O199" s="206"/>
      <c r="Q199" s="206"/>
      <c r="S199" s="206"/>
      <c r="U199" s="206"/>
      <c r="V199" s="206"/>
      <c r="W199" s="206"/>
      <c r="X199" s="206"/>
      <c r="Y199" s="206"/>
      <c r="Z199" s="206"/>
      <c r="AA199" s="206"/>
      <c r="AB199" s="206"/>
      <c r="AC199" s="206"/>
      <c r="AD199" s="206"/>
      <c r="AE199" s="206"/>
      <c r="AF199" s="206"/>
      <c r="AG199" s="206"/>
      <c r="AI199" s="206"/>
      <c r="AK199" s="225">
        <f>SUM(K199:AJ199)</f>
        <v>0</v>
      </c>
      <c r="AM199" s="206"/>
      <c r="AO199" s="225">
        <v>0</v>
      </c>
      <c r="AP199" s="225"/>
      <c r="AQ199" s="225">
        <v>0</v>
      </c>
      <c r="AR199" s="225"/>
      <c r="AS199" s="225">
        <v>0</v>
      </c>
      <c r="AT199" s="225"/>
      <c r="AU199" s="225">
        <v>0</v>
      </c>
      <c r="AV199" s="225"/>
      <c r="AW199" s="225">
        <v>0</v>
      </c>
      <c r="AX199" s="225"/>
      <c r="AY199" s="225">
        <v>0</v>
      </c>
      <c r="AZ199" s="225"/>
      <c r="BA199" s="225">
        <v>0</v>
      </c>
      <c r="BB199" s="225"/>
      <c r="BC199" s="225">
        <v>0</v>
      </c>
      <c r="BD199" s="225">
        <v>0</v>
      </c>
      <c r="BE199" s="225">
        <f>SUM(AK199:BA199)</f>
        <v>0</v>
      </c>
      <c r="BF199" s="225"/>
      <c r="BG199" s="206">
        <f>+MAX(0,G199-BE199+AM199)</f>
        <v>0</v>
      </c>
      <c r="BH199" s="225"/>
      <c r="BI199" s="206">
        <f>SUM(BE199:BG199)</f>
        <v>0</v>
      </c>
      <c r="BJ199" s="225"/>
      <c r="BK199" s="348">
        <f>+G199-BI199</f>
        <v>0</v>
      </c>
    </row>
    <row r="200" spans="1:63" hidden="1">
      <c r="A200" s="212"/>
      <c r="B200" s="206" t="s">
        <v>265</v>
      </c>
      <c r="C200" s="402"/>
      <c r="D200" s="402"/>
      <c r="E200" s="206">
        <v>0</v>
      </c>
      <c r="G200" s="206">
        <v>0</v>
      </c>
      <c r="I200" s="206"/>
      <c r="K200" s="206">
        <v>0</v>
      </c>
      <c r="L200" s="206"/>
      <c r="M200" s="206">
        <v>0</v>
      </c>
      <c r="O200" s="206">
        <v>0</v>
      </c>
      <c r="Q200" s="206">
        <v>0</v>
      </c>
      <c r="S200" s="206">
        <v>0</v>
      </c>
      <c r="U200" s="206">
        <v>0</v>
      </c>
      <c r="V200" s="206"/>
      <c r="W200" s="206">
        <v>0</v>
      </c>
      <c r="X200" s="206"/>
      <c r="Y200" s="206">
        <v>0</v>
      </c>
      <c r="Z200" s="206"/>
      <c r="AA200" s="206">
        <v>0</v>
      </c>
      <c r="AB200" s="206"/>
      <c r="AC200" s="206">
        <v>0</v>
      </c>
      <c r="AD200" s="206"/>
      <c r="AE200" s="206">
        <v>0</v>
      </c>
      <c r="AF200" s="206"/>
      <c r="AG200" s="206">
        <v>0</v>
      </c>
      <c r="AI200" s="206">
        <v>0</v>
      </c>
      <c r="AK200" s="206"/>
      <c r="AM200" s="206">
        <v>0</v>
      </c>
      <c r="AO200" s="206"/>
      <c r="BE200" s="206"/>
      <c r="BG200" s="206"/>
      <c r="BI200" s="206"/>
      <c r="BK200" s="348"/>
    </row>
    <row r="201" spans="1:63" hidden="1">
      <c r="A201" s="212"/>
      <c r="B201" s="206" t="s">
        <v>266</v>
      </c>
      <c r="C201" s="402"/>
      <c r="D201" s="402"/>
      <c r="E201" s="206">
        <v>0</v>
      </c>
      <c r="G201" s="206">
        <v>0</v>
      </c>
      <c r="I201" s="225">
        <f>+G201-E201</f>
        <v>0</v>
      </c>
      <c r="K201" s="206">
        <v>0</v>
      </c>
      <c r="L201" s="206"/>
      <c r="M201" s="206">
        <v>0</v>
      </c>
      <c r="O201" s="206">
        <v>0</v>
      </c>
      <c r="Q201" s="206">
        <v>0</v>
      </c>
      <c r="S201" s="206">
        <v>0</v>
      </c>
      <c r="U201" s="206">
        <v>0</v>
      </c>
      <c r="V201" s="206"/>
      <c r="W201" s="206">
        <v>0</v>
      </c>
      <c r="X201" s="206"/>
      <c r="Y201" s="206">
        <v>0</v>
      </c>
      <c r="Z201" s="206"/>
      <c r="AA201" s="206">
        <v>0</v>
      </c>
      <c r="AB201" s="206"/>
      <c r="AC201" s="206">
        <v>0</v>
      </c>
      <c r="AD201" s="206"/>
      <c r="AE201" s="206">
        <v>0</v>
      </c>
      <c r="AF201" s="206"/>
      <c r="AG201" s="206">
        <v>0</v>
      </c>
      <c r="AI201" s="206">
        <v>0</v>
      </c>
      <c r="AK201" s="225">
        <f>SUM(K201:AJ201)</f>
        <v>0</v>
      </c>
      <c r="AM201" s="206">
        <v>0</v>
      </c>
      <c r="AO201" s="225">
        <v>0</v>
      </c>
      <c r="AP201" s="225"/>
      <c r="AQ201" s="225">
        <v>0</v>
      </c>
      <c r="AR201" s="225"/>
      <c r="AS201" s="225">
        <v>0</v>
      </c>
      <c r="AT201" s="225"/>
      <c r="AU201" s="225">
        <v>0</v>
      </c>
      <c r="AV201" s="225"/>
      <c r="AW201" s="225">
        <v>0</v>
      </c>
      <c r="AX201" s="225"/>
      <c r="AY201" s="225">
        <v>0</v>
      </c>
      <c r="AZ201" s="225"/>
      <c r="BA201" s="225">
        <v>0</v>
      </c>
      <c r="BB201" s="225"/>
      <c r="BC201" s="225">
        <v>0</v>
      </c>
      <c r="BD201" s="225">
        <v>0</v>
      </c>
      <c r="BE201" s="225">
        <f>SUM(AK201:BA201)</f>
        <v>0</v>
      </c>
      <c r="BF201" s="225"/>
      <c r="BG201" s="206">
        <f>+MAX(0,G201-BE201+AM201)</f>
        <v>0</v>
      </c>
      <c r="BH201" s="225"/>
      <c r="BI201" s="206">
        <f>SUM(BE201:BG201)</f>
        <v>0</v>
      </c>
      <c r="BJ201" s="225"/>
      <c r="BK201" s="348">
        <f>+G201-BI201</f>
        <v>0</v>
      </c>
    </row>
    <row r="202" spans="1:63" hidden="1">
      <c r="A202" s="212"/>
      <c r="B202" s="206" t="s">
        <v>308</v>
      </c>
      <c r="C202" s="402"/>
      <c r="D202" s="402"/>
      <c r="E202" s="206">
        <v>0</v>
      </c>
      <c r="G202" s="206">
        <v>0</v>
      </c>
      <c r="I202" s="206"/>
      <c r="K202" s="206">
        <v>0</v>
      </c>
      <c r="L202" s="206"/>
      <c r="M202" s="206">
        <v>0</v>
      </c>
      <c r="O202" s="206">
        <v>0</v>
      </c>
      <c r="Q202" s="206">
        <v>0</v>
      </c>
      <c r="S202" s="206">
        <v>0</v>
      </c>
      <c r="U202" s="206">
        <v>0</v>
      </c>
      <c r="V202" s="206"/>
      <c r="W202" s="206">
        <v>0</v>
      </c>
      <c r="X202" s="206"/>
      <c r="Y202" s="206">
        <v>0</v>
      </c>
      <c r="Z202" s="206"/>
      <c r="AA202" s="206">
        <v>0</v>
      </c>
      <c r="AB202" s="206"/>
      <c r="AC202" s="206">
        <v>0</v>
      </c>
      <c r="AD202" s="206"/>
      <c r="AE202" s="206">
        <v>0</v>
      </c>
      <c r="AF202" s="206"/>
      <c r="AG202" s="206">
        <v>0</v>
      </c>
      <c r="AI202" s="206">
        <v>0</v>
      </c>
      <c r="AK202" s="206"/>
      <c r="AM202" s="206">
        <v>0</v>
      </c>
      <c r="AO202" s="206"/>
      <c r="BE202" s="206"/>
      <c r="BG202" s="206"/>
      <c r="BI202" s="206"/>
      <c r="BK202" s="348"/>
    </row>
    <row r="203" spans="1:63" hidden="1">
      <c r="A203" s="212"/>
      <c r="B203" s="206" t="s">
        <v>359</v>
      </c>
      <c r="C203" s="402"/>
      <c r="D203" s="402"/>
      <c r="E203" s="206">
        <v>0</v>
      </c>
      <c r="G203" s="206">
        <v>0</v>
      </c>
      <c r="I203" s="225">
        <f>+G203-E203</f>
        <v>0</v>
      </c>
      <c r="K203" s="206">
        <v>0</v>
      </c>
      <c r="L203" s="206"/>
      <c r="M203" s="206">
        <v>0</v>
      </c>
      <c r="O203" s="206">
        <v>0</v>
      </c>
      <c r="Q203" s="206">
        <v>0</v>
      </c>
      <c r="S203" s="206">
        <v>0</v>
      </c>
      <c r="U203" s="206">
        <v>0</v>
      </c>
      <c r="V203" s="206"/>
      <c r="W203" s="206">
        <v>0</v>
      </c>
      <c r="X203" s="206"/>
      <c r="Y203" s="206">
        <v>0</v>
      </c>
      <c r="Z203" s="206"/>
      <c r="AA203" s="206">
        <v>0</v>
      </c>
      <c r="AB203" s="206"/>
      <c r="AC203" s="206">
        <v>0</v>
      </c>
      <c r="AD203" s="206"/>
      <c r="AE203" s="206">
        <v>0</v>
      </c>
      <c r="AF203" s="206"/>
      <c r="AG203" s="206">
        <v>0</v>
      </c>
      <c r="AI203" s="206">
        <v>0</v>
      </c>
      <c r="AK203" s="225">
        <f>SUM(K203:AJ203)</f>
        <v>0</v>
      </c>
      <c r="AM203" s="206">
        <v>0</v>
      </c>
      <c r="AO203" s="225">
        <v>0</v>
      </c>
      <c r="AP203" s="225"/>
      <c r="AQ203" s="225">
        <v>0</v>
      </c>
      <c r="AR203" s="225"/>
      <c r="AS203" s="225">
        <v>0</v>
      </c>
      <c r="AT203" s="225"/>
      <c r="AU203" s="225">
        <v>0</v>
      </c>
      <c r="AV203" s="225"/>
      <c r="AW203" s="225">
        <v>0</v>
      </c>
      <c r="AX203" s="225"/>
      <c r="AY203" s="225">
        <v>0</v>
      </c>
      <c r="AZ203" s="225"/>
      <c r="BA203" s="225">
        <v>0</v>
      </c>
      <c r="BB203" s="225"/>
      <c r="BC203" s="225">
        <v>0</v>
      </c>
      <c r="BD203" s="225">
        <v>0</v>
      </c>
      <c r="BE203" s="225">
        <f>SUM(AK203:BA203)</f>
        <v>0</v>
      </c>
      <c r="BF203" s="225"/>
      <c r="BG203" s="206">
        <f>+MAX(0,G203-BE203+AM203)</f>
        <v>0</v>
      </c>
      <c r="BH203" s="225"/>
      <c r="BI203" s="206">
        <f>SUM(BE203:BG203)</f>
        <v>0</v>
      </c>
      <c r="BJ203" s="225"/>
      <c r="BK203" s="348">
        <f>+G203-BI203</f>
        <v>0</v>
      </c>
    </row>
    <row r="204" spans="1:63" hidden="1">
      <c r="A204" s="212"/>
      <c r="B204" s="206"/>
      <c r="C204" s="402"/>
      <c r="D204" s="402"/>
      <c r="E204" s="206"/>
      <c r="G204" s="206"/>
      <c r="I204" s="206"/>
      <c r="K204" s="206"/>
      <c r="L204" s="206"/>
      <c r="M204" s="206"/>
      <c r="O204" s="206"/>
      <c r="Q204" s="206"/>
      <c r="S204" s="206"/>
      <c r="U204" s="206"/>
      <c r="V204" s="206"/>
      <c r="W204" s="206"/>
      <c r="X204" s="206"/>
      <c r="Y204" s="206"/>
      <c r="Z204" s="206"/>
      <c r="AA204" s="206"/>
      <c r="AB204" s="206"/>
      <c r="AC204" s="206"/>
      <c r="AD204" s="206"/>
      <c r="AE204" s="206"/>
      <c r="AF204" s="206"/>
      <c r="AG204" s="206"/>
      <c r="AI204" s="206"/>
      <c r="AK204" s="206"/>
      <c r="AM204" s="206"/>
      <c r="AO204" s="206"/>
      <c r="BE204" s="206"/>
      <c r="BG204" s="206"/>
      <c r="BI204" s="206"/>
      <c r="BK204" s="348"/>
    </row>
    <row r="205" spans="1:63" s="225" customFormat="1" hidden="1">
      <c r="A205" s="212"/>
      <c r="B205" s="225" t="s">
        <v>415</v>
      </c>
      <c r="E205" s="225">
        <f>SUM(E200:E204)</f>
        <v>0</v>
      </c>
      <c r="G205" s="225">
        <v>0</v>
      </c>
      <c r="I205" s="225">
        <f>+G205-E205</f>
        <v>0</v>
      </c>
      <c r="K205" s="225">
        <f>SUM(K200:K204)</f>
        <v>0</v>
      </c>
      <c r="M205" s="225">
        <f>SUM(M200:M204)</f>
        <v>0</v>
      </c>
      <c r="O205" s="225">
        <f>SUM(O200:O204)</f>
        <v>0</v>
      </c>
      <c r="Q205" s="225">
        <f>SUM(Q200:Q204)</f>
        <v>0</v>
      </c>
      <c r="S205" s="225">
        <f>SUM(S200:S204)</f>
        <v>0</v>
      </c>
      <c r="T205" s="223"/>
      <c r="U205" s="225">
        <f>SUM(U200:U204)</f>
        <v>0</v>
      </c>
      <c r="W205" s="225">
        <f>SUM(W200:W204)</f>
        <v>0</v>
      </c>
      <c r="Y205" s="225">
        <f>SUM(Y200:Y204)</f>
        <v>0</v>
      </c>
      <c r="AA205" s="225">
        <f>SUM(AA200:AA204)</f>
        <v>0</v>
      </c>
      <c r="AC205" s="225">
        <f>SUM(AC200:AC204)</f>
        <v>0</v>
      </c>
      <c r="AE205" s="225">
        <f>SUM(AE200:AE204)</f>
        <v>0</v>
      </c>
      <c r="AG205" s="225">
        <f>SUM(AG200:AG204)</f>
        <v>0</v>
      </c>
      <c r="AI205" s="225">
        <f>SUM(AI200:AI204)</f>
        <v>0</v>
      </c>
      <c r="AK205" s="225">
        <f>SUM(K205:AJ205)</f>
        <v>0</v>
      </c>
      <c r="AM205" s="225">
        <f>SUM(AM200:AM204)</f>
        <v>0</v>
      </c>
      <c r="AO205" s="225">
        <v>0</v>
      </c>
      <c r="AQ205" s="225">
        <v>0</v>
      </c>
      <c r="AS205" s="225">
        <v>0</v>
      </c>
      <c r="AU205" s="225">
        <v>0</v>
      </c>
      <c r="AW205" s="225">
        <v>0</v>
      </c>
      <c r="AY205" s="225">
        <v>0</v>
      </c>
      <c r="BA205" s="225">
        <v>0</v>
      </c>
      <c r="BC205" s="225">
        <v>0</v>
      </c>
      <c r="BD205" s="225">
        <v>0</v>
      </c>
      <c r="BE205" s="225">
        <f>SUM(AK205:BA205)</f>
        <v>0</v>
      </c>
      <c r="BG205" s="206">
        <f>+MAX(0,G205-BE205+AM205)</f>
        <v>0</v>
      </c>
      <c r="BI205" s="206">
        <f>SUM(BE205:BG205)</f>
        <v>0</v>
      </c>
      <c r="BK205" s="348">
        <f>+G205-BI205</f>
        <v>0</v>
      </c>
    </row>
    <row r="206" spans="1:63" hidden="1">
      <c r="A206" s="383"/>
      <c r="B206" s="197"/>
      <c r="C206" s="402"/>
      <c r="D206" s="402"/>
      <c r="E206" s="206"/>
      <c r="G206" s="206"/>
      <c r="I206" s="206"/>
      <c r="K206" s="206"/>
      <c r="L206" s="206"/>
      <c r="M206" s="206"/>
      <c r="O206" s="206"/>
      <c r="Q206" s="206"/>
      <c r="S206" s="206"/>
      <c r="U206" s="206"/>
      <c r="V206" s="206"/>
      <c r="W206" s="206"/>
      <c r="X206" s="206"/>
      <c r="Y206" s="206"/>
      <c r="Z206" s="206"/>
      <c r="AA206" s="206"/>
      <c r="AB206" s="206"/>
      <c r="AC206" s="206"/>
      <c r="AD206" s="206"/>
      <c r="AE206" s="206"/>
      <c r="AF206" s="206"/>
      <c r="AG206" s="206"/>
      <c r="AI206" s="206"/>
      <c r="AK206" s="206"/>
      <c r="AM206" s="206"/>
      <c r="AO206" s="206"/>
      <c r="BE206" s="206"/>
      <c r="BG206" s="206"/>
      <c r="BI206" s="206"/>
      <c r="BK206" s="348"/>
    </row>
    <row r="207" spans="1:63" s="225" customFormat="1">
      <c r="A207" s="412" t="s">
        <v>5</v>
      </c>
      <c r="B207" s="212"/>
      <c r="E207" s="225">
        <v>0</v>
      </c>
      <c r="G207" s="225">
        <v>-59123</v>
      </c>
      <c r="I207" s="225">
        <f>+G207-E207</f>
        <v>-59123</v>
      </c>
      <c r="T207" s="223"/>
      <c r="AK207" s="225">
        <f>SUM(K207:AJ207)</f>
        <v>0</v>
      </c>
      <c r="AO207" s="225">
        <v>160750</v>
      </c>
      <c r="AQ207" s="225">
        <v>-160750</v>
      </c>
      <c r="AS207" s="225">
        <v>0</v>
      </c>
      <c r="AU207" s="225">
        <v>-59123</v>
      </c>
      <c r="BC207" s="225">
        <v>0</v>
      </c>
      <c r="BD207" s="225">
        <v>0</v>
      </c>
      <c r="BE207" s="225">
        <v>-59123</v>
      </c>
      <c r="BG207" s="225">
        <f>+MAX(0,G207-BE207+AM207)</f>
        <v>0</v>
      </c>
      <c r="BI207" s="225">
        <f>SUM(BE207:BG207)</f>
        <v>-59123</v>
      </c>
      <c r="BK207" s="348">
        <f>+G207-BI207</f>
        <v>0</v>
      </c>
    </row>
    <row r="208" spans="1:63">
      <c r="A208" s="383"/>
      <c r="B208" s="197"/>
      <c r="C208" s="402"/>
      <c r="D208" s="402"/>
      <c r="E208" s="206"/>
      <c r="G208" s="206"/>
      <c r="I208" s="225"/>
      <c r="K208" s="206"/>
      <c r="L208" s="206"/>
      <c r="M208" s="206"/>
      <c r="O208" s="206"/>
      <c r="Q208" s="206"/>
      <c r="S208" s="206"/>
      <c r="U208" s="206"/>
      <c r="V208" s="206"/>
      <c r="W208" s="206"/>
      <c r="X208" s="206"/>
      <c r="Y208" s="206"/>
      <c r="Z208" s="206"/>
      <c r="AA208" s="206"/>
      <c r="AB208" s="206"/>
      <c r="AC208" s="206"/>
      <c r="AD208" s="206"/>
      <c r="AE208" s="206"/>
      <c r="AF208" s="206"/>
      <c r="AG208" s="206"/>
      <c r="AI208" s="206"/>
      <c r="AK208" s="225"/>
      <c r="AM208" s="206"/>
      <c r="AO208" s="206"/>
      <c r="BE208" s="225"/>
      <c r="BG208" s="206"/>
      <c r="BI208" s="206"/>
      <c r="BK208" s="348"/>
    </row>
    <row r="209" spans="1:65" s="225" customFormat="1">
      <c r="A209" s="412" t="s">
        <v>267</v>
      </c>
      <c r="E209" s="225">
        <v>250000</v>
      </c>
      <c r="G209" s="225">
        <v>250000</v>
      </c>
      <c r="I209" s="225">
        <f>+G209-E209</f>
        <v>0</v>
      </c>
      <c r="K209" s="225">
        <v>0</v>
      </c>
      <c r="M209" s="225">
        <v>0</v>
      </c>
      <c r="O209" s="225">
        <v>0</v>
      </c>
      <c r="Q209" s="225">
        <v>0</v>
      </c>
      <c r="S209" s="225">
        <v>0</v>
      </c>
      <c r="T209" s="223"/>
      <c r="U209" s="225">
        <v>0</v>
      </c>
      <c r="W209" s="225">
        <v>0</v>
      </c>
      <c r="Y209" s="225">
        <v>0</v>
      </c>
      <c r="AA209" s="225">
        <v>0</v>
      </c>
      <c r="AC209" s="225">
        <v>0</v>
      </c>
      <c r="AE209" s="225">
        <v>0</v>
      </c>
      <c r="AG209" s="225">
        <v>0</v>
      </c>
      <c r="AI209" s="225">
        <v>0</v>
      </c>
      <c r="AK209" s="225">
        <f>SUM(K209:AJ209)</f>
        <v>0</v>
      </c>
      <c r="AM209" s="225">
        <v>0</v>
      </c>
      <c r="AO209" s="225">
        <v>0</v>
      </c>
      <c r="AQ209" s="225">
        <v>0</v>
      </c>
      <c r="AS209" s="225">
        <v>0</v>
      </c>
      <c r="AU209" s="225">
        <v>0</v>
      </c>
      <c r="AW209" s="225">
        <v>0</v>
      </c>
      <c r="AY209" s="225">
        <v>0</v>
      </c>
      <c r="BA209" s="225">
        <v>250000</v>
      </c>
      <c r="BC209" s="225">
        <v>0</v>
      </c>
      <c r="BD209" s="225">
        <v>0</v>
      </c>
      <c r="BE209" s="225">
        <f>SUM(AK209:BA209)</f>
        <v>250000</v>
      </c>
      <c r="BG209" s="225">
        <f>+MAX(0,G209-BE209+AM209)</f>
        <v>0</v>
      </c>
      <c r="BI209" s="225">
        <f>SUM(BE209:BG209)</f>
        <v>250000</v>
      </c>
      <c r="BK209" s="348">
        <f>+G209-BI209</f>
        <v>0</v>
      </c>
    </row>
    <row r="210" spans="1:65" ht="12" customHeight="1">
      <c r="A210" s="383"/>
      <c r="B210" s="197"/>
      <c r="C210" s="402"/>
      <c r="D210" s="402"/>
      <c r="E210" s="206"/>
      <c r="G210" s="206"/>
      <c r="I210" s="206"/>
      <c r="K210" s="206"/>
      <c r="L210" s="206"/>
      <c r="M210" s="206"/>
      <c r="O210" s="206"/>
      <c r="Q210" s="206"/>
      <c r="S210" s="206"/>
      <c r="U210" s="206"/>
      <c r="V210" s="206"/>
      <c r="W210" s="206"/>
      <c r="X210" s="206"/>
      <c r="Y210" s="206"/>
      <c r="Z210" s="206"/>
      <c r="AA210" s="206"/>
      <c r="AB210" s="206"/>
      <c r="AC210" s="206"/>
      <c r="AD210" s="206"/>
      <c r="AE210" s="206"/>
      <c r="AF210" s="206"/>
      <c r="AG210" s="206"/>
      <c r="AI210" s="206"/>
      <c r="AK210" s="206"/>
      <c r="AM210" s="206"/>
      <c r="AO210" s="206"/>
      <c r="BE210" s="225"/>
      <c r="BG210" s="206"/>
      <c r="BI210" s="206"/>
      <c r="BK210" s="348"/>
    </row>
    <row r="211" spans="1:65" s="225" customFormat="1">
      <c r="A211" s="412" t="s">
        <v>268</v>
      </c>
      <c r="E211" s="225">
        <v>400000</v>
      </c>
      <c r="G211" s="221">
        <v>477787</v>
      </c>
      <c r="I211" s="225">
        <f>+G211-E211</f>
        <v>77787</v>
      </c>
      <c r="K211" s="225">
        <v>0</v>
      </c>
      <c r="M211" s="225">
        <v>0</v>
      </c>
      <c r="O211" s="225">
        <v>0</v>
      </c>
      <c r="Q211" s="225">
        <v>0</v>
      </c>
      <c r="S211" s="225">
        <v>0</v>
      </c>
      <c r="T211" s="223"/>
      <c r="U211" s="225">
        <v>0</v>
      </c>
      <c r="W211" s="225">
        <v>0</v>
      </c>
      <c r="Y211" s="225">
        <v>0</v>
      </c>
      <c r="AA211" s="225">
        <v>0</v>
      </c>
      <c r="AC211" s="225">
        <v>0</v>
      </c>
      <c r="AE211" s="225">
        <v>0</v>
      </c>
      <c r="AG211" s="225">
        <v>0</v>
      </c>
      <c r="AI211" s="225">
        <v>0</v>
      </c>
      <c r="AK211" s="225">
        <f>SUM(K211:AJ211)</f>
        <v>0</v>
      </c>
      <c r="AM211" s="225">
        <v>0</v>
      </c>
      <c r="AO211" s="225">
        <v>0</v>
      </c>
      <c r="AQ211" s="225">
        <v>407787</v>
      </c>
      <c r="AS211" s="225">
        <v>70000</v>
      </c>
      <c r="AU211" s="225">
        <v>0</v>
      </c>
      <c r="AW211" s="225">
        <v>0</v>
      </c>
      <c r="AY211" s="225">
        <v>0</v>
      </c>
      <c r="BA211" s="225">
        <v>0</v>
      </c>
      <c r="BC211" s="225">
        <v>0</v>
      </c>
      <c r="BD211" s="225">
        <v>0</v>
      </c>
      <c r="BE211" s="221">
        <f>SUM(AK211:BA211)</f>
        <v>477787</v>
      </c>
      <c r="BG211" s="221">
        <f>+MAX(0,G211-BE211+AM211)</f>
        <v>0</v>
      </c>
      <c r="BI211" s="221">
        <f>SUM(BE211:BG211)</f>
        <v>477787</v>
      </c>
      <c r="BK211" s="348">
        <f>+G211-BI211</f>
        <v>0</v>
      </c>
    </row>
    <row r="212" spans="1:65" s="225" customFormat="1">
      <c r="A212" s="212"/>
      <c r="G212" s="221"/>
      <c r="T212" s="223"/>
      <c r="BE212" s="221"/>
      <c r="BI212" s="221"/>
      <c r="BK212" s="348"/>
    </row>
    <row r="213" spans="1:65" s="222" customFormat="1">
      <c r="A213" s="410" t="s">
        <v>538</v>
      </c>
      <c r="B213" s="220"/>
      <c r="C213" s="221"/>
      <c r="D213" s="221"/>
      <c r="E213" s="222">
        <v>400000</v>
      </c>
      <c r="F213" s="223"/>
      <c r="G213" s="221">
        <v>0</v>
      </c>
      <c r="H213" s="223"/>
      <c r="I213" s="222">
        <f>+G213-E213</f>
        <v>-400000</v>
      </c>
      <c r="J213" s="223"/>
      <c r="K213" s="222">
        <v>0</v>
      </c>
      <c r="L213" s="223"/>
      <c r="M213" s="222">
        <v>0</v>
      </c>
      <c r="N213" s="223"/>
      <c r="O213" s="222">
        <v>0</v>
      </c>
      <c r="P213" s="223"/>
      <c r="Q213" s="222">
        <v>0</v>
      </c>
      <c r="R213" s="223"/>
      <c r="S213" s="222">
        <v>0</v>
      </c>
      <c r="T213" s="223"/>
      <c r="U213" s="222">
        <v>0</v>
      </c>
      <c r="V213" s="223"/>
      <c r="W213" s="222">
        <v>0</v>
      </c>
      <c r="X213" s="223"/>
      <c r="Y213" s="222">
        <v>0</v>
      </c>
      <c r="Z213" s="223"/>
      <c r="AA213" s="222">
        <v>0</v>
      </c>
      <c r="AB213" s="223"/>
      <c r="AC213" s="222">
        <v>0</v>
      </c>
      <c r="AD213" s="223"/>
      <c r="AE213" s="222">
        <v>0</v>
      </c>
      <c r="AF213" s="223"/>
      <c r="AG213" s="222">
        <v>0</v>
      </c>
      <c r="AH213" s="223"/>
      <c r="AI213" s="222">
        <v>0</v>
      </c>
      <c r="AJ213" s="223"/>
      <c r="AK213" s="222">
        <f>SUM(K213:AJ213)</f>
        <v>0</v>
      </c>
      <c r="AL213" s="223"/>
      <c r="AM213" s="223">
        <v>0</v>
      </c>
      <c r="AN213" s="223"/>
      <c r="AO213" s="222">
        <v>0</v>
      </c>
      <c r="AP213" s="223"/>
      <c r="AQ213" s="223">
        <v>0</v>
      </c>
      <c r="AR213" s="223"/>
      <c r="AS213" s="223">
        <v>0</v>
      </c>
      <c r="AT213" s="223"/>
      <c r="AU213" s="223">
        <v>0</v>
      </c>
      <c r="AV213" s="223"/>
      <c r="AW213" s="223">
        <v>0</v>
      </c>
      <c r="AX213" s="223"/>
      <c r="AY213" s="223">
        <v>0</v>
      </c>
      <c r="AZ213" s="223"/>
      <c r="BA213" s="223">
        <v>0</v>
      </c>
      <c r="BB213" s="223"/>
      <c r="BC213" s="223">
        <v>0</v>
      </c>
      <c r="BD213" s="223">
        <v>0</v>
      </c>
      <c r="BE213" s="221">
        <f>SUM(AK213:BA213)+BC213</f>
        <v>0</v>
      </c>
      <c r="BF213" s="223"/>
      <c r="BG213" s="221">
        <f>+MAX(0,G213-BE213+AM213)</f>
        <v>0</v>
      </c>
      <c r="BH213" s="223"/>
      <c r="BI213" s="221">
        <f>SUM(BE213:BG213)</f>
        <v>0</v>
      </c>
      <c r="BJ213" s="223"/>
      <c r="BK213" s="348">
        <f>+G213-BI213</f>
        <v>0</v>
      </c>
      <c r="BL213" s="223"/>
    </row>
    <row r="214" spans="1:65" s="200" customFormat="1" hidden="1">
      <c r="A214" s="417"/>
      <c r="B214" s="227"/>
      <c r="C214" s="372"/>
      <c r="D214" s="372"/>
      <c r="F214" s="217"/>
      <c r="H214" s="217"/>
      <c r="J214" s="217"/>
      <c r="L214" s="217"/>
      <c r="N214" s="217"/>
      <c r="P214" s="217"/>
      <c r="R214" s="217"/>
      <c r="T214" s="217"/>
      <c r="V214" s="217"/>
      <c r="X214" s="217"/>
      <c r="Z214" s="217"/>
      <c r="AB214" s="217"/>
      <c r="AD214" s="217"/>
      <c r="AF214" s="217"/>
      <c r="AH214" s="217"/>
      <c r="AJ214" s="217"/>
      <c r="AL214" s="217"/>
      <c r="AM214" s="217"/>
      <c r="AN214" s="217"/>
      <c r="AP214" s="217"/>
      <c r="AQ214" s="217"/>
      <c r="AR214" s="217"/>
      <c r="AS214" s="217"/>
      <c r="AT214" s="217"/>
      <c r="AU214" s="217"/>
      <c r="AV214" s="217"/>
      <c r="AW214" s="217"/>
      <c r="AX214" s="217"/>
      <c r="AY214" s="217"/>
      <c r="AZ214" s="217"/>
      <c r="BA214" s="217"/>
      <c r="BB214" s="217"/>
      <c r="BC214" s="217"/>
      <c r="BD214" s="217"/>
      <c r="BE214" s="221"/>
      <c r="BF214" s="217"/>
      <c r="BH214" s="217"/>
      <c r="BJ214" s="217"/>
      <c r="BK214" s="348"/>
      <c r="BL214" s="217"/>
    </row>
    <row r="215" spans="1:65" s="225" customFormat="1" hidden="1">
      <c r="A215" s="412" t="s">
        <v>269</v>
      </c>
      <c r="E215" s="225">
        <v>0</v>
      </c>
      <c r="G215" s="221">
        <v>0</v>
      </c>
      <c r="I215" s="225">
        <f>+G215-E215</f>
        <v>0</v>
      </c>
      <c r="K215" s="225">
        <v>0</v>
      </c>
      <c r="M215" s="225">
        <v>0</v>
      </c>
      <c r="O215" s="225">
        <v>0</v>
      </c>
      <c r="Q215" s="225">
        <v>0</v>
      </c>
      <c r="S215" s="223"/>
      <c r="T215" s="223"/>
      <c r="W215" s="225">
        <v>0</v>
      </c>
      <c r="Y215" s="225">
        <v>0</v>
      </c>
      <c r="AA215" s="225">
        <v>0</v>
      </c>
      <c r="AC215" s="225">
        <v>0</v>
      </c>
      <c r="AE215" s="225">
        <v>0</v>
      </c>
      <c r="AG215" s="225">
        <v>0</v>
      </c>
      <c r="AI215" s="225">
        <v>0</v>
      </c>
      <c r="AK215" s="225">
        <f>SUM(K215:AJ215)</f>
        <v>0</v>
      </c>
      <c r="AM215" s="225">
        <v>0</v>
      </c>
      <c r="AO215" s="225">
        <v>0</v>
      </c>
      <c r="AQ215" s="225">
        <v>0</v>
      </c>
      <c r="AS215" s="225">
        <v>0</v>
      </c>
      <c r="AU215" s="225">
        <v>0</v>
      </c>
      <c r="AW215" s="225">
        <v>0</v>
      </c>
      <c r="AY215" s="225">
        <v>0</v>
      </c>
      <c r="BA215" s="225">
        <v>0</v>
      </c>
      <c r="BC215" s="225">
        <v>0</v>
      </c>
      <c r="BD215" s="225">
        <v>0</v>
      </c>
      <c r="BE215" s="221">
        <f>SUM(AK215:BA215)</f>
        <v>0</v>
      </c>
      <c r="BG215" s="199">
        <f>+MAX(0,G215-BE215+AM215)</f>
        <v>0</v>
      </c>
      <c r="BI215" s="199">
        <f>SUM(BE215:BG215)</f>
        <v>0</v>
      </c>
      <c r="BK215" s="348">
        <f>+G215-BI215</f>
        <v>0</v>
      </c>
    </row>
    <row r="216" spans="1:65">
      <c r="A216" s="418"/>
      <c r="B216" s="206"/>
      <c r="C216" s="372"/>
      <c r="D216" s="372"/>
      <c r="K216" s="199"/>
      <c r="L216" s="206"/>
      <c r="M216" s="199"/>
      <c r="O216" s="199"/>
      <c r="Q216" s="199"/>
      <c r="S216" s="199"/>
      <c r="U216" s="199"/>
      <c r="V216" s="206"/>
      <c r="W216" s="199"/>
      <c r="X216" s="206"/>
      <c r="Y216" s="199"/>
      <c r="Z216" s="206"/>
      <c r="AA216" s="199"/>
      <c r="AB216" s="206"/>
      <c r="AC216" s="199"/>
      <c r="AD216" s="206"/>
      <c r="AE216" s="199"/>
      <c r="AF216" s="206"/>
      <c r="AM216" s="206"/>
      <c r="BE216" s="221"/>
      <c r="BK216" s="348"/>
    </row>
    <row r="217" spans="1:65" s="225" customFormat="1">
      <c r="A217" s="412" t="s">
        <v>270</v>
      </c>
      <c r="E217" s="225">
        <v>2964064</v>
      </c>
      <c r="G217" s="221">
        <f>ENA!G224</f>
        <v>2327182.27</v>
      </c>
      <c r="I217" s="225">
        <f>+G217-E217</f>
        <v>-636881.73</v>
      </c>
      <c r="K217" s="225">
        <f>[6]IDC!J20</f>
        <v>176250</v>
      </c>
      <c r="M217" s="225">
        <f>141763</f>
        <v>141763</v>
      </c>
      <c r="O217" s="388">
        <v>159611</v>
      </c>
      <c r="Q217" s="388">
        <v>184622</v>
      </c>
      <c r="S217" s="225">
        <v>187002</v>
      </c>
      <c r="T217" s="223"/>
      <c r="U217" s="225">
        <v>112135</v>
      </c>
      <c r="W217" s="225">
        <v>226003</v>
      </c>
      <c r="Y217" s="225">
        <v>218114</v>
      </c>
      <c r="AA217" s="225">
        <v>230971</v>
      </c>
      <c r="AC217" s="225">
        <v>250137</v>
      </c>
      <c r="AE217" s="225">
        <v>268825</v>
      </c>
      <c r="AG217" s="225">
        <v>316229.18</v>
      </c>
      <c r="AI217" s="225">
        <v>360766</v>
      </c>
      <c r="AK217" s="225">
        <f>SUM(K217:AJ217)</f>
        <v>2832428.18</v>
      </c>
      <c r="AM217" s="225">
        <v>0</v>
      </c>
      <c r="AO217" s="225">
        <f>-199260.36+305886.21</f>
        <v>106625.85000000003</v>
      </c>
      <c r="AQ217" s="225">
        <v>-419034</v>
      </c>
      <c r="AS217" s="225">
        <v>-155521</v>
      </c>
      <c r="AU217" s="225">
        <v>-59780</v>
      </c>
      <c r="AW217" s="225">
        <f>ENA!AW224</f>
        <v>97886</v>
      </c>
      <c r="AY217" s="225">
        <v>0</v>
      </c>
      <c r="BA217" s="225">
        <v>0</v>
      </c>
      <c r="BC217" s="225">
        <v>0</v>
      </c>
      <c r="BD217" s="225">
        <v>0</v>
      </c>
      <c r="BE217" s="221">
        <f>SUM(AK217:BC217)</f>
        <v>2402605.0300000003</v>
      </c>
      <c r="BG217" s="221">
        <f>+MAX(0,G217-BE217+AM217)</f>
        <v>0</v>
      </c>
      <c r="BI217" s="221">
        <f>SUM(BE217:BG217)</f>
        <v>2402605.0300000003</v>
      </c>
      <c r="BK217" s="348">
        <f>+G217-BI217</f>
        <v>-75422.760000000242</v>
      </c>
    </row>
    <row r="218" spans="1:65">
      <c r="A218" s="419"/>
      <c r="B218" s="206"/>
      <c r="C218" s="372"/>
      <c r="D218" s="372"/>
      <c r="E218" s="206"/>
      <c r="G218" s="206"/>
      <c r="I218" s="206"/>
      <c r="K218" s="206"/>
      <c r="L218" s="206"/>
      <c r="M218" s="206"/>
      <c r="O218" s="206"/>
      <c r="Q218" s="206"/>
      <c r="S218" s="206"/>
      <c r="U218" s="206"/>
      <c r="V218" s="206"/>
      <c r="W218" s="206"/>
      <c r="X218" s="206"/>
      <c r="Y218" s="206"/>
      <c r="Z218" s="206"/>
      <c r="AA218" s="206"/>
      <c r="AB218" s="206"/>
      <c r="AC218" s="206"/>
      <c r="AD218" s="206"/>
      <c r="AE218" s="206"/>
      <c r="AF218" s="206"/>
      <c r="AG218" s="206"/>
      <c r="AI218" s="206"/>
      <c r="AK218" s="206"/>
      <c r="AM218" s="206"/>
      <c r="AO218" s="206"/>
      <c r="BE218" s="206"/>
      <c r="BG218" s="206"/>
      <c r="BI218" s="206"/>
      <c r="BK218" s="206"/>
    </row>
    <row r="219" spans="1:65" s="229" customFormat="1">
      <c r="A219" s="420"/>
      <c r="B219" s="228" t="s">
        <v>271</v>
      </c>
      <c r="E219" s="229">
        <f>+E173+E193+E205+E209+E211+E215+E217+E197+E179+E186+E213+E207+E177+E175+E195</f>
        <v>111558988.14999999</v>
      </c>
      <c r="F219" s="236">
        <f>+F173+F193+F205+F209+F211+F215+F217+F197+F179+F186+F213+F207</f>
        <v>1370043</v>
      </c>
      <c r="G219" s="229">
        <f>+G173+G193+G205+G209+G211+G215+G217+G197+G179+G186+G213+G207+G177+G175+G195</f>
        <v>117484649.86</v>
      </c>
      <c r="H219" s="236">
        <f>+H173+H193+H205+H209+H211+H215+H217+H197+H179+H186+H213+H207</f>
        <v>0</v>
      </c>
      <c r="I219" s="229">
        <f>+I173+I193+I205+I209+I211+I215+I217+I197+I179+I186+I213+I207+I177+I175+I195</f>
        <v>2933388.0700000003</v>
      </c>
      <c r="J219" s="236">
        <f>+J173+J193+J205+J209+J211+J215+J217+J197+J179+J186+J213+J207</f>
        <v>-295512</v>
      </c>
      <c r="K219" s="229">
        <f>+K173+K193+K205+K209+K211+K215+K217+K197+K179+K186+K213+K207+K177+K175+K195</f>
        <v>21371250</v>
      </c>
      <c r="L219" s="236">
        <f>+L173+L193+L205+L209+L211+L215+L217+L197+L179+L186+L213+L207</f>
        <v>0</v>
      </c>
      <c r="M219" s="229">
        <f>+M173+M193+M205+M209+M211+M215+M217+M197+M179+M186+M213+M207+M177+M175+M195</f>
        <v>4405669.4800000004</v>
      </c>
      <c r="N219" s="236">
        <f>+N173+N193+N205+N209+N211+N215+N217+N197+N179+N186+N213+N207</f>
        <v>0</v>
      </c>
      <c r="O219" s="229">
        <f>+O173+O193+O205+O209+O211+O215+O217+O197+O179+O186+O213+O207+O177+O175+O195</f>
        <v>3217926.19</v>
      </c>
      <c r="P219" s="236">
        <f>+P173+P193+P205+P209+P211+P215+P217+P197+P179+P186+P213+P207</f>
        <v>0</v>
      </c>
      <c r="Q219" s="229">
        <f>+Q173+Q193+Q205+Q209+Q211+Q215+Q217+Q197+Q179+Q186+Q213+Q207+Q177+Q175+Q195</f>
        <v>1856566.12</v>
      </c>
      <c r="R219" s="236">
        <f>+R173+R193+R205+R209+R211+R215+R217+R197+R179+R186+R213+R207</f>
        <v>0</v>
      </c>
      <c r="S219" s="229">
        <f>+S173+S193+S205+S209+S211+S215+S217+S197+S179+S186+S213+S207+S177+S175+S195</f>
        <v>3022119</v>
      </c>
      <c r="T219" s="236">
        <f>+T173+T193+T205+T209+T211+T215+T217+T197+T179+T186+T213+T207</f>
        <v>0</v>
      </c>
      <c r="U219" s="229">
        <f>+U173+U193+U205+U209+U211+U215+U217+U197+U179+U186+U213+U207+U177+U175+U195</f>
        <v>4550895.5</v>
      </c>
      <c r="V219" s="236">
        <f>+V173+V193+V205+V209+V211+V215+V217+V197+V179+V186+V213+V207</f>
        <v>0</v>
      </c>
      <c r="W219" s="229">
        <f>+W173+W193+W205+W209+W211+W215+W217+W197+W179+W186+W213+W207+W177+W175+W195</f>
        <v>2898327.5199999996</v>
      </c>
      <c r="X219" s="236">
        <f>+X173+X193+X205+X209+X211+X215+X217+X197+X179+X186+X213+X207</f>
        <v>0</v>
      </c>
      <c r="Y219" s="229">
        <f>+Y173+Y193+Y205+Y209+Y211+Y215+Y217+Y197+Y179+Y186+Y213+Y207+Y177+Y175+Y195</f>
        <v>708121.14000000013</v>
      </c>
      <c r="Z219" s="236">
        <f>+Z173+Z193+Z205+Z209+Z211+Z215+Z217+Z197+Z179+Z186+Z213+Z207</f>
        <v>0</v>
      </c>
      <c r="AA219" s="229">
        <f>+AA173+AA193+AA205+AA209+AA211+AA215+AA217+AA197+AA179+AA186+AA213+AA207+AA177+AA175+AA195</f>
        <v>3339154.09</v>
      </c>
      <c r="AB219" s="236">
        <f>+AB173+AB193+AB205+AB209+AB211+AB215+AB217+AB197+AB179+AB186+AB213+AB207</f>
        <v>0</v>
      </c>
      <c r="AC219" s="229">
        <f>+AC173+AC193+AC205+AC209+AC211+AC215+AC217+AC197+AC179+AC186+AC213+AC207+AC177+AC175+AC195</f>
        <v>3302530.32</v>
      </c>
      <c r="AD219" s="236">
        <f>+AD173+AD193+AD205+AD209+AD211+AD215+AD217+AD197+AD179+AD186+AD213+AD207</f>
        <v>0</v>
      </c>
      <c r="AE219" s="229">
        <f>+AE173+AE193+AE205+AE209+AE211+AE215+AE217+AE197+AE179+AE186+AE213+AE207+AE177+AE175+AE195</f>
        <v>7192160.1400000006</v>
      </c>
      <c r="AF219" s="236">
        <f>+AF173+AF193+AF205+AF209+AF211+AF215+AF217+AF197+AF179+AF186+AF213+AF207</f>
        <v>0</v>
      </c>
      <c r="AG219" s="229">
        <f>+AG173+AG193+AG205+AG209+AG211+AG215+AG217+AG197+AG179+AG186+AG213+AG207+AG177+AG175+AG195</f>
        <v>6587442.4299999997</v>
      </c>
      <c r="AH219" s="236">
        <f>+AH173+AH193+AH205+AH209+AH211+AH215+AH217+AH197+AH179+AH186+AH213+AH207</f>
        <v>286479</v>
      </c>
      <c r="AI219" s="229">
        <f>+AI173+AI193+AI205+AI209+AI211+AI215+AI217+AI197+AI179+AI186+AI213+AI207+AI177+AI175+AI195</f>
        <v>6737530.2800000003</v>
      </c>
      <c r="AJ219" s="236">
        <f>+AJ173+AJ193+AJ205+AJ209+AJ211+AJ215+AJ217+AJ197+AJ179+AJ186+AJ213+AJ207</f>
        <v>0</v>
      </c>
      <c r="AK219" s="229">
        <f>+AK173+AK193+AK205+AK209+AK211+AK215+AK217+AK197+AK179+AK186+AK213+AK207+AK177+AK175+AK195</f>
        <v>71844824.360000014</v>
      </c>
      <c r="AL219" s="236">
        <f>+AL173+AL193+AL205+AL209+AL211+AL215+AL217+AL197+AL179+AL186+AL213+AL207</f>
        <v>0</v>
      </c>
      <c r="AM219" s="229">
        <f>+AM173+AM193+AM205+AM209+AM211+AM215+AM217+AM197+AM179+AM186+AM213+AM207+AM177+AM175+AM195</f>
        <v>0</v>
      </c>
      <c r="AN219" s="236">
        <f>+AN173+AN193+AN205+AN209+AN211+AN215+AN217+AN197+AN179+AN186+AN213+AN207</f>
        <v>0</v>
      </c>
      <c r="AO219" s="229">
        <f>+AO173+AO193+AO205+AO209+AO211+AO215+AO217+AO197+AO179+AO186+AO213+AO207+AO177+AO175+AO195</f>
        <v>9524815.6999999993</v>
      </c>
      <c r="AP219" s="236">
        <f>+AP173+AP193+AP205+AP209+AP211+AP215+AP217+AP197+AP179+AP186+AP213+AP207</f>
        <v>0</v>
      </c>
      <c r="AQ219" s="229">
        <f>+AQ173+AQ193+AQ205+AQ209+AQ211+AQ215+AQ217+AQ197+AQ179+AQ186+AQ213+AQ207+AQ177+AQ175+AQ195</f>
        <v>4874802.4799999995</v>
      </c>
      <c r="AR219" s="236">
        <f>+AR173+AR193+AR205+AR209+AR211+AR215+AR217+AR197+AR179+AR186+AR213+AR207</f>
        <v>0</v>
      </c>
      <c r="AS219" s="229">
        <f>+AS173+AS193+AS205+AS209+AS211+AS215+AS217+AS197+AS179+AS186+AS213+AS207+AS177+AS175+AS195</f>
        <v>8769437.8800000008</v>
      </c>
      <c r="AT219" s="236">
        <f>+AT173+AT193+AT205+AT209+AT211+AT215+AT217+AT197+AT179+AT186+AT213+AT207</f>
        <v>0</v>
      </c>
      <c r="AU219" s="229">
        <f>+AU173+AU193+AU205+AU209+AU211+AU215+AU217+AU197+AU179+AU186+AU213+AU207+AU177+AU175+AU195</f>
        <v>686269.08000000007</v>
      </c>
      <c r="AV219" s="236">
        <f>+AV173+AV193+AV205+AV209+AV211+AV215+AV217+AV197+AV179+AV186+AV213+AV207</f>
        <v>0</v>
      </c>
      <c r="AW219" s="229">
        <f>+AW173+AW193+AW205+AW209+AW211+AW215+AW217+AW197+AW179+AW186+AW213+AW207+AW177+AW175+AW195</f>
        <v>3696774.8200000003</v>
      </c>
      <c r="AX219" s="236">
        <f>+AX173+AX193+AX205+AX209+AX211+AX215+AX217+AX197+AX179+AX186+AX213+AX207</f>
        <v>0</v>
      </c>
      <c r="AY219" s="229">
        <f>+AY173+AY193+AY205+AY209+AY211+AY215+AY217+AY197+AY179+AY186+AY213+AY207+AY177+AY175+AY195</f>
        <v>7335397.666666666</v>
      </c>
      <c r="AZ219" s="236">
        <f>+AZ173+AZ193+AZ205+AZ209+AZ211+AZ215+AZ217+AZ197+AZ179+AZ186+AZ213+AZ207</f>
        <v>0</v>
      </c>
      <c r="BA219" s="229">
        <f>+BA173+BA193+BA205+BA209+BA211+BA215+BA217+BA197+BA179+BA186+BA213+BA207+BA177+BA175+BA195</f>
        <v>1668811.6666666667</v>
      </c>
      <c r="BB219" s="236">
        <f>+BB173+BB193+BB205+BB209+BB211+BB215+BB217+BB197+BB179+BB186+BB213+BB207</f>
        <v>0</v>
      </c>
      <c r="BC219" s="229">
        <f>+BC173+BC193+BC205+BC209+BC211+BC215+BC217+BC197+BC179+BC186+BC213+BC207+BC177+BC175+BC195</f>
        <v>851084.66666666674</v>
      </c>
      <c r="BD219" s="236">
        <f>+BD173+BD193+BD205+BD209+BD211+BD215+BD217+BD197+BD179+BD186+BD213+BD207</f>
        <v>11</v>
      </c>
      <c r="BE219" s="229">
        <f>+BE173+BE193+BE205+BE209+BE211+BE215+BE217+BE197+BE179+BE186+BE213+BE207+BE177+BE175+BE195</f>
        <v>112577784.32000001</v>
      </c>
      <c r="BF219" s="236">
        <f>+BF173+BF193+BF205+BF209+BF211+BF215+BF217+BF197+BF179+BF186+BF213+BF207</f>
        <v>0</v>
      </c>
      <c r="BG219" s="229">
        <f>+BG173+BG193+BG205+BG209+BG211+BG215+BG217+BG197+BG179+BG186+BG213+BG207+BG177+BG175+BG195</f>
        <v>11.220000000030268</v>
      </c>
      <c r="BH219" s="236">
        <f>+BH173+BH193+BH205+BH209+BH211+BH215+BH217+BH197+BH179+BH186+BH213+BH207</f>
        <v>0</v>
      </c>
      <c r="BI219" s="229">
        <f>+BI173+BI193+BI205+BI209+BI211+BI215+BI217+BI197+BI179+BI186+BI213+BI207+BI177+BI175+BI195</f>
        <v>113091851.10000001</v>
      </c>
      <c r="BJ219" s="236">
        <f>+BJ173+BJ193+BJ205+BJ209+BJ211+BJ215+BJ217+BJ197+BJ179+BJ186+BJ213+BJ207</f>
        <v>0</v>
      </c>
      <c r="BK219" s="229">
        <f>+BK173+BK193+BK205+BK209+BK211+BK215+BK217+BK197+BK179+BK186+BK213+BK207+BK177+BK175+BK195</f>
        <v>-3784255.680000003</v>
      </c>
      <c r="BL219" s="236">
        <f>+BL173+BL193+BL205+BL209+BL211+BL215+BL217+BL197+BL179+BL186+BL213+BL207</f>
        <v>0</v>
      </c>
      <c r="BM219" s="229">
        <f>+BM173+BM193+BM205+BM209+BM211+BM215+BM217+BM197+BM179+BM186+BM213+BM207+BM177+BM175+BM195</f>
        <v>0</v>
      </c>
    </row>
    <row r="220" spans="1:65">
      <c r="A220" s="421"/>
      <c r="B220" s="212"/>
      <c r="C220" s="372"/>
      <c r="D220" s="372"/>
      <c r="K220" s="199"/>
      <c r="L220" s="206"/>
      <c r="M220" s="199"/>
      <c r="O220" s="199"/>
      <c r="Q220" s="199"/>
      <c r="S220" s="199"/>
      <c r="U220" s="199"/>
      <c r="V220" s="206"/>
      <c r="W220" s="199"/>
      <c r="X220" s="206"/>
      <c r="Y220" s="199"/>
      <c r="Z220" s="206"/>
      <c r="AA220" s="199"/>
      <c r="AB220" s="206"/>
      <c r="AC220" s="199"/>
      <c r="AD220" s="206"/>
      <c r="AE220" s="199"/>
      <c r="AF220" s="206"/>
      <c r="AM220" s="206"/>
    </row>
    <row r="221" spans="1:65" ht="12.75" hidden="1" customHeight="1">
      <c r="A221" s="419" t="s">
        <v>272</v>
      </c>
      <c r="B221" s="212"/>
      <c r="C221" s="372"/>
      <c r="D221" s="372"/>
      <c r="K221" s="199"/>
      <c r="L221" s="206"/>
      <c r="M221" s="199"/>
      <c r="O221" s="199"/>
      <c r="Q221" s="199"/>
      <c r="S221" s="199"/>
      <c r="U221" s="199"/>
      <c r="V221" s="206"/>
      <c r="W221" s="199"/>
      <c r="X221" s="206"/>
      <c r="Y221" s="199"/>
      <c r="Z221" s="206"/>
      <c r="AA221" s="199"/>
      <c r="AB221" s="206"/>
      <c r="AC221" s="199"/>
      <c r="AD221" s="206"/>
      <c r="AE221" s="199"/>
      <c r="AF221" s="206"/>
      <c r="AM221" s="206"/>
    </row>
    <row r="222" spans="1:65" s="206" customFormat="1" ht="12.75" hidden="1" customHeight="1">
      <c r="A222" s="422"/>
      <c r="B222" s="197" t="s">
        <v>416</v>
      </c>
      <c r="E222" s="231">
        <v>0</v>
      </c>
      <c r="G222" s="206">
        <f>+E222+I222</f>
        <v>0</v>
      </c>
      <c r="I222" s="206">
        <v>0</v>
      </c>
      <c r="S222" s="217"/>
      <c r="T222" s="217"/>
      <c r="AK222" s="206">
        <f>SUM(K222:AJ222)</f>
        <v>0</v>
      </c>
      <c r="BE222" s="206">
        <f>SUM(AC222:BD222)</f>
        <v>0</v>
      </c>
      <c r="BG222" s="206">
        <f>+MAX(0,G222-AK222+AM222)</f>
        <v>0</v>
      </c>
      <c r="BI222" s="199">
        <f>+AK222+BG222</f>
        <v>0</v>
      </c>
      <c r="BK222" s="199">
        <f>+G222-BI222</f>
        <v>0</v>
      </c>
    </row>
    <row r="223" spans="1:65" s="206" customFormat="1" ht="12.75" hidden="1" customHeight="1">
      <c r="A223" s="422"/>
      <c r="B223" s="206" t="s">
        <v>356</v>
      </c>
      <c r="E223" s="206">
        <v>0</v>
      </c>
      <c r="G223" s="199">
        <f>+E223+I223</f>
        <v>0</v>
      </c>
      <c r="I223" s="206">
        <v>0</v>
      </c>
      <c r="K223" s="206">
        <v>0</v>
      </c>
      <c r="M223" s="206">
        <v>0</v>
      </c>
      <c r="O223" s="206">
        <v>0</v>
      </c>
      <c r="Q223" s="206">
        <v>0</v>
      </c>
      <c r="S223" s="206">
        <v>0</v>
      </c>
      <c r="T223" s="217"/>
      <c r="U223" s="206">
        <v>0</v>
      </c>
      <c r="W223" s="206">
        <v>0</v>
      </c>
      <c r="Y223" s="206">
        <v>0</v>
      </c>
      <c r="AA223" s="206">
        <v>0</v>
      </c>
      <c r="AC223" s="206">
        <v>0</v>
      </c>
      <c r="AE223" s="206">
        <v>0</v>
      </c>
      <c r="AG223" s="206">
        <v>0</v>
      </c>
      <c r="AI223" s="206">
        <v>0</v>
      </c>
      <c r="AK223" s="206">
        <f>SUM(K223:AJ223)</f>
        <v>0</v>
      </c>
      <c r="AM223" s="206">
        <v>0</v>
      </c>
      <c r="AO223" s="206">
        <v>0</v>
      </c>
      <c r="AQ223" s="206">
        <v>0</v>
      </c>
      <c r="AS223" s="206">
        <v>0</v>
      </c>
      <c r="AU223" s="206">
        <v>0</v>
      </c>
      <c r="AW223" s="206">
        <v>0</v>
      </c>
      <c r="AY223" s="206">
        <v>0</v>
      </c>
      <c r="BA223" s="206">
        <v>0</v>
      </c>
      <c r="BC223" s="206">
        <v>0</v>
      </c>
      <c r="BD223" s="206">
        <v>0</v>
      </c>
      <c r="BE223" s="206">
        <f>SUM(AC223:BD223)</f>
        <v>0</v>
      </c>
      <c r="BG223" s="206">
        <f>+MAX(0,G223-AK223+AM223)</f>
        <v>0</v>
      </c>
      <c r="BI223" s="199">
        <f>+AK223+BG223</f>
        <v>0</v>
      </c>
      <c r="BK223" s="199">
        <f>+G223-BI223</f>
        <v>0</v>
      </c>
    </row>
    <row r="224" spans="1:65" s="206" customFormat="1" ht="12.75" hidden="1" customHeight="1">
      <c r="A224" s="422"/>
      <c r="B224" s="206" t="s">
        <v>357</v>
      </c>
      <c r="E224" s="206">
        <v>0</v>
      </c>
      <c r="G224" s="199">
        <f>+E224+I224</f>
        <v>0</v>
      </c>
      <c r="I224" s="206">
        <v>0</v>
      </c>
      <c r="K224" s="206">
        <v>0</v>
      </c>
      <c r="M224" s="206">
        <v>0</v>
      </c>
      <c r="O224" s="206">
        <v>0</v>
      </c>
      <c r="Q224" s="206">
        <v>0</v>
      </c>
      <c r="S224" s="206">
        <v>0</v>
      </c>
      <c r="T224" s="217"/>
      <c r="U224" s="206">
        <v>0</v>
      </c>
      <c r="W224" s="206">
        <v>0</v>
      </c>
      <c r="Y224" s="206">
        <v>0</v>
      </c>
      <c r="AA224" s="206">
        <v>0</v>
      </c>
      <c r="AC224" s="206">
        <v>0</v>
      </c>
      <c r="AE224" s="206">
        <v>0</v>
      </c>
      <c r="AG224" s="206">
        <v>0</v>
      </c>
      <c r="AI224" s="206">
        <v>0</v>
      </c>
      <c r="AK224" s="206">
        <f>SUM(K224:AJ224)</f>
        <v>0</v>
      </c>
      <c r="AM224" s="206">
        <v>0</v>
      </c>
      <c r="AO224" s="206">
        <v>0</v>
      </c>
      <c r="AQ224" s="206">
        <v>0</v>
      </c>
      <c r="AS224" s="206">
        <v>0</v>
      </c>
      <c r="AU224" s="206">
        <v>0</v>
      </c>
      <c r="AW224" s="206">
        <v>0</v>
      </c>
      <c r="AY224" s="206">
        <v>0</v>
      </c>
      <c r="BA224" s="206">
        <v>0</v>
      </c>
      <c r="BC224" s="206">
        <v>0</v>
      </c>
      <c r="BD224" s="206">
        <v>0</v>
      </c>
      <c r="BE224" s="206">
        <f>SUM(AC224:BD224)</f>
        <v>0</v>
      </c>
      <c r="BG224" s="206">
        <f>+MAX(0,G224-AK224+AM224)</f>
        <v>0</v>
      </c>
      <c r="BI224" s="199">
        <f>+AK224+BG224</f>
        <v>0</v>
      </c>
      <c r="BK224" s="199">
        <f>+G224-BI224</f>
        <v>0</v>
      </c>
    </row>
    <row r="225" spans="1:64" s="206" customFormat="1" ht="12.75" hidden="1" customHeight="1">
      <c r="A225" s="422"/>
      <c r="B225" s="206" t="s">
        <v>358</v>
      </c>
      <c r="E225" s="206">
        <v>0</v>
      </c>
      <c r="G225" s="199">
        <f>+E225+I225</f>
        <v>0</v>
      </c>
      <c r="I225" s="206">
        <v>0</v>
      </c>
      <c r="K225" s="206">
        <v>0</v>
      </c>
      <c r="M225" s="206">
        <v>0</v>
      </c>
      <c r="O225" s="206">
        <v>0</v>
      </c>
      <c r="Q225" s="206">
        <v>0</v>
      </c>
      <c r="S225" s="206">
        <v>0</v>
      </c>
      <c r="T225" s="217"/>
      <c r="U225" s="206">
        <v>0</v>
      </c>
      <c r="W225" s="206">
        <v>0</v>
      </c>
      <c r="Y225" s="206">
        <v>0</v>
      </c>
      <c r="AA225" s="206">
        <v>0</v>
      </c>
      <c r="AC225" s="206">
        <v>0</v>
      </c>
      <c r="AE225" s="206">
        <v>0</v>
      </c>
      <c r="AG225" s="206">
        <v>0</v>
      </c>
      <c r="AI225" s="206">
        <v>0</v>
      </c>
      <c r="AK225" s="206">
        <f>SUM(K225:AJ225)</f>
        <v>0</v>
      </c>
      <c r="AM225" s="206">
        <v>0</v>
      </c>
      <c r="AO225" s="206">
        <v>0</v>
      </c>
      <c r="AQ225" s="206">
        <v>0</v>
      </c>
      <c r="AS225" s="206">
        <v>0</v>
      </c>
      <c r="AU225" s="206">
        <v>0</v>
      </c>
      <c r="AW225" s="206">
        <v>0</v>
      </c>
      <c r="AY225" s="206">
        <v>0</v>
      </c>
      <c r="BA225" s="206">
        <v>0</v>
      </c>
      <c r="BC225" s="206">
        <v>0</v>
      </c>
      <c r="BD225" s="206">
        <v>0</v>
      </c>
      <c r="BE225" s="206">
        <f>SUM(AC225:BD225)</f>
        <v>0</v>
      </c>
      <c r="BG225" s="206">
        <f>+MAX(0,G225-AK225+AM225)</f>
        <v>0</v>
      </c>
      <c r="BI225" s="199">
        <f>+AK225+BG225</f>
        <v>0</v>
      </c>
      <c r="BK225" s="199">
        <f>+G225-BI225</f>
        <v>0</v>
      </c>
    </row>
    <row r="226" spans="1:64" s="206" customFormat="1" ht="12.75" hidden="1" customHeight="1">
      <c r="A226" s="422"/>
      <c r="B226" s="206" t="s">
        <v>359</v>
      </c>
      <c r="E226" s="206">
        <v>0</v>
      </c>
      <c r="G226" s="199">
        <f>+E226+I226</f>
        <v>0</v>
      </c>
      <c r="I226" s="206">
        <v>0</v>
      </c>
      <c r="K226" s="206">
        <v>0</v>
      </c>
      <c r="M226" s="206">
        <v>0</v>
      </c>
      <c r="O226" s="206">
        <v>0</v>
      </c>
      <c r="Q226" s="206">
        <v>0</v>
      </c>
      <c r="S226" s="206">
        <v>0</v>
      </c>
      <c r="T226" s="217"/>
      <c r="U226" s="206">
        <v>0</v>
      </c>
      <c r="W226" s="206">
        <v>0</v>
      </c>
      <c r="Y226" s="206">
        <v>0</v>
      </c>
      <c r="AA226" s="206">
        <v>0</v>
      </c>
      <c r="AC226" s="206">
        <v>0</v>
      </c>
      <c r="AE226" s="206">
        <v>0</v>
      </c>
      <c r="AG226" s="206">
        <v>0</v>
      </c>
      <c r="AI226" s="206">
        <v>0</v>
      </c>
      <c r="AK226" s="206">
        <f>SUM(K226:AJ226)</f>
        <v>0</v>
      </c>
      <c r="AM226" s="206">
        <v>0</v>
      </c>
      <c r="AO226" s="206">
        <v>0</v>
      </c>
      <c r="AQ226" s="206">
        <v>0</v>
      </c>
      <c r="AS226" s="206">
        <v>0</v>
      </c>
      <c r="AU226" s="206">
        <v>0</v>
      </c>
      <c r="AW226" s="206">
        <v>0</v>
      </c>
      <c r="AY226" s="206">
        <v>0</v>
      </c>
      <c r="BA226" s="206">
        <v>0</v>
      </c>
      <c r="BC226" s="206">
        <v>0</v>
      </c>
      <c r="BD226" s="206">
        <v>0</v>
      </c>
      <c r="BE226" s="206">
        <f>SUM(AC226:BD226)</f>
        <v>0</v>
      </c>
      <c r="BG226" s="206">
        <f>+MAX(0,G226-AK226+AM226)</f>
        <v>0</v>
      </c>
      <c r="BI226" s="199">
        <f>+AK226+BG226</f>
        <v>0</v>
      </c>
      <c r="BK226" s="199">
        <f>+G226-BI226</f>
        <v>0</v>
      </c>
    </row>
    <row r="227" spans="1:64" s="206" customFormat="1" ht="12.75" hidden="1" customHeight="1">
      <c r="A227" s="422"/>
      <c r="T227" s="217"/>
    </row>
    <row r="228" spans="1:64" ht="12.75" hidden="1" customHeight="1">
      <c r="A228" s="419"/>
      <c r="B228" s="212" t="s">
        <v>417</v>
      </c>
      <c r="C228" s="372"/>
      <c r="D228" s="372"/>
      <c r="E228" s="232">
        <f>SUBTOTAL(9,E221:E226)</f>
        <v>0</v>
      </c>
      <c r="G228" s="217">
        <f>SUBTOTAL(9,G221:G226)</f>
        <v>0</v>
      </c>
      <c r="I228" s="217">
        <f>SUBTOTAL(9,I221:I226)</f>
        <v>0</v>
      </c>
      <c r="K228" s="217">
        <f>SUBTOTAL(9,K221:K226)</f>
        <v>0</v>
      </c>
      <c r="L228" s="206"/>
      <c r="M228" s="217">
        <f>SUBTOTAL(9,M221:M226)</f>
        <v>0</v>
      </c>
      <c r="O228" s="217">
        <f>SUBTOTAL(9,O221:O226)</f>
        <v>0</v>
      </c>
      <c r="Q228" s="217">
        <f>SUBTOTAL(9,Q221:Q226)</f>
        <v>0</v>
      </c>
      <c r="S228" s="217">
        <f>SUBTOTAL(9,S221:S226)</f>
        <v>0</v>
      </c>
      <c r="U228" s="217">
        <f>SUBTOTAL(9,U221:U226)</f>
        <v>0</v>
      </c>
      <c r="V228" s="217"/>
      <c r="W228" s="217">
        <f>SUBTOTAL(9,W221:W226)</f>
        <v>0</v>
      </c>
      <c r="X228" s="217"/>
      <c r="Y228" s="217">
        <f>SUBTOTAL(9,Y221:Y226)</f>
        <v>0</v>
      </c>
      <c r="Z228" s="217"/>
      <c r="AA228" s="217">
        <f>SUBTOTAL(9,AA221:AA226)</f>
        <v>0</v>
      </c>
      <c r="AB228" s="217"/>
      <c r="AC228" s="217">
        <f>SUBTOTAL(9,AC221:AC226)</f>
        <v>0</v>
      </c>
      <c r="AD228" s="217"/>
      <c r="AE228" s="217">
        <f>SUBTOTAL(9,AE221:AE226)</f>
        <v>0</v>
      </c>
      <c r="AF228" s="217"/>
      <c r="AG228" s="217">
        <f>SUBTOTAL(9,AG221:AG226)</f>
        <v>0</v>
      </c>
      <c r="AH228" s="217"/>
      <c r="AI228" s="217">
        <f>SUBTOTAL(9,AI221:AI226)</f>
        <v>0</v>
      </c>
      <c r="AK228" s="217">
        <f>SUBTOTAL(9,AK221:AK226)</f>
        <v>0</v>
      </c>
      <c r="AM228" s="217">
        <f>SUBTOTAL(9,AM221:AM226)</f>
        <v>0</v>
      </c>
      <c r="AO228" s="217">
        <f>SUBTOTAL(9,AO221:AO226)</f>
        <v>0</v>
      </c>
      <c r="AP228" s="217"/>
      <c r="AQ228" s="217">
        <f>SUBTOTAL(9,AQ221:AQ226)</f>
        <v>0</v>
      </c>
      <c r="AR228" s="217"/>
      <c r="AS228" s="217">
        <f>SUBTOTAL(9,AS221:AS226)</f>
        <v>0</v>
      </c>
      <c r="AT228" s="217"/>
      <c r="AU228" s="217">
        <f>SUBTOTAL(9,AU221:AU226)</f>
        <v>0</v>
      </c>
      <c r="AV228" s="217"/>
      <c r="AW228" s="217">
        <f>SUBTOTAL(9,AW221:AW226)</f>
        <v>0</v>
      </c>
      <c r="AX228" s="217"/>
      <c r="AY228" s="217">
        <f>SUBTOTAL(9,AY221:AY226)</f>
        <v>0</v>
      </c>
      <c r="AZ228" s="217"/>
      <c r="BA228" s="217">
        <f>SUBTOTAL(9,BA221:BA226)</f>
        <v>0</v>
      </c>
      <c r="BB228" s="217"/>
      <c r="BC228" s="217">
        <f>SUBTOTAL(9,BC221:BC226)</f>
        <v>0</v>
      </c>
      <c r="BD228" s="217">
        <f>SUBTOTAL(9,BD221:BD226)</f>
        <v>0</v>
      </c>
      <c r="BE228" s="232">
        <f>SUBTOTAL(9,BE221:BE226)</f>
        <v>0</v>
      </c>
      <c r="BG228" s="232">
        <f>SUBTOTAL(9,BG221:BG226)</f>
        <v>0</v>
      </c>
      <c r="BI228" s="232">
        <f>SUBTOTAL(9,BI221:BI226)</f>
        <v>0</v>
      </c>
      <c r="BK228" s="232">
        <f>SUBTOTAL(9,BK221:BK226)</f>
        <v>0</v>
      </c>
    </row>
    <row r="229" spans="1:64" ht="12.75" hidden="1" customHeight="1">
      <c r="A229" s="421"/>
      <c r="B229" s="197"/>
      <c r="C229" s="372"/>
      <c r="D229" s="372"/>
      <c r="K229" s="199"/>
      <c r="L229" s="206"/>
      <c r="M229" s="199"/>
      <c r="O229" s="199"/>
      <c r="Q229" s="199"/>
      <c r="S229" s="199"/>
      <c r="U229" s="199"/>
      <c r="V229" s="206"/>
      <c r="W229" s="199"/>
      <c r="X229" s="206"/>
      <c r="Y229" s="199"/>
      <c r="Z229" s="206"/>
      <c r="AA229" s="199"/>
      <c r="AB229" s="206"/>
      <c r="AC229" s="199"/>
      <c r="AD229" s="206"/>
      <c r="AE229" s="199"/>
      <c r="AF229" s="206"/>
      <c r="AM229" s="206"/>
    </row>
    <row r="230" spans="1:64" s="221" customFormat="1" ht="12.75" hidden="1" customHeight="1">
      <c r="A230" s="419" t="s">
        <v>355</v>
      </c>
      <c r="B230" s="212"/>
      <c r="E230" s="221">
        <v>0</v>
      </c>
      <c r="F230" s="225"/>
      <c r="G230" s="221">
        <f>+E230+I230</f>
        <v>0</v>
      </c>
      <c r="H230" s="225"/>
      <c r="I230" s="221">
        <v>0</v>
      </c>
      <c r="J230" s="225"/>
      <c r="K230" s="221">
        <v>0</v>
      </c>
      <c r="L230" s="225"/>
      <c r="M230" s="221">
        <v>0</v>
      </c>
      <c r="N230" s="225"/>
      <c r="O230" s="221">
        <v>0</v>
      </c>
      <c r="P230" s="225"/>
      <c r="Q230" s="221">
        <v>0</v>
      </c>
      <c r="R230" s="225"/>
      <c r="S230" s="221">
        <v>0</v>
      </c>
      <c r="T230" s="223"/>
      <c r="U230" s="221">
        <v>0</v>
      </c>
      <c r="V230" s="225"/>
      <c r="W230" s="221">
        <v>0</v>
      </c>
      <c r="X230" s="225"/>
      <c r="Y230" s="221">
        <v>0</v>
      </c>
      <c r="Z230" s="225"/>
      <c r="AA230" s="221">
        <v>0</v>
      </c>
      <c r="AB230" s="225"/>
      <c r="AC230" s="221">
        <v>0</v>
      </c>
      <c r="AD230" s="225"/>
      <c r="AE230" s="221">
        <v>0</v>
      </c>
      <c r="AF230" s="225"/>
      <c r="AG230" s="221">
        <v>0</v>
      </c>
      <c r="AH230" s="225"/>
      <c r="AI230" s="221">
        <v>0</v>
      </c>
      <c r="AJ230" s="225"/>
      <c r="AK230" s="221">
        <f>SUM(K230:AJ230)</f>
        <v>0</v>
      </c>
      <c r="AL230" s="225"/>
      <c r="AM230" s="225">
        <v>0</v>
      </c>
      <c r="AN230" s="225"/>
      <c r="AO230" s="221">
        <v>0</v>
      </c>
      <c r="AP230" s="225"/>
      <c r="AQ230" s="225">
        <v>0</v>
      </c>
      <c r="AR230" s="225"/>
      <c r="AS230" s="225">
        <v>0</v>
      </c>
      <c r="AT230" s="225"/>
      <c r="AU230" s="225">
        <v>0</v>
      </c>
      <c r="AV230" s="225"/>
      <c r="AW230" s="225">
        <v>0</v>
      </c>
      <c r="AX230" s="225"/>
      <c r="AY230" s="225">
        <v>0</v>
      </c>
      <c r="AZ230" s="225"/>
      <c r="BA230" s="225">
        <v>0</v>
      </c>
      <c r="BB230" s="225"/>
      <c r="BC230" s="225">
        <v>0</v>
      </c>
      <c r="BD230" s="225">
        <v>0</v>
      </c>
      <c r="BE230" s="221">
        <f>SUM(AC230:BD230)</f>
        <v>0</v>
      </c>
      <c r="BF230" s="225"/>
      <c r="BG230" s="221">
        <f>+MAX(0,G230-AK230+AM230)</f>
        <v>0</v>
      </c>
      <c r="BH230" s="225"/>
      <c r="BI230" s="221">
        <f>+AK230+BG230</f>
        <v>0</v>
      </c>
      <c r="BJ230" s="225"/>
      <c r="BK230" s="221">
        <f>+G230-BI230</f>
        <v>0</v>
      </c>
      <c r="BL230" s="225"/>
    </row>
    <row r="231" spans="1:64">
      <c r="A231" s="421"/>
      <c r="B231" s="197"/>
      <c r="C231" s="372"/>
      <c r="D231" s="372"/>
      <c r="K231" s="199"/>
      <c r="L231" s="206"/>
      <c r="M231" s="199"/>
      <c r="O231" s="199"/>
      <c r="Q231" s="199"/>
      <c r="S231" s="199"/>
      <c r="U231" s="199"/>
      <c r="V231" s="206"/>
      <c r="W231" s="199"/>
      <c r="X231" s="206"/>
      <c r="Y231" s="199"/>
      <c r="Z231" s="206"/>
      <c r="AA231" s="199"/>
      <c r="AB231" s="206"/>
      <c r="AC231" s="199"/>
      <c r="AD231" s="206"/>
      <c r="AE231" s="199"/>
      <c r="AF231" s="206"/>
      <c r="AM231" s="206"/>
    </row>
    <row r="232" spans="1:64" hidden="1">
      <c r="A232" s="419" t="s">
        <v>273</v>
      </c>
      <c r="B232" s="206"/>
      <c r="C232" s="372"/>
      <c r="D232" s="372"/>
      <c r="K232" s="199"/>
      <c r="L232" s="206"/>
      <c r="M232" s="199"/>
      <c r="O232" s="199"/>
      <c r="Q232" s="199"/>
      <c r="S232" s="199"/>
      <c r="U232" s="199"/>
      <c r="V232" s="206"/>
      <c r="W232" s="199"/>
      <c r="X232" s="206"/>
      <c r="Y232" s="199"/>
      <c r="Z232" s="206"/>
      <c r="AA232" s="199"/>
      <c r="AB232" s="206"/>
      <c r="AC232" s="199"/>
      <c r="AD232" s="206"/>
      <c r="AE232" s="199"/>
      <c r="AF232" s="206"/>
      <c r="AM232" s="206"/>
    </row>
    <row r="233" spans="1:64" s="206" customFormat="1" hidden="1">
      <c r="A233" s="422"/>
      <c r="B233" s="206" t="s">
        <v>418</v>
      </c>
      <c r="E233" s="206">
        <v>0</v>
      </c>
      <c r="G233" s="199">
        <v>0</v>
      </c>
      <c r="I233" s="206">
        <f t="shared" ref="I233:I241" si="56">+G233-E233</f>
        <v>0</v>
      </c>
      <c r="K233" s="206">
        <v>0</v>
      </c>
      <c r="M233" s="206">
        <v>0</v>
      </c>
      <c r="O233" s="206">
        <v>0</v>
      </c>
      <c r="Q233" s="206">
        <v>0</v>
      </c>
      <c r="S233" s="206">
        <v>0</v>
      </c>
      <c r="T233" s="217"/>
      <c r="U233" s="218">
        <v>0</v>
      </c>
      <c r="V233" s="218"/>
      <c r="W233" s="218">
        <v>0</v>
      </c>
      <c r="X233" s="218"/>
      <c r="Y233" s="206">
        <v>0</v>
      </c>
      <c r="Z233" s="218"/>
      <c r="AA233" s="206">
        <v>0</v>
      </c>
      <c r="AB233" s="218"/>
      <c r="AC233" s="218">
        <v>0</v>
      </c>
      <c r="AD233" s="218"/>
      <c r="AE233" s="218">
        <v>0</v>
      </c>
      <c r="AF233" s="218"/>
      <c r="AG233" s="206">
        <v>0</v>
      </c>
      <c r="AI233" s="206">
        <v>0</v>
      </c>
      <c r="AK233" s="206">
        <f t="shared" ref="AK233:AK240" si="57">SUM(K233:AJ233)</f>
        <v>0</v>
      </c>
      <c r="AM233" s="206">
        <v>0</v>
      </c>
      <c r="AO233" s="206">
        <v>0</v>
      </c>
      <c r="AQ233" s="206">
        <v>0</v>
      </c>
      <c r="AS233" s="206">
        <v>0</v>
      </c>
      <c r="AU233" s="206">
        <v>0</v>
      </c>
      <c r="AW233" s="206">
        <v>0</v>
      </c>
      <c r="AY233" s="206">
        <v>0</v>
      </c>
      <c r="BA233" s="206">
        <v>0</v>
      </c>
      <c r="BC233" s="206">
        <v>0</v>
      </c>
      <c r="BD233" s="206">
        <v>0</v>
      </c>
      <c r="BE233" s="206">
        <f t="shared" ref="BE233:BE240" si="58">SUM(AK233:BA233)</f>
        <v>0</v>
      </c>
      <c r="BG233" s="199">
        <f t="shared" ref="BG233:BG241" si="59">+MAX(0,G233-BE233+AM233)</f>
        <v>0</v>
      </c>
      <c r="BI233" s="199">
        <f t="shared" ref="BI233:BI241" si="60">SUM(BE233:BG233)</f>
        <v>0</v>
      </c>
      <c r="BK233" s="348">
        <f t="shared" ref="BK233:BK241" si="61">+G233-BI233</f>
        <v>0</v>
      </c>
    </row>
    <row r="234" spans="1:64" s="206" customFormat="1" hidden="1">
      <c r="A234" s="422"/>
      <c r="B234" s="206" t="s">
        <v>274</v>
      </c>
      <c r="E234" s="206">
        <v>0</v>
      </c>
      <c r="G234" s="199">
        <v>0</v>
      </c>
      <c r="I234" s="206">
        <f t="shared" si="56"/>
        <v>0</v>
      </c>
      <c r="K234" s="206">
        <v>0</v>
      </c>
      <c r="M234" s="206">
        <v>0</v>
      </c>
      <c r="O234" s="203">
        <v>0</v>
      </c>
      <c r="Q234" s="206">
        <v>0</v>
      </c>
      <c r="S234" s="217">
        <v>0</v>
      </c>
      <c r="T234" s="217"/>
      <c r="U234" s="206">
        <v>0</v>
      </c>
      <c r="W234" s="206">
        <v>0</v>
      </c>
      <c r="Y234" s="206">
        <v>0</v>
      </c>
      <c r="AA234" s="206">
        <v>0</v>
      </c>
      <c r="AC234" s="206">
        <v>0</v>
      </c>
      <c r="AE234" s="206">
        <v>0</v>
      </c>
      <c r="AG234" s="206">
        <v>0</v>
      </c>
      <c r="AI234" s="206">
        <v>0</v>
      </c>
      <c r="AK234" s="206">
        <f t="shared" si="57"/>
        <v>0</v>
      </c>
      <c r="AM234" s="206">
        <v>0</v>
      </c>
      <c r="AO234" s="206">
        <v>0</v>
      </c>
      <c r="AQ234" s="206">
        <v>0</v>
      </c>
      <c r="AS234" s="206">
        <v>0</v>
      </c>
      <c r="AU234" s="206">
        <v>0</v>
      </c>
      <c r="AW234" s="206">
        <v>0</v>
      </c>
      <c r="AY234" s="206">
        <v>0</v>
      </c>
      <c r="BA234" s="206">
        <v>0</v>
      </c>
      <c r="BC234" s="206">
        <v>0</v>
      </c>
      <c r="BD234" s="206">
        <v>0</v>
      </c>
      <c r="BE234" s="206">
        <f t="shared" si="58"/>
        <v>0</v>
      </c>
      <c r="BG234" s="199">
        <f t="shared" si="59"/>
        <v>0</v>
      </c>
      <c r="BI234" s="199">
        <f t="shared" si="60"/>
        <v>0</v>
      </c>
      <c r="BK234" s="199">
        <f t="shared" si="61"/>
        <v>0</v>
      </c>
    </row>
    <row r="235" spans="1:64" s="206" customFormat="1" hidden="1">
      <c r="A235" s="422"/>
      <c r="B235" s="206" t="s">
        <v>275</v>
      </c>
      <c r="E235" s="206">
        <v>0</v>
      </c>
      <c r="G235" s="199">
        <v>0</v>
      </c>
      <c r="I235" s="206">
        <f t="shared" si="56"/>
        <v>0</v>
      </c>
      <c r="K235" s="206">
        <v>0</v>
      </c>
      <c r="M235" s="206">
        <v>0</v>
      </c>
      <c r="O235" s="206">
        <v>0</v>
      </c>
      <c r="Q235" s="206">
        <v>0</v>
      </c>
      <c r="S235" s="217">
        <v>0</v>
      </c>
      <c r="T235" s="217"/>
      <c r="U235" s="206">
        <v>0</v>
      </c>
      <c r="W235" s="206">
        <v>0</v>
      </c>
      <c r="Y235" s="206">
        <v>0</v>
      </c>
      <c r="AA235" s="206">
        <v>0</v>
      </c>
      <c r="AC235" s="206">
        <v>0</v>
      </c>
      <c r="AE235" s="206">
        <v>0</v>
      </c>
      <c r="AG235" s="206">
        <v>0</v>
      </c>
      <c r="AI235" s="206">
        <v>0</v>
      </c>
      <c r="AK235" s="206">
        <f t="shared" si="57"/>
        <v>0</v>
      </c>
      <c r="AM235" s="206">
        <v>0</v>
      </c>
      <c r="AO235" s="206">
        <v>0</v>
      </c>
      <c r="AQ235" s="206">
        <v>0</v>
      </c>
      <c r="AS235" s="206">
        <v>0</v>
      </c>
      <c r="AU235" s="206">
        <v>0</v>
      </c>
      <c r="AW235" s="206">
        <v>0</v>
      </c>
      <c r="AY235" s="206">
        <v>0</v>
      </c>
      <c r="BA235" s="206">
        <v>0</v>
      </c>
      <c r="BC235" s="206">
        <v>0</v>
      </c>
      <c r="BD235" s="206">
        <v>0</v>
      </c>
      <c r="BE235" s="206">
        <f t="shared" si="58"/>
        <v>0</v>
      </c>
      <c r="BG235" s="199">
        <f t="shared" si="59"/>
        <v>0</v>
      </c>
      <c r="BI235" s="199">
        <f t="shared" si="60"/>
        <v>0</v>
      </c>
      <c r="BK235" s="199">
        <f t="shared" si="61"/>
        <v>0</v>
      </c>
    </row>
    <row r="236" spans="1:64" s="206" customFormat="1" hidden="1">
      <c r="A236" s="422"/>
      <c r="B236" s="206" t="s">
        <v>419</v>
      </c>
      <c r="E236" s="206">
        <v>0</v>
      </c>
      <c r="G236" s="199">
        <v>0</v>
      </c>
      <c r="I236" s="206">
        <f t="shared" si="56"/>
        <v>0</v>
      </c>
      <c r="K236" s="206">
        <v>0</v>
      </c>
      <c r="M236" s="206">
        <v>0</v>
      </c>
      <c r="O236" s="206">
        <v>0</v>
      </c>
      <c r="Q236" s="206">
        <v>0</v>
      </c>
      <c r="S236" s="217">
        <v>0</v>
      </c>
      <c r="T236" s="217"/>
      <c r="U236" s="206">
        <v>0</v>
      </c>
      <c r="W236" s="206">
        <v>0</v>
      </c>
      <c r="Y236" s="206">
        <v>0</v>
      </c>
      <c r="AA236" s="206">
        <v>0</v>
      </c>
      <c r="AC236" s="206">
        <v>0</v>
      </c>
      <c r="AE236" s="206">
        <v>0</v>
      </c>
      <c r="AG236" s="206">
        <v>0</v>
      </c>
      <c r="AI236" s="206">
        <v>0</v>
      </c>
      <c r="AK236" s="206">
        <f t="shared" si="57"/>
        <v>0</v>
      </c>
      <c r="AM236" s="206">
        <v>0</v>
      </c>
      <c r="AO236" s="206">
        <v>0</v>
      </c>
      <c r="AQ236" s="206">
        <v>0</v>
      </c>
      <c r="AS236" s="206">
        <v>0</v>
      </c>
      <c r="AU236" s="206">
        <v>0</v>
      </c>
      <c r="AW236" s="206">
        <v>0</v>
      </c>
      <c r="AY236" s="206">
        <v>0</v>
      </c>
      <c r="BA236" s="206">
        <v>0</v>
      </c>
      <c r="BC236" s="206">
        <v>0</v>
      </c>
      <c r="BD236" s="206">
        <v>0</v>
      </c>
      <c r="BE236" s="206">
        <f t="shared" si="58"/>
        <v>0</v>
      </c>
      <c r="BG236" s="199">
        <f t="shared" si="59"/>
        <v>0</v>
      </c>
      <c r="BI236" s="199">
        <f t="shared" si="60"/>
        <v>0</v>
      </c>
      <c r="BK236" s="199">
        <f t="shared" si="61"/>
        <v>0</v>
      </c>
    </row>
    <row r="237" spans="1:64" s="206" customFormat="1" hidden="1">
      <c r="A237" s="422"/>
      <c r="B237" s="206" t="s">
        <v>276</v>
      </c>
      <c r="E237" s="206">
        <v>0</v>
      </c>
      <c r="G237" s="199">
        <v>0</v>
      </c>
      <c r="I237" s="206">
        <f t="shared" si="56"/>
        <v>0</v>
      </c>
      <c r="K237" s="206">
        <v>0</v>
      </c>
      <c r="M237" s="206">
        <v>0</v>
      </c>
      <c r="O237" s="206">
        <v>0</v>
      </c>
      <c r="Q237" s="206">
        <v>0</v>
      </c>
      <c r="S237" s="217">
        <v>0</v>
      </c>
      <c r="T237" s="217"/>
      <c r="U237" s="206">
        <v>0</v>
      </c>
      <c r="W237" s="206">
        <v>0</v>
      </c>
      <c r="Y237" s="206">
        <v>0</v>
      </c>
      <c r="AA237" s="206">
        <v>0</v>
      </c>
      <c r="AC237" s="206">
        <v>0</v>
      </c>
      <c r="AE237" s="206">
        <v>0</v>
      </c>
      <c r="AG237" s="206">
        <v>0</v>
      </c>
      <c r="AI237" s="206">
        <v>0</v>
      </c>
      <c r="AK237" s="206">
        <f t="shared" si="57"/>
        <v>0</v>
      </c>
      <c r="AM237" s="206">
        <v>0</v>
      </c>
      <c r="AO237" s="206">
        <v>0</v>
      </c>
      <c r="AQ237" s="206">
        <v>0</v>
      </c>
      <c r="AS237" s="206">
        <v>0</v>
      </c>
      <c r="AU237" s="206">
        <v>0</v>
      </c>
      <c r="AW237" s="206">
        <v>0</v>
      </c>
      <c r="AY237" s="206">
        <v>0</v>
      </c>
      <c r="BA237" s="206">
        <v>0</v>
      </c>
      <c r="BC237" s="206">
        <v>0</v>
      </c>
      <c r="BD237" s="206">
        <v>0</v>
      </c>
      <c r="BE237" s="206">
        <f t="shared" si="58"/>
        <v>0</v>
      </c>
      <c r="BG237" s="199">
        <f t="shared" si="59"/>
        <v>0</v>
      </c>
      <c r="BI237" s="199">
        <f t="shared" si="60"/>
        <v>0</v>
      </c>
      <c r="BK237" s="199">
        <f t="shared" si="61"/>
        <v>0</v>
      </c>
    </row>
    <row r="238" spans="1:64" s="206" customFormat="1" hidden="1">
      <c r="A238" s="422"/>
      <c r="B238" s="206" t="s">
        <v>278</v>
      </c>
      <c r="E238" s="206">
        <v>0</v>
      </c>
      <c r="G238" s="199">
        <v>0</v>
      </c>
      <c r="I238" s="206">
        <f t="shared" si="56"/>
        <v>0</v>
      </c>
      <c r="K238" s="206">
        <v>0</v>
      </c>
      <c r="M238" s="206">
        <v>0</v>
      </c>
      <c r="O238" s="206">
        <v>0</v>
      </c>
      <c r="Q238" s="206">
        <v>0</v>
      </c>
      <c r="S238" s="217">
        <v>0</v>
      </c>
      <c r="T238" s="217"/>
      <c r="U238" s="206">
        <v>0</v>
      </c>
      <c r="W238" s="206">
        <v>0</v>
      </c>
      <c r="Y238" s="206">
        <v>0</v>
      </c>
      <c r="AA238" s="206">
        <v>0</v>
      </c>
      <c r="AC238" s="206">
        <v>0</v>
      </c>
      <c r="AE238" s="206">
        <v>0</v>
      </c>
      <c r="AG238" s="206">
        <v>0</v>
      </c>
      <c r="AI238" s="206">
        <v>0</v>
      </c>
      <c r="AK238" s="206">
        <f t="shared" si="57"/>
        <v>0</v>
      </c>
      <c r="AM238" s="206">
        <v>0</v>
      </c>
      <c r="AO238" s="206">
        <v>0</v>
      </c>
      <c r="AQ238" s="206">
        <v>0</v>
      </c>
      <c r="AS238" s="206">
        <v>0</v>
      </c>
      <c r="AU238" s="206">
        <v>0</v>
      </c>
      <c r="AW238" s="206">
        <v>0</v>
      </c>
      <c r="AY238" s="206">
        <v>0</v>
      </c>
      <c r="BA238" s="206">
        <v>0</v>
      </c>
      <c r="BC238" s="206">
        <v>0</v>
      </c>
      <c r="BD238" s="206">
        <v>0</v>
      </c>
      <c r="BE238" s="206">
        <f t="shared" si="58"/>
        <v>0</v>
      </c>
      <c r="BG238" s="199">
        <f t="shared" si="59"/>
        <v>0</v>
      </c>
      <c r="BI238" s="199">
        <f t="shared" si="60"/>
        <v>0</v>
      </c>
      <c r="BK238" s="199">
        <f t="shared" si="61"/>
        <v>0</v>
      </c>
    </row>
    <row r="239" spans="1:64" s="206" customFormat="1" hidden="1">
      <c r="A239" s="422"/>
      <c r="B239" s="206" t="s">
        <v>279</v>
      </c>
      <c r="E239" s="206">
        <v>0</v>
      </c>
      <c r="G239" s="199">
        <v>0</v>
      </c>
      <c r="I239" s="206">
        <f t="shared" si="56"/>
        <v>0</v>
      </c>
      <c r="K239" s="206">
        <v>0</v>
      </c>
      <c r="M239" s="206">
        <v>0</v>
      </c>
      <c r="O239" s="206">
        <v>0</v>
      </c>
      <c r="Q239" s="206">
        <v>0</v>
      </c>
      <c r="S239" s="217">
        <v>0</v>
      </c>
      <c r="T239" s="217"/>
      <c r="U239" s="206">
        <v>0</v>
      </c>
      <c r="W239" s="206">
        <v>0</v>
      </c>
      <c r="Y239" s="206">
        <v>0</v>
      </c>
      <c r="AA239" s="206">
        <v>0</v>
      </c>
      <c r="AC239" s="206">
        <v>0</v>
      </c>
      <c r="AE239" s="206">
        <v>0</v>
      </c>
      <c r="AG239" s="206">
        <v>0</v>
      </c>
      <c r="AI239" s="206">
        <v>0</v>
      </c>
      <c r="AK239" s="206">
        <f t="shared" si="57"/>
        <v>0</v>
      </c>
      <c r="AM239" s="206">
        <v>0</v>
      </c>
      <c r="AO239" s="206">
        <v>0</v>
      </c>
      <c r="AQ239" s="206">
        <v>0</v>
      </c>
      <c r="AS239" s="206">
        <v>0</v>
      </c>
      <c r="AU239" s="206">
        <v>0</v>
      </c>
      <c r="AW239" s="206">
        <v>0</v>
      </c>
      <c r="AY239" s="206">
        <v>0</v>
      </c>
      <c r="BA239" s="206">
        <v>0</v>
      </c>
      <c r="BC239" s="206">
        <v>0</v>
      </c>
      <c r="BD239" s="206">
        <v>0</v>
      </c>
      <c r="BE239" s="206">
        <f t="shared" si="58"/>
        <v>0</v>
      </c>
      <c r="BG239" s="199">
        <f t="shared" si="59"/>
        <v>0</v>
      </c>
      <c r="BI239" s="199">
        <f t="shared" si="60"/>
        <v>0</v>
      </c>
      <c r="BK239" s="199">
        <f t="shared" si="61"/>
        <v>0</v>
      </c>
    </row>
    <row r="240" spans="1:64" s="206" customFormat="1" hidden="1">
      <c r="A240" s="422"/>
      <c r="B240" s="206" t="s">
        <v>277</v>
      </c>
      <c r="E240" s="206">
        <v>0</v>
      </c>
      <c r="G240" s="199">
        <v>0</v>
      </c>
      <c r="I240" s="206">
        <f t="shared" si="56"/>
        <v>0</v>
      </c>
      <c r="K240" s="206">
        <v>0</v>
      </c>
      <c r="M240" s="206">
        <v>0</v>
      </c>
      <c r="O240" s="206">
        <v>0</v>
      </c>
      <c r="Q240" s="206">
        <v>0</v>
      </c>
      <c r="S240" s="217">
        <v>0</v>
      </c>
      <c r="T240" s="217"/>
      <c r="U240" s="206">
        <v>0</v>
      </c>
      <c r="W240" s="206">
        <v>0</v>
      </c>
      <c r="Y240" s="206">
        <v>0</v>
      </c>
      <c r="AA240" s="206">
        <v>0</v>
      </c>
      <c r="AC240" s="206">
        <v>0</v>
      </c>
      <c r="AE240" s="206">
        <v>0</v>
      </c>
      <c r="AG240" s="206">
        <v>0</v>
      </c>
      <c r="AI240" s="206">
        <v>0</v>
      </c>
      <c r="AK240" s="206">
        <f t="shared" si="57"/>
        <v>0</v>
      </c>
      <c r="AM240" s="206">
        <v>0</v>
      </c>
      <c r="AO240" s="206">
        <v>0</v>
      </c>
      <c r="AQ240" s="206">
        <v>0</v>
      </c>
      <c r="AS240" s="206">
        <v>0</v>
      </c>
      <c r="AU240" s="206">
        <v>0</v>
      </c>
      <c r="AW240" s="206">
        <v>0</v>
      </c>
      <c r="AY240" s="206">
        <v>0</v>
      </c>
      <c r="BA240" s="206">
        <v>0</v>
      </c>
      <c r="BC240" s="206">
        <v>0</v>
      </c>
      <c r="BD240" s="206">
        <v>0</v>
      </c>
      <c r="BE240" s="206">
        <f t="shared" si="58"/>
        <v>0</v>
      </c>
      <c r="BG240" s="199">
        <f t="shared" si="59"/>
        <v>0</v>
      </c>
      <c r="BI240" s="199">
        <f t="shared" si="60"/>
        <v>0</v>
      </c>
      <c r="BK240" s="199">
        <f t="shared" si="61"/>
        <v>0</v>
      </c>
    </row>
    <row r="241" spans="1:65" s="206" customFormat="1" hidden="1">
      <c r="A241" s="422"/>
      <c r="B241" s="206" t="s">
        <v>544</v>
      </c>
      <c r="E241" s="206">
        <v>375000</v>
      </c>
      <c r="G241" s="199">
        <v>375000</v>
      </c>
      <c r="I241" s="206">
        <f t="shared" si="56"/>
        <v>0</v>
      </c>
      <c r="K241" s="206">
        <f>474.67+505.33+825.25</f>
        <v>1805.25</v>
      </c>
      <c r="M241" s="206">
        <v>0</v>
      </c>
      <c r="O241" s="206">
        <f>605.32+461.4+330.3</f>
        <v>1397.02</v>
      </c>
      <c r="Q241" s="203">
        <f>1397.02-1397.02+3171.91+812.23+747.73+79.82+71.39</f>
        <v>4883.08</v>
      </c>
      <c r="S241" s="217">
        <f>5285+1030.34+122.91+819.44+172.58</f>
        <v>7430.27</v>
      </c>
      <c r="T241" s="217"/>
      <c r="U241" s="233">
        <f>5072.96+4935.11+1074.93+1199.36+839.59+500.82+1631.74+360</f>
        <v>15614.51</v>
      </c>
      <c r="V241" s="233"/>
      <c r="W241" s="233">
        <f>4948.92+4164.95+1938.42+73.37+1209.54+321.96</f>
        <v>12657.16</v>
      </c>
      <c r="X241" s="233"/>
      <c r="Y241" s="218">
        <f>5936.81+100+968+826.59+978.73+259.17+1117.25+953.02+170.25+5551.71+34.19+1157.17+27.79+37.62+2182.8+303.21</f>
        <v>20604.309999999998</v>
      </c>
      <c r="Z241" s="233"/>
      <c r="AA241" s="218">
        <f>793.07+7.58+419.3</f>
        <v>1219.95</v>
      </c>
      <c r="AB241" s="233"/>
      <c r="AC241" s="233">
        <f>2025.33+73.48+1145.46</f>
        <v>3244.27</v>
      </c>
      <c r="AD241" s="233"/>
      <c r="AE241" s="233">
        <f>126.84+1131.4+66.49</f>
        <v>1324.73</v>
      </c>
      <c r="AF241" s="233"/>
      <c r="AG241" s="206">
        <f>0+9.17+484.41+2152.82+1383.69+126.22</f>
        <v>4156.3100000000004</v>
      </c>
      <c r="AI241" s="206">
        <f>22069.5+4589.45+16484.03+9568.95+2059.32+9301.58+27961.73+19918.9+27650.83+41293.92+19502.89+22838.53+316.65+746.73+18.72+1640.13+828.67+580.92+200.12+2231.25+1852.25</f>
        <v>231655.07</v>
      </c>
      <c r="AK241" s="206">
        <f>SUM(K241:AI241)</f>
        <v>305991.93</v>
      </c>
      <c r="AM241" s="206">
        <v>0</v>
      </c>
      <c r="AO241" s="206">
        <f>1960.12+588.63</f>
        <v>2548.75</v>
      </c>
      <c r="AQ241" s="206">
        <v>11864</v>
      </c>
      <c r="AS241" s="206">
        <v>45998</v>
      </c>
      <c r="AU241" s="206">
        <f>10433.5-1836</f>
        <v>8597.5</v>
      </c>
      <c r="BD241" s="206">
        <v>0</v>
      </c>
      <c r="BE241" s="206">
        <f>SUM(AK241:BA241)+BC241</f>
        <v>375000.18</v>
      </c>
      <c r="BG241" s="199">
        <f t="shared" si="59"/>
        <v>0</v>
      </c>
      <c r="BI241" s="199">
        <f t="shared" si="60"/>
        <v>375000.18</v>
      </c>
      <c r="BK241" s="348">
        <f t="shared" si="61"/>
        <v>-0.17999999999301508</v>
      </c>
    </row>
    <row r="242" spans="1:65" s="206" customFormat="1" hidden="1">
      <c r="A242" s="422"/>
      <c r="T242" s="217"/>
    </row>
    <row r="243" spans="1:65" s="225" customFormat="1">
      <c r="A243" s="423" t="s">
        <v>207</v>
      </c>
      <c r="E243" s="225">
        <f>SUM(E233:E242)</f>
        <v>375000</v>
      </c>
      <c r="G243" s="225">
        <v>328220</v>
      </c>
      <c r="I243" s="225">
        <f>SUM(I233:I242)</f>
        <v>0</v>
      </c>
      <c r="K243" s="225">
        <f>SUM(K233:K242)</f>
        <v>1805.25</v>
      </c>
      <c r="M243" s="225">
        <f>SUM(M233:M242)</f>
        <v>0</v>
      </c>
      <c r="O243" s="225">
        <f>SUM(O233:O242)</f>
        <v>1397.02</v>
      </c>
      <c r="Q243" s="225">
        <f>SUM(Q233:Q242)</f>
        <v>4883.08</v>
      </c>
      <c r="S243" s="225">
        <f>SUM(S233:S242)</f>
        <v>7430.27</v>
      </c>
      <c r="T243" s="223"/>
      <c r="U243" s="225">
        <f>SUM(U233:U242)</f>
        <v>15614.51</v>
      </c>
      <c r="W243" s="225">
        <f>SUM(W233:W242)</f>
        <v>12657.16</v>
      </c>
      <c r="Y243" s="225">
        <f>SUM(Y234:Y242)</f>
        <v>20604.309999999998</v>
      </c>
      <c r="AA243" s="225">
        <f>SUM(AA234:AA242)</f>
        <v>1219.95</v>
      </c>
      <c r="AC243" s="225">
        <f>SUM(AC233:AC242)</f>
        <v>3244.27</v>
      </c>
      <c r="AE243" s="225">
        <f>SUM(AE233:AE242)</f>
        <v>1324.73</v>
      </c>
      <c r="AG243" s="225">
        <f>SUM(AG233:AG242)</f>
        <v>4156.3100000000004</v>
      </c>
      <c r="AI243" s="225">
        <f>SUM(AI233:AI242)</f>
        <v>231655.07</v>
      </c>
      <c r="AK243" s="225">
        <f>SUM(AK233:AK242)</f>
        <v>305991.93</v>
      </c>
      <c r="AM243" s="225">
        <f>SUM(AM233:AM242)</f>
        <v>0</v>
      </c>
      <c r="AO243" s="225">
        <f>SUM(AO233:AO242)</f>
        <v>2548.75</v>
      </c>
      <c r="AQ243" s="225">
        <f>SUM(AQ233:AQ242)</f>
        <v>11864</v>
      </c>
      <c r="AS243" s="225">
        <v>4210</v>
      </c>
      <c r="AU243" s="225">
        <v>-6394</v>
      </c>
      <c r="AW243" s="225">
        <v>1950</v>
      </c>
      <c r="AY243" s="225">
        <v>8049</v>
      </c>
      <c r="BA243" s="225">
        <v>1425</v>
      </c>
      <c r="BC243" s="225">
        <f>SUM(BC233:BC242)</f>
        <v>0</v>
      </c>
      <c r="BD243" s="225">
        <f>SUM(BD233:BD242)</f>
        <v>0</v>
      </c>
      <c r="BE243" s="225">
        <f>SUM(AK243:BC243)</f>
        <v>329644.68</v>
      </c>
      <c r="BG243" s="225">
        <f>SUM(BG233:BG242)</f>
        <v>0</v>
      </c>
      <c r="BI243" s="225">
        <f>SUM(BI233:BI242)</f>
        <v>375000.18</v>
      </c>
      <c r="BK243" s="225">
        <f>SUM(BK233:BK242)</f>
        <v>-0.17999999999301508</v>
      </c>
    </row>
    <row r="244" spans="1:65" s="206" customFormat="1">
      <c r="A244" s="412"/>
      <c r="C244" s="402"/>
      <c r="D244" s="402"/>
      <c r="T244" s="217"/>
    </row>
    <row r="245" spans="1:65" s="206" customFormat="1" hidden="1">
      <c r="A245" s="412" t="s">
        <v>283</v>
      </c>
      <c r="C245" s="402"/>
      <c r="D245" s="402"/>
      <c r="T245" s="217"/>
      <c r="AK245" s="206">
        <f>SUM(K245:AJ245)</f>
        <v>0</v>
      </c>
      <c r="BE245" s="225">
        <f>SUM(AK245:BC245)</f>
        <v>0</v>
      </c>
      <c r="BG245" s="206">
        <f>+MAX(0,G245-AK245+AM245)</f>
        <v>0</v>
      </c>
      <c r="BI245" s="206">
        <f>SUM(BE245:BG245)</f>
        <v>0</v>
      </c>
    </row>
    <row r="246" spans="1:65" s="206" customFormat="1" hidden="1">
      <c r="A246" s="197"/>
      <c r="B246" s="206" t="s">
        <v>457</v>
      </c>
      <c r="E246" s="206">
        <v>300000</v>
      </c>
      <c r="G246" s="206">
        <v>300000</v>
      </c>
      <c r="I246" s="206">
        <f>+G246-E246</f>
        <v>0</v>
      </c>
      <c r="K246" s="206">
        <f>14520.32+7378.21</f>
        <v>21898.53</v>
      </c>
      <c r="M246" s="206">
        <v>6134.01</v>
      </c>
      <c r="O246" s="415">
        <v>9917.44</v>
      </c>
      <c r="Q246" s="206">
        <v>0</v>
      </c>
      <c r="S246" s="206">
        <v>0</v>
      </c>
      <c r="T246" s="217"/>
      <c r="U246" s="206">
        <v>43465.95</v>
      </c>
      <c r="W246" s="206">
        <v>0</v>
      </c>
      <c r="Y246" s="206">
        <v>0</v>
      </c>
      <c r="AA246" s="206">
        <v>0</v>
      </c>
      <c r="AC246" s="206">
        <f>23476.13+5034.12</f>
        <v>28510.25</v>
      </c>
      <c r="AE246" s="206">
        <v>0</v>
      </c>
      <c r="AG246" s="206">
        <f>14180+79879+10609</f>
        <v>104668</v>
      </c>
      <c r="AI246" s="206">
        <f>5515.93+6134.01+9917.44+43465.95</f>
        <v>65033.33</v>
      </c>
      <c r="AK246" s="206">
        <f>SUM(K246:AJ246)</f>
        <v>279627.51</v>
      </c>
      <c r="AM246" s="206">
        <v>0</v>
      </c>
      <c r="AO246" s="206">
        <v>2036.4</v>
      </c>
      <c r="AQ246" s="206">
        <v>0</v>
      </c>
      <c r="AS246" s="206">
        <v>15744</v>
      </c>
      <c r="AU246" s="206">
        <f>3056-464</f>
        <v>2592</v>
      </c>
      <c r="AW246" s="206">
        <v>0</v>
      </c>
      <c r="AY246" s="206">
        <v>0</v>
      </c>
      <c r="BA246" s="206">
        <v>0</v>
      </c>
      <c r="BC246" s="206">
        <v>0</v>
      </c>
      <c r="BD246" s="206">
        <v>0</v>
      </c>
      <c r="BG246" s="206">
        <f>+MAX(0,G246-BE246+AM246)</f>
        <v>300000</v>
      </c>
      <c r="BI246" s="206">
        <f>SUM(BE246:BG246)</f>
        <v>300000</v>
      </c>
      <c r="BK246" s="348">
        <f>+G246-BI246</f>
        <v>0</v>
      </c>
      <c r="BM246" s="206" t="s">
        <v>476</v>
      </c>
    </row>
    <row r="247" spans="1:65" s="206" customFormat="1" hidden="1">
      <c r="A247" s="197"/>
      <c r="B247" s="206" t="s">
        <v>455</v>
      </c>
      <c r="E247" s="206">
        <v>150000</v>
      </c>
      <c r="G247" s="206">
        <v>150000</v>
      </c>
      <c r="I247" s="206">
        <f>+G247-E247</f>
        <v>0</v>
      </c>
      <c r="K247" s="206">
        <f>14346.82+10271.2+3762.91+345.13+1704.5+780.46</f>
        <v>31211.02</v>
      </c>
      <c r="M247" s="206">
        <v>0</v>
      </c>
      <c r="O247" s="206">
        <v>0</v>
      </c>
      <c r="Q247" s="206">
        <v>0</v>
      </c>
      <c r="S247" s="206">
        <v>0</v>
      </c>
      <c r="T247" s="217"/>
      <c r="U247" s="206">
        <v>0</v>
      </c>
      <c r="W247" s="206">
        <v>0</v>
      </c>
      <c r="Y247" s="206">
        <f>2585.04</f>
        <v>2585.04</v>
      </c>
      <c r="AA247" s="206">
        <v>0</v>
      </c>
      <c r="AC247" s="206">
        <f>2387.16+7055.46</f>
        <v>9442.619999999999</v>
      </c>
      <c r="AE247" s="206">
        <v>2771.63</v>
      </c>
      <c r="AG247" s="206">
        <v>0</v>
      </c>
      <c r="AI247" s="206">
        <f>4050.27+674.69+464.29+429.85+270.9+931.98+6727.02</f>
        <v>13549</v>
      </c>
      <c r="AK247" s="206">
        <f>SUM(K247:AJ247)</f>
        <v>59559.30999999999</v>
      </c>
      <c r="AM247" s="206">
        <v>0</v>
      </c>
      <c r="AO247" s="206">
        <v>3255.75</v>
      </c>
      <c r="AQ247" s="206">
        <v>0</v>
      </c>
      <c r="AS247" s="206">
        <v>0</v>
      </c>
      <c r="AU247" s="206">
        <v>14530.83</v>
      </c>
      <c r="AW247" s="206">
        <v>14530.83</v>
      </c>
      <c r="AY247" s="206">
        <v>14530.83</v>
      </c>
      <c r="BA247" s="206">
        <v>14530.83</v>
      </c>
      <c r="BC247" s="206">
        <f>14530.83+14531</f>
        <v>29061.83</v>
      </c>
      <c r="BD247" s="206">
        <v>0</v>
      </c>
      <c r="BE247" s="225">
        <f>SUM(AK247:BC247)</f>
        <v>150000.21</v>
      </c>
      <c r="BG247" s="206">
        <f>+MAX(0,G247-BE247+AM247)</f>
        <v>0</v>
      </c>
      <c r="BI247" s="206">
        <f>SUM(BE247:BG247)</f>
        <v>150000.21</v>
      </c>
      <c r="BK247" s="348">
        <f>+G247-BI247</f>
        <v>-0.20999999999185093</v>
      </c>
      <c r="BM247" s="206" t="s">
        <v>476</v>
      </c>
    </row>
    <row r="248" spans="1:65" s="206" customFormat="1" hidden="1">
      <c r="A248" s="197"/>
      <c r="B248" s="206" t="s">
        <v>456</v>
      </c>
      <c r="E248" s="206">
        <v>0</v>
      </c>
      <c r="G248" s="206">
        <v>0</v>
      </c>
      <c r="I248" s="206">
        <f>+G248-E248</f>
        <v>0</v>
      </c>
      <c r="K248" s="206">
        <v>2705</v>
      </c>
      <c r="O248" s="206">
        <v>934</v>
      </c>
      <c r="T248" s="217"/>
      <c r="U248" s="206">
        <v>0</v>
      </c>
      <c r="W248" s="206">
        <v>-10271.200000000001</v>
      </c>
      <c r="AE248" s="206">
        <v>0</v>
      </c>
      <c r="AG248" s="206">
        <v>0</v>
      </c>
      <c r="AI248" s="206">
        <v>0</v>
      </c>
      <c r="AK248" s="206">
        <f>SUM(K248:AI248)</f>
        <v>-6632.2000000000007</v>
      </c>
      <c r="AM248" s="206">
        <v>0</v>
      </c>
      <c r="AO248" s="206">
        <v>0</v>
      </c>
      <c r="AQ248" s="206">
        <v>0</v>
      </c>
      <c r="AS248" s="206">
        <v>0</v>
      </c>
      <c r="AU248" s="206">
        <v>0</v>
      </c>
      <c r="AW248" s="206">
        <v>0</v>
      </c>
      <c r="AY248" s="206">
        <v>0</v>
      </c>
      <c r="BA248" s="206">
        <v>0</v>
      </c>
      <c r="BC248" s="206">
        <v>6632</v>
      </c>
      <c r="BD248" s="206">
        <v>0</v>
      </c>
      <c r="BG248" s="206">
        <f>+MAX(0,G248-BE248+AM248)</f>
        <v>0</v>
      </c>
      <c r="BI248" s="206">
        <f>SUM(BE248:BG248)</f>
        <v>0</v>
      </c>
      <c r="BK248" s="348">
        <f>+G248-BI248</f>
        <v>0</v>
      </c>
    </row>
    <row r="249" spans="1:65" s="206" customFormat="1" hidden="1">
      <c r="A249" s="197"/>
      <c r="E249" s="206">
        <v>0</v>
      </c>
      <c r="G249" s="206">
        <f>+E249+I249</f>
        <v>0</v>
      </c>
      <c r="I249" s="206">
        <v>0</v>
      </c>
      <c r="K249" s="206">
        <v>0</v>
      </c>
      <c r="M249" s="206">
        <v>0</v>
      </c>
      <c r="Q249" s="206">
        <v>0</v>
      </c>
      <c r="S249" s="206">
        <v>0</v>
      </c>
      <c r="T249" s="217"/>
      <c r="U249" s="206">
        <v>0</v>
      </c>
      <c r="W249" s="206">
        <v>0</v>
      </c>
      <c r="Y249" s="206">
        <v>0</v>
      </c>
      <c r="AA249" s="206">
        <v>0</v>
      </c>
      <c r="AC249" s="206">
        <v>0</v>
      </c>
      <c r="AE249" s="206">
        <v>0</v>
      </c>
      <c r="AG249" s="206">
        <v>0</v>
      </c>
      <c r="AI249" s="206">
        <v>0</v>
      </c>
      <c r="AK249" s="206">
        <f>SUM(K249:AJ249)</f>
        <v>0</v>
      </c>
      <c r="AM249" s="206">
        <v>0</v>
      </c>
      <c r="AO249" s="206">
        <v>0</v>
      </c>
      <c r="AQ249" s="206">
        <v>0</v>
      </c>
      <c r="AS249" s="206">
        <v>0</v>
      </c>
      <c r="AU249" s="206">
        <v>0</v>
      </c>
      <c r="AW249" s="206">
        <v>0</v>
      </c>
      <c r="AY249" s="206">
        <v>0</v>
      </c>
      <c r="BA249" s="206">
        <v>0</v>
      </c>
      <c r="BC249" s="206">
        <v>0</v>
      </c>
      <c r="BD249" s="206">
        <v>0</v>
      </c>
      <c r="BE249" s="225">
        <f>SUM(AK249:BC249)</f>
        <v>0</v>
      </c>
      <c r="BG249" s="206">
        <f>+MAX(0,G249-AK249+AM249)</f>
        <v>0</v>
      </c>
      <c r="BI249" s="206">
        <f>+AK249+BG249</f>
        <v>0</v>
      </c>
      <c r="BK249" s="348">
        <f>+G249-BI249</f>
        <v>0</v>
      </c>
    </row>
    <row r="250" spans="1:65" s="206" customFormat="1" hidden="1">
      <c r="A250" s="197"/>
      <c r="T250" s="217"/>
    </row>
    <row r="251" spans="1:65" s="225" customFormat="1">
      <c r="A251" s="212"/>
      <c r="B251" s="225" t="s">
        <v>208</v>
      </c>
      <c r="E251" s="225">
        <f>SUM(E246:E250)</f>
        <v>450000</v>
      </c>
      <c r="G251" s="225">
        <v>385319</v>
      </c>
      <c r="I251" s="225">
        <f>SUM(I246:I250)</f>
        <v>0</v>
      </c>
      <c r="K251" s="225">
        <f>SUM(K246:K250)</f>
        <v>55814.55</v>
      </c>
      <c r="M251" s="225">
        <f>SUM(M246:M250)</f>
        <v>6134.01</v>
      </c>
      <c r="O251" s="225">
        <f>SUM(O246:O250)</f>
        <v>10851.44</v>
      </c>
      <c r="Q251" s="225">
        <f>SUM(Q246:Q250)</f>
        <v>0</v>
      </c>
      <c r="S251" s="225">
        <f>SUM(S246:S250)</f>
        <v>0</v>
      </c>
      <c r="T251" s="223"/>
      <c r="U251" s="225">
        <f>SUM(U246:U250)</f>
        <v>43465.95</v>
      </c>
      <c r="W251" s="225">
        <f>SUM(W246:W250)</f>
        <v>-10271.200000000001</v>
      </c>
      <c r="Y251" s="225">
        <f>SUM(Y246:Y250)</f>
        <v>2585.04</v>
      </c>
      <c r="AA251" s="225">
        <f>SUM(AA246:AA250)</f>
        <v>0</v>
      </c>
      <c r="AC251" s="225">
        <f>SUM(AC245:AC250)</f>
        <v>37952.869999999995</v>
      </c>
      <c r="AE251" s="225">
        <f>SUM(AE246:AE250)</f>
        <v>2771.63</v>
      </c>
      <c r="AG251" s="225">
        <f>SUM(AG246:AG250)</f>
        <v>104668</v>
      </c>
      <c r="AI251" s="225">
        <f>SUM(AI246:AI250)</f>
        <v>78582.33</v>
      </c>
      <c r="AK251" s="225">
        <f>SUM(AK245:AK250)</f>
        <v>332554.62</v>
      </c>
      <c r="AM251" s="225">
        <f>SUM(AM246:AM250)</f>
        <v>0</v>
      </c>
      <c r="AO251" s="225">
        <f>SUM(AO246:AO250)</f>
        <v>5292.15</v>
      </c>
      <c r="AQ251" s="225">
        <f>SUM(AQ246:AQ250)</f>
        <v>0</v>
      </c>
      <c r="AS251" s="225">
        <v>39733</v>
      </c>
      <c r="AU251" s="225">
        <v>28642</v>
      </c>
      <c r="AW251" s="225">
        <f>-19789</f>
        <v>-19789</v>
      </c>
      <c r="AY251" s="225">
        <v>46138</v>
      </c>
      <c r="BD251" s="225">
        <f>SUM(BD246:BD250)</f>
        <v>0</v>
      </c>
      <c r="BE251" s="225">
        <f>SUM(AK251:BC251)-40000</f>
        <v>392570.77</v>
      </c>
      <c r="BG251" s="225">
        <f>SUM(BG245:BG250)</f>
        <v>300000</v>
      </c>
      <c r="BI251" s="225">
        <f>SUM(BI245:BI250)</f>
        <v>450000.20999999996</v>
      </c>
      <c r="BK251" s="348">
        <f>SUM(BK246:BK250)</f>
        <v>-0.20999999999185093</v>
      </c>
    </row>
    <row r="252" spans="1:65" ht="15.75" customHeight="1">
      <c r="A252" s="215"/>
      <c r="B252" s="206"/>
      <c r="C252" s="372"/>
      <c r="D252" s="372"/>
      <c r="E252" s="206"/>
      <c r="G252" s="206"/>
      <c r="I252" s="206"/>
      <c r="K252" s="206"/>
      <c r="L252" s="206"/>
      <c r="M252" s="206"/>
      <c r="O252" s="206"/>
      <c r="Q252" s="206"/>
      <c r="S252" s="206"/>
      <c r="U252" s="206"/>
      <c r="V252" s="206"/>
      <c r="W252" s="206"/>
      <c r="X252" s="206"/>
      <c r="Y252" s="206"/>
      <c r="Z252" s="206"/>
      <c r="AA252" s="206"/>
      <c r="AB252" s="206"/>
      <c r="AC252" s="206"/>
      <c r="AD252" s="206"/>
      <c r="AE252" s="206"/>
      <c r="AF252" s="206"/>
      <c r="AG252" s="206"/>
      <c r="AI252" s="206"/>
      <c r="AK252" s="206"/>
      <c r="AM252" s="206"/>
      <c r="AO252" s="206"/>
      <c r="BE252" s="206"/>
      <c r="BG252" s="206"/>
      <c r="BI252" s="206"/>
      <c r="BK252" s="206"/>
    </row>
    <row r="253" spans="1:65" s="221" customFormat="1" hidden="1">
      <c r="A253" s="215" t="s">
        <v>424</v>
      </c>
      <c r="B253" s="225"/>
      <c r="E253" s="221">
        <v>0</v>
      </c>
      <c r="F253" s="225"/>
      <c r="G253" s="221">
        <f>+E253+I253</f>
        <v>0</v>
      </c>
      <c r="H253" s="225"/>
      <c r="I253" s="221">
        <v>0</v>
      </c>
      <c r="J253" s="225"/>
      <c r="K253" s="221">
        <v>0</v>
      </c>
      <c r="L253" s="225"/>
      <c r="M253" s="221">
        <v>0</v>
      </c>
      <c r="N253" s="225"/>
      <c r="O253" s="221">
        <v>0</v>
      </c>
      <c r="P253" s="225"/>
      <c r="Q253" s="221">
        <v>0</v>
      </c>
      <c r="R253" s="225"/>
      <c r="S253" s="221">
        <v>0</v>
      </c>
      <c r="T253" s="223"/>
      <c r="U253" s="221">
        <v>0</v>
      </c>
      <c r="V253" s="225"/>
      <c r="W253" s="221">
        <v>0</v>
      </c>
      <c r="X253" s="225"/>
      <c r="Y253" s="221">
        <v>0</v>
      </c>
      <c r="Z253" s="225"/>
      <c r="AA253" s="221">
        <v>0</v>
      </c>
      <c r="AB253" s="225"/>
      <c r="AC253" s="221">
        <v>0</v>
      </c>
      <c r="AD253" s="225"/>
      <c r="AE253" s="221">
        <v>0</v>
      </c>
      <c r="AF253" s="225"/>
      <c r="AG253" s="221">
        <v>0</v>
      </c>
      <c r="AH253" s="225"/>
      <c r="AI253" s="221">
        <v>0</v>
      </c>
      <c r="AJ253" s="225"/>
      <c r="AK253" s="221">
        <f>SUM(K253:AJ253)</f>
        <v>0</v>
      </c>
      <c r="AL253" s="225"/>
      <c r="AM253" s="225">
        <v>0</v>
      </c>
      <c r="AN253" s="225"/>
      <c r="AO253" s="221">
        <v>0</v>
      </c>
      <c r="AP253" s="225"/>
      <c r="AQ253" s="225">
        <v>0</v>
      </c>
      <c r="AR253" s="225"/>
      <c r="AS253" s="225">
        <v>0</v>
      </c>
      <c r="AT253" s="225"/>
      <c r="AU253" s="225">
        <v>0</v>
      </c>
      <c r="AV253" s="225"/>
      <c r="AW253" s="225">
        <v>0</v>
      </c>
      <c r="AX253" s="225"/>
      <c r="AY253" s="225">
        <v>0</v>
      </c>
      <c r="AZ253" s="225"/>
      <c r="BA253" s="225">
        <v>0</v>
      </c>
      <c r="BB253" s="225"/>
      <c r="BC253" s="225">
        <v>0</v>
      </c>
      <c r="BD253" s="225">
        <v>0</v>
      </c>
      <c r="BE253" s="225">
        <f>SUM(AK253:BC253)</f>
        <v>0</v>
      </c>
      <c r="BF253" s="225"/>
      <c r="BG253" s="221">
        <f>+MAX(0,G253-AK253+AM253)</f>
        <v>0</v>
      </c>
      <c r="BH253" s="225"/>
      <c r="BI253" s="221">
        <f>+AK253+BG253</f>
        <v>0</v>
      </c>
      <c r="BJ253" s="225"/>
      <c r="BK253" s="221">
        <f>+G253-BI253</f>
        <v>0</v>
      </c>
      <c r="BL253" s="225"/>
    </row>
    <row r="254" spans="1:65" hidden="1">
      <c r="A254" s="215"/>
      <c r="B254" s="206"/>
      <c r="C254" s="372"/>
      <c r="D254" s="372"/>
      <c r="E254" s="206"/>
      <c r="G254" s="206"/>
      <c r="I254" s="206"/>
      <c r="K254" s="206"/>
      <c r="L254" s="206"/>
      <c r="M254" s="206"/>
      <c r="O254" s="206"/>
      <c r="Q254" s="206"/>
      <c r="S254" s="206"/>
      <c r="U254" s="206"/>
      <c r="V254" s="206"/>
      <c r="W254" s="206"/>
      <c r="X254" s="206"/>
      <c r="Y254" s="206"/>
      <c r="Z254" s="206"/>
      <c r="AA254" s="206"/>
      <c r="AB254" s="206"/>
      <c r="AC254" s="206"/>
      <c r="AD254" s="206"/>
      <c r="AE254" s="206"/>
      <c r="AF254" s="206"/>
      <c r="AG254" s="206"/>
      <c r="AI254" s="206"/>
      <c r="AK254" s="206"/>
      <c r="AM254" s="206"/>
      <c r="AO254" s="206"/>
      <c r="BE254" s="206"/>
      <c r="BG254" s="206"/>
      <c r="BI254" s="206"/>
      <c r="BK254" s="206"/>
    </row>
    <row r="255" spans="1:65" s="221" customFormat="1" hidden="1">
      <c r="A255" s="215" t="s">
        <v>425</v>
      </c>
      <c r="B255" s="225"/>
      <c r="E255" s="230"/>
      <c r="F255" s="225"/>
      <c r="G255" s="221">
        <v>0</v>
      </c>
      <c r="H255" s="225"/>
      <c r="I255" s="221">
        <f>+G255-E255</f>
        <v>0</v>
      </c>
      <c r="J255" s="225"/>
      <c r="K255" s="221">
        <v>0</v>
      </c>
      <c r="L255" s="225"/>
      <c r="M255" s="221">
        <v>0</v>
      </c>
      <c r="N255" s="225"/>
      <c r="O255" s="221">
        <v>0</v>
      </c>
      <c r="P255" s="225"/>
      <c r="Q255" s="221">
        <v>0</v>
      </c>
      <c r="R255" s="225"/>
      <c r="S255" s="221">
        <v>0</v>
      </c>
      <c r="T255" s="223"/>
      <c r="U255" s="221">
        <v>0</v>
      </c>
      <c r="V255" s="225"/>
      <c r="W255" s="221">
        <v>0</v>
      </c>
      <c r="X255" s="225"/>
      <c r="Y255" s="221">
        <v>0</v>
      </c>
      <c r="Z255" s="225"/>
      <c r="AA255" s="221">
        <v>0</v>
      </c>
      <c r="AB255" s="225"/>
      <c r="AC255" s="221">
        <v>0</v>
      </c>
      <c r="AD255" s="225"/>
      <c r="AE255" s="221">
        <v>0</v>
      </c>
      <c r="AF255" s="225"/>
      <c r="AG255" s="221">
        <v>0</v>
      </c>
      <c r="AH255" s="225"/>
      <c r="AI255" s="221">
        <v>0</v>
      </c>
      <c r="AJ255" s="225"/>
      <c r="AK255" s="221">
        <f>SUM(K255:AJ255)</f>
        <v>0</v>
      </c>
      <c r="AL255" s="225"/>
      <c r="AM255" s="225">
        <v>0</v>
      </c>
      <c r="AN255" s="225"/>
      <c r="AO255" s="221">
        <v>0</v>
      </c>
      <c r="AP255" s="225"/>
      <c r="AQ255" s="225">
        <v>0</v>
      </c>
      <c r="AR255" s="225"/>
      <c r="AS255" s="225">
        <v>0</v>
      </c>
      <c r="AT255" s="225"/>
      <c r="AU255" s="225">
        <v>0</v>
      </c>
      <c r="AV255" s="225"/>
      <c r="AW255" s="225">
        <v>0</v>
      </c>
      <c r="AX255" s="225"/>
      <c r="AY255" s="225">
        <v>0</v>
      </c>
      <c r="AZ255" s="225"/>
      <c r="BA255" s="225">
        <v>0</v>
      </c>
      <c r="BB255" s="225"/>
      <c r="BC255" s="225">
        <v>0</v>
      </c>
      <c r="BD255" s="225">
        <v>0</v>
      </c>
      <c r="BE255" s="225">
        <f>SUM(AK255:BC255)</f>
        <v>0</v>
      </c>
      <c r="BF255" s="225"/>
      <c r="BG255" s="221">
        <f>+MAX(0,G255-AK255+AM255)</f>
        <v>0</v>
      </c>
      <c r="BH255" s="225"/>
      <c r="BI255" s="221">
        <f>+AK255+BG255</f>
        <v>0</v>
      </c>
      <c r="BJ255" s="225"/>
      <c r="BK255" s="221">
        <f>+G255-BI255</f>
        <v>0</v>
      </c>
      <c r="BL255" s="225"/>
    </row>
    <row r="256" spans="1:65" hidden="1">
      <c r="A256" s="215"/>
      <c r="B256" s="206"/>
      <c r="C256" s="372"/>
      <c r="D256" s="372"/>
      <c r="E256" s="206"/>
      <c r="G256" s="206"/>
      <c r="I256" s="206"/>
      <c r="K256" s="206"/>
      <c r="L256" s="206"/>
      <c r="M256" s="206"/>
      <c r="O256" s="206"/>
      <c r="Q256" s="206"/>
      <c r="S256" s="206"/>
      <c r="U256" s="206"/>
      <c r="V256" s="206"/>
      <c r="W256" s="206"/>
      <c r="X256" s="206"/>
      <c r="Y256" s="206"/>
      <c r="Z256" s="206"/>
      <c r="AA256" s="206"/>
      <c r="AB256" s="206"/>
      <c r="AC256" s="206"/>
      <c r="AD256" s="206"/>
      <c r="AE256" s="206"/>
      <c r="AF256" s="206"/>
      <c r="AG256" s="206"/>
      <c r="AI256" s="206"/>
      <c r="AK256" s="206"/>
      <c r="AM256" s="206"/>
      <c r="AO256" s="206"/>
      <c r="BE256" s="206"/>
      <c r="BG256" s="206"/>
      <c r="BI256" s="206"/>
      <c r="BK256" s="206"/>
    </row>
    <row r="257" spans="1:64" s="221" customFormat="1" hidden="1">
      <c r="A257" s="215" t="s">
        <v>435</v>
      </c>
      <c r="B257" s="225"/>
      <c r="E257" s="221">
        <v>0</v>
      </c>
      <c r="F257" s="225"/>
      <c r="G257" s="221">
        <f>+E257+I257</f>
        <v>0</v>
      </c>
      <c r="H257" s="225"/>
      <c r="I257" s="221">
        <v>0</v>
      </c>
      <c r="J257" s="225"/>
      <c r="K257" s="221">
        <v>0</v>
      </c>
      <c r="L257" s="225"/>
      <c r="M257" s="221">
        <v>0</v>
      </c>
      <c r="N257" s="225"/>
      <c r="O257" s="221">
        <v>0</v>
      </c>
      <c r="P257" s="225"/>
      <c r="Q257" s="221">
        <v>0</v>
      </c>
      <c r="R257" s="225"/>
      <c r="S257" s="221">
        <v>0</v>
      </c>
      <c r="T257" s="223"/>
      <c r="U257" s="221">
        <v>0</v>
      </c>
      <c r="V257" s="225"/>
      <c r="W257" s="221">
        <v>0</v>
      </c>
      <c r="X257" s="225"/>
      <c r="Y257" s="221">
        <v>0</v>
      </c>
      <c r="Z257" s="225"/>
      <c r="AA257" s="221">
        <v>0</v>
      </c>
      <c r="AB257" s="225"/>
      <c r="AC257" s="221">
        <v>0</v>
      </c>
      <c r="AD257" s="225"/>
      <c r="AE257" s="221">
        <v>0</v>
      </c>
      <c r="AF257" s="225"/>
      <c r="AG257" s="221">
        <v>0</v>
      </c>
      <c r="AH257" s="225"/>
      <c r="AI257" s="221">
        <v>0</v>
      </c>
      <c r="AJ257" s="225"/>
      <c r="AK257" s="221">
        <f>SUM(K257:AJ257)</f>
        <v>0</v>
      </c>
      <c r="AL257" s="225"/>
      <c r="AM257" s="225">
        <v>0</v>
      </c>
      <c r="AN257" s="225"/>
      <c r="AO257" s="221">
        <v>0</v>
      </c>
      <c r="AP257" s="225"/>
      <c r="AQ257" s="225">
        <v>0</v>
      </c>
      <c r="AR257" s="225"/>
      <c r="AS257" s="225">
        <v>0</v>
      </c>
      <c r="AT257" s="225"/>
      <c r="AU257" s="225">
        <v>0</v>
      </c>
      <c r="AV257" s="225"/>
      <c r="AW257" s="225">
        <v>0</v>
      </c>
      <c r="AX257" s="225"/>
      <c r="AY257" s="225">
        <v>0</v>
      </c>
      <c r="AZ257" s="225"/>
      <c r="BA257" s="225">
        <v>0</v>
      </c>
      <c r="BB257" s="225"/>
      <c r="BC257" s="225">
        <v>0</v>
      </c>
      <c r="BD257" s="225">
        <v>0</v>
      </c>
      <c r="BE257" s="225">
        <f>SUM(AK257:BC257)</f>
        <v>0</v>
      </c>
      <c r="BF257" s="225"/>
      <c r="BG257" s="221">
        <f>+MAX(0,G257-AK257+AM257)</f>
        <v>0</v>
      </c>
      <c r="BH257" s="225"/>
      <c r="BI257" s="221">
        <f>+AK257+BG257</f>
        <v>0</v>
      </c>
      <c r="BJ257" s="225"/>
      <c r="BK257" s="221">
        <f>+G257-BI257</f>
        <v>0</v>
      </c>
      <c r="BL257" s="225"/>
    </row>
    <row r="258" spans="1:64" hidden="1">
      <c r="A258" s="215"/>
      <c r="B258" s="206"/>
      <c r="C258" s="372"/>
      <c r="D258" s="372"/>
      <c r="E258" s="206"/>
      <c r="G258" s="206"/>
      <c r="I258" s="206"/>
      <c r="K258" s="206"/>
      <c r="L258" s="206"/>
      <c r="M258" s="206"/>
      <c r="O258" s="206"/>
      <c r="Q258" s="206"/>
      <c r="S258" s="206"/>
      <c r="U258" s="206"/>
      <c r="V258" s="206"/>
      <c r="W258" s="206"/>
      <c r="X258" s="206"/>
      <c r="Y258" s="206"/>
      <c r="Z258" s="206"/>
      <c r="AA258" s="206"/>
      <c r="AB258" s="206"/>
      <c r="AC258" s="206"/>
      <c r="AD258" s="206"/>
      <c r="AE258" s="206"/>
      <c r="AF258" s="206"/>
      <c r="AG258" s="206"/>
      <c r="AI258" s="206"/>
      <c r="AK258" s="206"/>
      <c r="AM258" s="206"/>
      <c r="AO258" s="206"/>
      <c r="BE258" s="206"/>
      <c r="BG258" s="206"/>
      <c r="BI258" s="206"/>
      <c r="BK258" s="206"/>
    </row>
    <row r="259" spans="1:64" s="236" customFormat="1" hidden="1">
      <c r="A259" s="234"/>
      <c r="B259" s="235" t="s">
        <v>284</v>
      </c>
      <c r="E259" s="236">
        <f>+E228+E230+E243+E251+E257+E253+E255</f>
        <v>825000</v>
      </c>
      <c r="G259" s="236">
        <f>+G228+G230+G243+G251+G257+G253+G255</f>
        <v>713539</v>
      </c>
      <c r="I259" s="236">
        <f>+I228+I230+I243+I251+I257+I253+I255</f>
        <v>0</v>
      </c>
      <c r="K259" s="236">
        <f>+K228+K230+K243+K251+K257+K253+K255</f>
        <v>57619.8</v>
      </c>
      <c r="M259" s="236">
        <f>+M228+M230+M243+M251+M257+M253+M255</f>
        <v>6134.01</v>
      </c>
      <c r="O259" s="236">
        <f>+O228+O230+O243+O251+O257+O253+O255</f>
        <v>12248.460000000001</v>
      </c>
      <c r="Q259" s="236">
        <f>+Q228+Q230+Q243+Q251+Q257+Q253+Q255</f>
        <v>4883.08</v>
      </c>
      <c r="S259" s="236">
        <f>+S228+S230+S243+S251+S257+S253+S255</f>
        <v>7430.27</v>
      </c>
      <c r="T259" s="223"/>
      <c r="U259" s="236">
        <f>+U228+U230+U243+U251+U257+U253+U255</f>
        <v>59080.46</v>
      </c>
      <c r="W259" s="236">
        <f>+W228+W230+W243+W251+W257+W253+W255</f>
        <v>2385.9599999999991</v>
      </c>
      <c r="Y259" s="236">
        <f>+Y228+Y230+Y243+Y251+Y257+Y253+Y255</f>
        <v>23189.35</v>
      </c>
      <c r="AA259" s="236">
        <f>+AA228+AA230+AA243+AA251+AA257+AA253+AA255</f>
        <v>1219.95</v>
      </c>
      <c r="AC259" s="236">
        <f>+AC228+AC230+AC243+AC251+AC257+AC253+AC255</f>
        <v>41197.139999999992</v>
      </c>
      <c r="AE259" s="236">
        <f>+AE228+AE230+AE243+AE251+AE257+AE253+AE255</f>
        <v>4096.3600000000006</v>
      </c>
      <c r="AG259" s="236">
        <f>+AG228+AG230+AG243+AG251+AG257+AG253+AG255</f>
        <v>108824.31</v>
      </c>
      <c r="AI259" s="236">
        <f>+AI228+AI230+AI243+AI251+AI257+AI253+AI255</f>
        <v>310237.40000000002</v>
      </c>
      <c r="AK259" s="236">
        <f>+AK228+AK230+AK243+AK251+AK257+AK253+AK255</f>
        <v>638546.55000000005</v>
      </c>
      <c r="AM259" s="236">
        <f>+AM228+AM230+AM243+AM251+AM257+AM253+AM255</f>
        <v>0</v>
      </c>
      <c r="AO259" s="236">
        <f>+AO228+AO230+AO243+AO251+AO257+AO253+AO255</f>
        <v>7840.9</v>
      </c>
      <c r="AQ259" s="236">
        <f>+AQ228+AQ230+AQ243+AQ251+AQ257+AQ253+AQ255</f>
        <v>11864</v>
      </c>
      <c r="AS259" s="236">
        <f>+AS228+AS230+AS243+AS251+AS257+AS253+AS255</f>
        <v>43943</v>
      </c>
      <c r="AU259" s="236">
        <f>+AU228+AU230+AU243+AU251+AU257+AU253+AU255</f>
        <v>22248</v>
      </c>
      <c r="AW259" s="236">
        <f>+AW228+AW230+AW243+AW251+AW257+AW253+AW255</f>
        <v>-17839</v>
      </c>
      <c r="AY259" s="236">
        <f>+AY228+AY230+AY243+AY251+AY257+AY253+AY255</f>
        <v>54187</v>
      </c>
      <c r="BA259" s="236">
        <f>+BA228+BA230+BA243+BA251+BA257+BA253+BA255</f>
        <v>1425</v>
      </c>
      <c r="BC259" s="236">
        <f>+BC228+BC230+BC243+BC251+BC257+BC253+BC255</f>
        <v>0</v>
      </c>
      <c r="BD259" s="236">
        <f>+BD228+BD230+BD243+BD251+BD257+BD253+BD255</f>
        <v>0</v>
      </c>
      <c r="BE259" s="225">
        <f>SUM(AK259:BC259)</f>
        <v>762215.45000000007</v>
      </c>
      <c r="BG259" s="236">
        <f>+BG228+BG230+BG243+BG251+BG257+BG253+BG255</f>
        <v>300000</v>
      </c>
      <c r="BI259" s="236">
        <f>+BI228+BI230+BI243+BI251+BI257+BI253+BI255</f>
        <v>825000.3899999999</v>
      </c>
      <c r="BK259" s="236">
        <f>+BK228+BK230+BK243+BK251+BK257+BK253+BK255</f>
        <v>-0.38999999998486601</v>
      </c>
    </row>
    <row r="260" spans="1:64" hidden="1">
      <c r="A260" s="210"/>
      <c r="B260" s="220"/>
      <c r="C260" s="372"/>
      <c r="D260" s="372"/>
      <c r="K260" s="199"/>
      <c r="L260" s="206"/>
      <c r="M260" s="199"/>
      <c r="O260" s="199"/>
      <c r="Q260" s="199"/>
      <c r="S260" s="199"/>
      <c r="U260" s="199"/>
      <c r="V260" s="206"/>
      <c r="W260" s="199"/>
      <c r="X260" s="206"/>
      <c r="Y260" s="199"/>
      <c r="Z260" s="206"/>
      <c r="AA260" s="199"/>
      <c r="AB260" s="206"/>
      <c r="AC260" s="199"/>
      <c r="AD260" s="206"/>
      <c r="AE260" s="199"/>
      <c r="AF260" s="206"/>
      <c r="AM260" s="206"/>
      <c r="BE260" s="206"/>
    </row>
    <row r="261" spans="1:64" s="229" customFormat="1" ht="13.8" thickBot="1">
      <c r="A261" s="237" t="s">
        <v>1655</v>
      </c>
      <c r="B261" s="236"/>
      <c r="E261" s="238">
        <f>+E259+E219</f>
        <v>112383988.14999999</v>
      </c>
      <c r="F261" s="236"/>
      <c r="G261" s="238">
        <f>G219+G243+G251</f>
        <v>118198188.86</v>
      </c>
      <c r="H261" s="236"/>
      <c r="I261" s="238">
        <f>+I259+I219</f>
        <v>2933388.0700000003</v>
      </c>
      <c r="J261" s="236"/>
      <c r="K261" s="238">
        <f>+K259+K219</f>
        <v>21428869.800000001</v>
      </c>
      <c r="L261" s="236"/>
      <c r="M261" s="238">
        <f>+M259+M219</f>
        <v>4411803.49</v>
      </c>
      <c r="N261" s="236"/>
      <c r="O261" s="238">
        <f>+O259+O219</f>
        <v>3230174.65</v>
      </c>
      <c r="P261" s="236"/>
      <c r="Q261" s="238">
        <f>+Q259+Q219</f>
        <v>1861449.2000000002</v>
      </c>
      <c r="R261" s="236"/>
      <c r="S261" s="238">
        <f>+S259+S219</f>
        <v>3029549.27</v>
      </c>
      <c r="T261" s="223"/>
      <c r="U261" s="238">
        <f>+U259+U219</f>
        <v>4609975.96</v>
      </c>
      <c r="V261" s="236"/>
      <c r="W261" s="238">
        <f>+W259+W219</f>
        <v>2900713.4799999995</v>
      </c>
      <c r="X261" s="236"/>
      <c r="Y261" s="238">
        <f>+Y259+Y219</f>
        <v>731310.49000000011</v>
      </c>
      <c r="Z261" s="236"/>
      <c r="AA261" s="238">
        <f>+AA259+AA219</f>
        <v>3340374.04</v>
      </c>
      <c r="AB261" s="236"/>
      <c r="AC261" s="238">
        <f>+AC259+AC219</f>
        <v>3343727.46</v>
      </c>
      <c r="AD261" s="236"/>
      <c r="AE261" s="238">
        <f>+AE259+AE219</f>
        <v>7196256.5000000009</v>
      </c>
      <c r="AF261" s="236"/>
      <c r="AG261" s="238">
        <f>+AG259+AG219</f>
        <v>6696266.7399999993</v>
      </c>
      <c r="AH261" s="236"/>
      <c r="AI261" s="238">
        <f>+AI259+AI219</f>
        <v>7047767.6800000006</v>
      </c>
      <c r="AJ261" s="236"/>
      <c r="AK261" s="238">
        <f>+AK259+AK219</f>
        <v>72483370.910000011</v>
      </c>
      <c r="AL261" s="236"/>
      <c r="AM261" s="238">
        <f>+AM259+AM219</f>
        <v>0</v>
      </c>
      <c r="AN261" s="236"/>
      <c r="AO261" s="238">
        <f>+AO259+AO219</f>
        <v>9532656.5999999996</v>
      </c>
      <c r="AP261" s="236"/>
      <c r="AQ261" s="238">
        <f>+AQ259+AQ219</f>
        <v>4886666.4799999995</v>
      </c>
      <c r="AR261" s="236"/>
      <c r="AS261" s="238">
        <f>+AS259+AS219</f>
        <v>8813380.8800000008</v>
      </c>
      <c r="AT261" s="236"/>
      <c r="AU261" s="238">
        <f>+AU259+AU219</f>
        <v>708517.08000000007</v>
      </c>
      <c r="AV261" s="236"/>
      <c r="AW261" s="238">
        <f>+AW259+AW219</f>
        <v>3678935.8200000003</v>
      </c>
      <c r="AX261" s="236"/>
      <c r="AY261" s="238">
        <f>+AY259+AY219</f>
        <v>7389584.666666666</v>
      </c>
      <c r="AZ261" s="236"/>
      <c r="BA261" s="238">
        <f>+BA259+BA219</f>
        <v>1670236.6666666667</v>
      </c>
      <c r="BB261" s="236"/>
      <c r="BC261" s="238">
        <f>+BC259+BC219</f>
        <v>851084.66666666674</v>
      </c>
      <c r="BD261" s="236">
        <f>+BD259+BD219</f>
        <v>11</v>
      </c>
      <c r="BE261" s="238">
        <f>BE243+BE251+BE219</f>
        <v>113299999.77000001</v>
      </c>
      <c r="BF261" s="236"/>
      <c r="BG261" s="238">
        <f>+BG259+BG219</f>
        <v>300011.22000000003</v>
      </c>
      <c r="BH261" s="236"/>
      <c r="BI261" s="238">
        <f>+BI259+BI219</f>
        <v>113916851.49000001</v>
      </c>
      <c r="BJ261" s="236"/>
      <c r="BK261" s="238">
        <f>+BK259+BK219</f>
        <v>-3784256.0700000031</v>
      </c>
      <c r="BL261" s="236"/>
    </row>
    <row r="262" spans="1:64" s="200" customFormat="1" ht="13.5" customHeight="1" thickTop="1">
      <c r="A262" s="226"/>
      <c r="C262" s="403"/>
      <c r="D262" s="403"/>
      <c r="F262" s="217"/>
      <c r="H262" s="217"/>
      <c r="J262" s="217"/>
      <c r="L262" s="217"/>
      <c r="N262" s="217"/>
      <c r="P262" s="217"/>
      <c r="R262" s="217"/>
      <c r="T262" s="217"/>
      <c r="V262" s="217"/>
      <c r="X262" s="217"/>
      <c r="Z262" s="217"/>
      <c r="AB262" s="217"/>
      <c r="AD262" s="217"/>
      <c r="AF262" s="217"/>
      <c r="AH262" s="217"/>
      <c r="AJ262" s="217"/>
      <c r="AL262" s="217"/>
      <c r="AM262" s="217"/>
      <c r="AN262" s="217"/>
      <c r="AP262" s="217"/>
      <c r="AQ262" s="217"/>
      <c r="AR262" s="217"/>
      <c r="AS262" s="217"/>
      <c r="AT262" s="217"/>
      <c r="AU262" s="217"/>
      <c r="AV262" s="217"/>
      <c r="AW262" s="217"/>
      <c r="AX262" s="217"/>
      <c r="AY262" s="217"/>
      <c r="AZ262" s="217"/>
      <c r="BA262" s="217"/>
      <c r="BB262" s="217"/>
      <c r="BC262" s="217"/>
      <c r="BD262" s="217"/>
      <c r="BF262" s="217"/>
      <c r="BH262" s="217"/>
      <c r="BJ262" s="217"/>
      <c r="BL262" s="217"/>
    </row>
    <row r="263" spans="1:64" s="241" customFormat="1" ht="14.25" hidden="1" customHeight="1" thickBot="1">
      <c r="A263" s="240" t="s">
        <v>294</v>
      </c>
      <c r="C263" s="424"/>
      <c r="D263" s="424"/>
      <c r="E263" s="243">
        <f>+E261/$E$3</f>
        <v>328608.15248538007</v>
      </c>
      <c r="F263" s="354"/>
      <c r="G263" s="243">
        <f>+G261/$E$3</f>
        <v>345608.73935672513</v>
      </c>
      <c r="H263" s="354"/>
      <c r="J263" s="354"/>
      <c r="L263" s="354"/>
      <c r="N263" s="354"/>
      <c r="P263" s="354"/>
      <c r="R263" s="354"/>
      <c r="T263" s="217"/>
      <c r="V263" s="354"/>
      <c r="X263" s="354"/>
      <c r="Z263" s="354"/>
      <c r="AB263" s="354"/>
      <c r="AD263" s="354"/>
      <c r="AF263" s="354"/>
      <c r="AH263" s="354"/>
      <c r="AJ263" s="354"/>
      <c r="AL263" s="354"/>
      <c r="AM263" s="354"/>
      <c r="AN263" s="354"/>
      <c r="AP263" s="354"/>
      <c r="AQ263" s="354"/>
      <c r="AR263" s="354"/>
      <c r="AS263" s="354"/>
      <c r="AT263" s="354"/>
      <c r="AU263" s="354"/>
      <c r="AV263" s="354"/>
      <c r="AW263" s="354"/>
      <c r="AX263" s="354"/>
      <c r="AY263" s="354"/>
      <c r="AZ263" s="354"/>
      <c r="BA263" s="354"/>
      <c r="BB263" s="354"/>
      <c r="BC263" s="354"/>
      <c r="BD263" s="354"/>
      <c r="BF263" s="354"/>
      <c r="BH263" s="354"/>
      <c r="BI263" s="243">
        <f>+BI261/$E$3</f>
        <v>333090.20903508773</v>
      </c>
      <c r="BJ263" s="354"/>
      <c r="BL263" s="354"/>
    </row>
    <row r="264" spans="1:64" hidden="1">
      <c r="C264" s="372"/>
      <c r="D264" s="372"/>
      <c r="K264" s="199"/>
      <c r="L264" s="206"/>
      <c r="M264" s="199"/>
      <c r="O264" s="199"/>
      <c r="Q264" s="199"/>
      <c r="S264" s="199"/>
      <c r="U264" s="199"/>
      <c r="V264" s="206"/>
      <c r="W264" s="199"/>
      <c r="X264" s="206"/>
      <c r="Y264" s="199"/>
      <c r="Z264" s="206"/>
      <c r="AA264" s="199"/>
      <c r="AB264" s="206"/>
      <c r="AC264" s="199"/>
      <c r="AD264" s="206"/>
      <c r="AE264" s="199"/>
      <c r="AF264" s="206"/>
      <c r="AM264" s="206"/>
      <c r="BK264" s="376"/>
    </row>
    <row r="265" spans="1:64" hidden="1">
      <c r="A265" s="199" t="s">
        <v>481</v>
      </c>
      <c r="C265" s="372"/>
      <c r="D265" s="372"/>
      <c r="K265" s="199"/>
      <c r="L265" s="206"/>
      <c r="M265" s="199"/>
      <c r="O265" s="199"/>
      <c r="Q265" s="199"/>
      <c r="S265" s="199"/>
      <c r="U265" s="199"/>
      <c r="V265" s="206"/>
      <c r="W265" s="199"/>
      <c r="X265" s="206"/>
      <c r="Y265" s="199"/>
      <c r="Z265" s="206"/>
      <c r="AA265" s="199"/>
      <c r="AB265" s="206"/>
      <c r="AC265" s="199"/>
      <c r="AD265" s="206"/>
      <c r="AE265" s="199"/>
      <c r="AF265" s="206"/>
      <c r="AK265" s="206">
        <f>SUM(K265:AJ265)</f>
        <v>0</v>
      </c>
      <c r="AM265" s="206"/>
      <c r="AO265" s="199">
        <f>-9000000-14500000</f>
        <v>-23500000</v>
      </c>
      <c r="AQ265" s="206">
        <f>-58847040.04-9557967.64</f>
        <v>-68405007.680000007</v>
      </c>
      <c r="BE265" s="206">
        <f>SUM(AK265:BA265)</f>
        <v>-91905007.680000007</v>
      </c>
    </row>
    <row r="266" spans="1:64" hidden="1">
      <c r="C266" s="372"/>
      <c r="D266" s="372"/>
      <c r="K266" s="199"/>
      <c r="L266" s="206"/>
      <c r="M266" s="199"/>
      <c r="O266" s="199"/>
      <c r="Q266" s="199"/>
      <c r="S266" s="199"/>
      <c r="U266" s="199"/>
      <c r="V266" s="206"/>
      <c r="W266" s="199"/>
      <c r="X266" s="206"/>
      <c r="Y266" s="199"/>
      <c r="Z266" s="206"/>
      <c r="AA266" s="199"/>
      <c r="AB266" s="206"/>
      <c r="AC266" s="199"/>
      <c r="AD266" s="206"/>
      <c r="AE266" s="199"/>
      <c r="AF266" s="206"/>
      <c r="AK266" s="206"/>
      <c r="AM266" s="206"/>
      <c r="BE266" s="206"/>
    </row>
    <row r="267" spans="1:64" hidden="1">
      <c r="A267" s="199" t="s">
        <v>144</v>
      </c>
      <c r="C267" s="372"/>
      <c r="D267" s="372"/>
      <c r="K267" s="199"/>
      <c r="L267" s="206"/>
      <c r="M267" s="199"/>
      <c r="O267" s="199"/>
      <c r="Q267" s="199"/>
      <c r="S267" s="199"/>
      <c r="U267" s="199"/>
      <c r="V267" s="206"/>
      <c r="W267" s="199">
        <v>-5000000</v>
      </c>
      <c r="X267" s="206"/>
      <c r="Y267" s="199"/>
      <c r="Z267" s="206"/>
      <c r="AA267" s="199"/>
      <c r="AB267" s="206"/>
      <c r="AC267" s="199"/>
      <c r="AD267" s="206"/>
      <c r="AE267" s="199"/>
      <c r="AF267" s="206"/>
      <c r="AK267" s="206">
        <f>SUM(K267:AJ267)</f>
        <v>-5000000</v>
      </c>
      <c r="AM267" s="206"/>
      <c r="BE267" s="206">
        <f>SUM(AK267:BA267)</f>
        <v>-5000000</v>
      </c>
    </row>
    <row r="268" spans="1:64" hidden="1">
      <c r="C268" s="372"/>
      <c r="D268" s="372"/>
      <c r="K268" s="199"/>
      <c r="L268" s="206"/>
      <c r="M268" s="199"/>
      <c r="O268" s="199"/>
      <c r="Q268" s="199"/>
      <c r="S268" s="199"/>
      <c r="U268" s="199"/>
      <c r="V268" s="206"/>
      <c r="W268" s="199"/>
      <c r="X268" s="206"/>
      <c r="Y268" s="199"/>
      <c r="Z268" s="206"/>
      <c r="AA268" s="199"/>
      <c r="AB268" s="206"/>
      <c r="AC268" s="199"/>
      <c r="AD268" s="206"/>
      <c r="AE268" s="199"/>
      <c r="AF268" s="206"/>
      <c r="AM268" s="206"/>
    </row>
    <row r="269" spans="1:64" s="229" customFormat="1" ht="13.8" hidden="1" thickBot="1">
      <c r="A269" s="237" t="s">
        <v>1658</v>
      </c>
      <c r="B269" s="236"/>
      <c r="E269" s="238">
        <f t="shared" ref="E269:AJ269" si="62">+E265+E261+E267</f>
        <v>112383988.14999999</v>
      </c>
      <c r="F269" s="238">
        <f t="shared" si="62"/>
        <v>0</v>
      </c>
      <c r="G269" s="238">
        <f t="shared" si="62"/>
        <v>118198188.86</v>
      </c>
      <c r="H269" s="238">
        <f t="shared" si="62"/>
        <v>0</v>
      </c>
      <c r="I269" s="238">
        <f t="shared" si="62"/>
        <v>2933388.0700000003</v>
      </c>
      <c r="J269" s="238">
        <f t="shared" si="62"/>
        <v>0</v>
      </c>
      <c r="K269" s="238">
        <f t="shared" si="62"/>
        <v>21428869.800000001</v>
      </c>
      <c r="L269" s="238">
        <f t="shared" si="62"/>
        <v>0</v>
      </c>
      <c r="M269" s="238">
        <f t="shared" si="62"/>
        <v>4411803.49</v>
      </c>
      <c r="N269" s="238">
        <f t="shared" si="62"/>
        <v>0</v>
      </c>
      <c r="O269" s="238">
        <f t="shared" si="62"/>
        <v>3230174.65</v>
      </c>
      <c r="P269" s="238">
        <f t="shared" si="62"/>
        <v>0</v>
      </c>
      <c r="Q269" s="238">
        <f t="shared" si="62"/>
        <v>1861449.2000000002</v>
      </c>
      <c r="R269" s="238">
        <f t="shared" si="62"/>
        <v>0</v>
      </c>
      <c r="S269" s="238">
        <f t="shared" si="62"/>
        <v>3029549.27</v>
      </c>
      <c r="T269" s="238">
        <f t="shared" si="62"/>
        <v>0</v>
      </c>
      <c r="U269" s="238">
        <f t="shared" si="62"/>
        <v>4609975.96</v>
      </c>
      <c r="V269" s="238">
        <f t="shared" si="62"/>
        <v>0</v>
      </c>
      <c r="W269" s="238">
        <f t="shared" si="62"/>
        <v>-2099286.5200000005</v>
      </c>
      <c r="X269" s="238">
        <f t="shared" si="62"/>
        <v>0</v>
      </c>
      <c r="Y269" s="238">
        <f t="shared" si="62"/>
        <v>731310.49000000011</v>
      </c>
      <c r="Z269" s="238">
        <f t="shared" si="62"/>
        <v>0</v>
      </c>
      <c r="AA269" s="238">
        <f t="shared" si="62"/>
        <v>3340374.04</v>
      </c>
      <c r="AB269" s="238">
        <f t="shared" si="62"/>
        <v>0</v>
      </c>
      <c r="AC269" s="238">
        <f t="shared" si="62"/>
        <v>3343727.46</v>
      </c>
      <c r="AD269" s="238">
        <f t="shared" si="62"/>
        <v>0</v>
      </c>
      <c r="AE269" s="238">
        <f t="shared" si="62"/>
        <v>7196256.5000000009</v>
      </c>
      <c r="AF269" s="238">
        <f t="shared" si="62"/>
        <v>0</v>
      </c>
      <c r="AG269" s="238">
        <f t="shared" si="62"/>
        <v>6696266.7399999993</v>
      </c>
      <c r="AH269" s="238">
        <f t="shared" si="62"/>
        <v>0</v>
      </c>
      <c r="AI269" s="238">
        <f t="shared" si="62"/>
        <v>7047767.6800000006</v>
      </c>
      <c r="AJ269" s="238">
        <f t="shared" si="62"/>
        <v>0</v>
      </c>
      <c r="AK269" s="238">
        <f t="shared" ref="AK269:BA269" si="63">+AK265+AK261+AK267</f>
        <v>67483370.910000011</v>
      </c>
      <c r="AL269" s="238">
        <f t="shared" si="63"/>
        <v>0</v>
      </c>
      <c r="AM269" s="238">
        <f t="shared" si="63"/>
        <v>0</v>
      </c>
      <c r="AN269" s="238">
        <f t="shared" si="63"/>
        <v>0</v>
      </c>
      <c r="AO269" s="238">
        <f t="shared" si="63"/>
        <v>-13967343.4</v>
      </c>
      <c r="AP269" s="238">
        <f t="shared" si="63"/>
        <v>0</v>
      </c>
      <c r="AQ269" s="238">
        <f t="shared" si="63"/>
        <v>-63518341.20000001</v>
      </c>
      <c r="AR269" s="238">
        <f t="shared" si="63"/>
        <v>0</v>
      </c>
      <c r="AS269" s="238">
        <f t="shared" si="63"/>
        <v>8813380.8800000008</v>
      </c>
      <c r="AT269" s="238">
        <f t="shared" si="63"/>
        <v>0</v>
      </c>
      <c r="AU269" s="238">
        <f t="shared" si="63"/>
        <v>708517.08000000007</v>
      </c>
      <c r="AV269" s="238">
        <f t="shared" si="63"/>
        <v>0</v>
      </c>
      <c r="AW269" s="238">
        <f t="shared" si="63"/>
        <v>3678935.8200000003</v>
      </c>
      <c r="AX269" s="238">
        <f t="shared" si="63"/>
        <v>0</v>
      </c>
      <c r="AY269" s="238">
        <f t="shared" si="63"/>
        <v>7389584.666666666</v>
      </c>
      <c r="AZ269" s="238">
        <f t="shared" si="63"/>
        <v>0</v>
      </c>
      <c r="BA269" s="238">
        <f t="shared" si="63"/>
        <v>1670236.6666666667</v>
      </c>
      <c r="BB269" s="238"/>
      <c r="BC269" s="238">
        <f t="shared" ref="BC269:BK269" si="64">+BC265+BC261+BC267</f>
        <v>851084.66666666674</v>
      </c>
      <c r="BD269" s="238">
        <f t="shared" si="64"/>
        <v>11</v>
      </c>
      <c r="BE269" s="238">
        <f t="shared" si="64"/>
        <v>16394992.090000004</v>
      </c>
      <c r="BF269" s="238">
        <f t="shared" si="64"/>
        <v>0</v>
      </c>
      <c r="BG269" s="238">
        <f t="shared" si="64"/>
        <v>300011.22000000003</v>
      </c>
      <c r="BH269" s="238">
        <f t="shared" si="64"/>
        <v>0</v>
      </c>
      <c r="BI269" s="238">
        <f t="shared" si="64"/>
        <v>113916851.49000001</v>
      </c>
      <c r="BJ269" s="238">
        <f t="shared" si="64"/>
        <v>0</v>
      </c>
      <c r="BK269" s="238">
        <f t="shared" si="64"/>
        <v>-3784256.0700000031</v>
      </c>
      <c r="BL269" s="236"/>
    </row>
    <row r="270" spans="1:64" ht="13.8" hidden="1" thickTop="1">
      <c r="C270" s="372"/>
      <c r="D270" s="372"/>
      <c r="K270" s="199"/>
      <c r="L270" s="206"/>
      <c r="M270" s="199"/>
      <c r="O270" s="199"/>
      <c r="Q270" s="199"/>
      <c r="S270" s="199"/>
      <c r="U270" s="199"/>
      <c r="V270" s="206"/>
      <c r="W270" s="199"/>
      <c r="X270" s="206"/>
      <c r="Y270" s="199"/>
      <c r="Z270" s="206"/>
      <c r="AA270" s="199"/>
      <c r="AB270" s="206"/>
      <c r="AC270" s="199"/>
      <c r="AD270" s="206"/>
      <c r="AE270" s="199"/>
      <c r="AF270" s="206"/>
      <c r="AM270" s="206"/>
    </row>
    <row r="271" spans="1:64" ht="15.6" hidden="1">
      <c r="A271" s="356"/>
      <c r="B271" s="194"/>
      <c r="C271" s="195"/>
      <c r="D271" s="178"/>
      <c r="E271" s="188"/>
      <c r="F271" s="356"/>
      <c r="G271" s="255"/>
      <c r="H271" s="353"/>
      <c r="I271" s="180"/>
      <c r="J271" s="356"/>
      <c r="K271" s="188"/>
      <c r="L271" s="353"/>
      <c r="M271" s="188"/>
      <c r="N271" s="353"/>
      <c r="O271" s="188"/>
      <c r="P271" s="353"/>
      <c r="Q271" s="188"/>
      <c r="R271" s="353"/>
      <c r="S271" s="188"/>
      <c r="T271" s="363"/>
      <c r="U271" s="188"/>
      <c r="V271" s="363"/>
      <c r="W271" s="188"/>
      <c r="X271" s="353"/>
      <c r="Y271" s="188"/>
      <c r="Z271" s="353"/>
      <c r="AA271" s="188"/>
      <c r="AB271" s="353"/>
      <c r="AC271" s="188"/>
      <c r="AD271" s="353"/>
      <c r="AE271" s="188"/>
      <c r="AF271" s="364"/>
      <c r="AG271" s="188"/>
      <c r="AH271" s="364"/>
      <c r="AI271" s="188"/>
      <c r="AJ271" s="356"/>
      <c r="AK271" s="189"/>
      <c r="AL271" s="356"/>
      <c r="AM271" s="386"/>
      <c r="AN271" s="356"/>
      <c r="AO271" s="188"/>
      <c r="AP271" s="364"/>
      <c r="AQ271" s="364"/>
      <c r="AR271" s="364"/>
      <c r="AS271" s="364"/>
      <c r="AT271" s="364"/>
      <c r="AU271" s="364"/>
      <c r="AV271" s="364"/>
      <c r="AW271" s="364"/>
      <c r="AX271" s="364"/>
      <c r="AY271" s="364"/>
      <c r="AZ271" s="364"/>
      <c r="BA271" s="364"/>
      <c r="BB271" s="364"/>
      <c r="BC271" s="364"/>
      <c r="BD271" s="364"/>
      <c r="BE271" s="189"/>
      <c r="BF271" s="356"/>
      <c r="BG271" s="189"/>
      <c r="BH271" s="356"/>
      <c r="BI271" s="189"/>
      <c r="BJ271" s="356"/>
      <c r="BK271" s="189"/>
    </row>
    <row r="272" spans="1:64" hidden="1">
      <c r="A272" s="373"/>
      <c r="B272" s="219" t="s">
        <v>1650</v>
      </c>
      <c r="C272" s="219"/>
      <c r="D272" s="219"/>
      <c r="E272" s="219">
        <f>'[8]Doyle-ENA'!AG527</f>
        <v>0</v>
      </c>
      <c r="F272" s="219">
        <f>'[8]Doyle-ENA'!AH527</f>
        <v>0</v>
      </c>
      <c r="G272" s="219">
        <f>'[8]Doyle-ENA'!AI527</f>
        <v>0</v>
      </c>
      <c r="H272" s="219">
        <f>'[8]Doyle-ENA'!AJ527</f>
        <v>0</v>
      </c>
      <c r="I272" s="219">
        <f>'[8]Doyle-ENA'!AK527</f>
        <v>0</v>
      </c>
      <c r="J272" s="219">
        <f>'[8]Doyle-ENA'!AL527</f>
        <v>0</v>
      </c>
      <c r="K272" s="219">
        <f>'[8]Doyle-ENA'!K527</f>
        <v>0</v>
      </c>
      <c r="L272" s="219">
        <f>'[8]Doyle-ENA'!L527</f>
        <v>0</v>
      </c>
      <c r="M272" s="219">
        <f>'[8]Doyle-ENA'!M527</f>
        <v>0</v>
      </c>
      <c r="N272" s="219">
        <f>'[8]Doyle-ENA'!N527</f>
        <v>0</v>
      </c>
      <c r="O272" s="219">
        <f>'[8]Doyle-ENA'!O527</f>
        <v>0</v>
      </c>
      <c r="P272" s="219">
        <f>'[8]Doyle-ENA'!P527</f>
        <v>0</v>
      </c>
      <c r="Q272" s="219">
        <f>'[8]Doyle-ENA'!Q527</f>
        <v>0</v>
      </c>
      <c r="R272" s="219">
        <f>'[8]Doyle-ENA'!R527</f>
        <v>0</v>
      </c>
      <c r="S272" s="219">
        <f>'[8]Doyle-ENA'!S527</f>
        <v>0</v>
      </c>
      <c r="T272" s="219">
        <f>'[8]Doyle-ENA'!T527</f>
        <v>0</v>
      </c>
      <c r="U272" s="219">
        <f>'[8]Doyle-ENA'!U527</f>
        <v>0</v>
      </c>
      <c r="V272" s="219">
        <f>'[8]Doyle-ENA'!V527</f>
        <v>0</v>
      </c>
      <c r="W272" s="219">
        <f>'[8]Doyle-ENA'!W527</f>
        <v>0</v>
      </c>
      <c r="X272" s="219">
        <f>'[8]Doyle-ENA'!X527</f>
        <v>0</v>
      </c>
      <c r="Y272" s="219">
        <f>'[8]Doyle-ENA'!Y527</f>
        <v>0</v>
      </c>
      <c r="Z272" s="219">
        <f>'[8]Doyle-ENA'!Z527</f>
        <v>0</v>
      </c>
      <c r="AA272" s="219">
        <f>'[8]Doyle-ENA'!AA527</f>
        <v>0</v>
      </c>
      <c r="AB272" s="219">
        <f>'[8]Doyle-ENA'!AB527</f>
        <v>0</v>
      </c>
      <c r="AC272" s="219">
        <f>'[8]Doyle-ENA'!AC527</f>
        <v>0</v>
      </c>
      <c r="AD272" s="219">
        <f>'[8]Doyle-ENA'!AD527</f>
        <v>0</v>
      </c>
      <c r="AE272" s="219">
        <f>'[8]Doyle-ENA'!AE527</f>
        <v>0</v>
      </c>
      <c r="AF272" s="219"/>
      <c r="AG272" s="219">
        <f>'[8]Doyle-ENA'!AG527</f>
        <v>0</v>
      </c>
      <c r="AH272" s="219">
        <f>'[8]Doyle-ENA'!AH527</f>
        <v>0</v>
      </c>
      <c r="AI272" s="219">
        <f>'[8]Doyle-ENA'!AI527</f>
        <v>0</v>
      </c>
      <c r="AJ272" s="219">
        <f>'[8]Doyle-ENA'!AJ527</f>
        <v>0</v>
      </c>
      <c r="AK272" s="219">
        <f>'[8]Doyle-ENA'!AK527</f>
        <v>0</v>
      </c>
      <c r="AL272" s="219">
        <f>'[8]Doyle-ENA'!AL527</f>
        <v>0</v>
      </c>
      <c r="AM272" s="219">
        <f>'[8]Doyle-ENA'!AM527</f>
        <v>0</v>
      </c>
      <c r="AN272" s="219">
        <f>'[8]Doyle-ENA'!AN527</f>
        <v>0</v>
      </c>
      <c r="AO272" s="219">
        <f>'[8]Doyle-ENA'!AO527</f>
        <v>0</v>
      </c>
      <c r="AP272" s="219"/>
      <c r="AQ272" s="219">
        <f>'[8]Doyle-ENA'!AQ527</f>
        <v>0</v>
      </c>
      <c r="AR272" s="219"/>
      <c r="AS272" s="219">
        <f>'[8]Doyle-ENA'!AS527</f>
        <v>0</v>
      </c>
      <c r="AT272" s="219"/>
      <c r="AU272" s="219">
        <f>'[8]Doyle-ENA'!AU527</f>
        <v>0</v>
      </c>
      <c r="AV272" s="219"/>
      <c r="AW272" s="219">
        <f>'[8]Doyle-ENA'!AW527</f>
        <v>0</v>
      </c>
      <c r="AX272" s="219"/>
      <c r="AY272" s="219">
        <f>'[8]Doyle-ENA'!AY527</f>
        <v>0</v>
      </c>
      <c r="AZ272" s="219"/>
      <c r="BA272" s="219">
        <f>'[8]Doyle-ENA'!BA527</f>
        <v>0</v>
      </c>
      <c r="BB272" s="219"/>
      <c r="BC272" s="219">
        <f>'[8]Doyle-ENA'!BC527</f>
        <v>0</v>
      </c>
      <c r="BD272" s="219">
        <f>'[8]Doyle-ENA'!BB527</f>
        <v>0</v>
      </c>
      <c r="BE272" s="219">
        <f>'[8]Doyle-ENA'!BC527</f>
        <v>0</v>
      </c>
      <c r="BF272" s="219"/>
      <c r="BG272" s="219">
        <f>'[8]Doyle-ENA'!AO527</f>
        <v>0</v>
      </c>
      <c r="BH272" s="219">
        <f>'[8]Doyle-ENA'!AP527</f>
        <v>0</v>
      </c>
      <c r="BI272" s="219">
        <f>'[8]Doyle-ENA'!AQ527</f>
        <v>0</v>
      </c>
      <c r="BJ272" s="219">
        <f>'[8]Doyle-ENA'!AR527</f>
        <v>0</v>
      </c>
      <c r="BK272" s="214">
        <f>'[8]Doyle-ENA'!AS527</f>
        <v>0</v>
      </c>
    </row>
    <row r="273" spans="1:64" hidden="1">
      <c r="C273" s="372"/>
      <c r="D273" s="372"/>
      <c r="K273" s="199"/>
      <c r="L273" s="206"/>
      <c r="M273" s="199"/>
      <c r="O273" s="199"/>
      <c r="Q273" s="199"/>
      <c r="S273" s="199"/>
      <c r="U273" s="199"/>
      <c r="V273" s="217"/>
      <c r="W273" s="199"/>
      <c r="X273" s="206"/>
      <c r="Y273" s="199"/>
      <c r="Z273" s="206"/>
      <c r="AA273" s="199"/>
      <c r="AB273" s="206"/>
      <c r="AC273" s="199"/>
      <c r="AD273" s="206"/>
      <c r="AE273" s="199"/>
      <c r="AF273" s="206"/>
      <c r="AK273" s="217"/>
      <c r="AM273" s="206"/>
      <c r="BE273" s="217"/>
    </row>
    <row r="274" spans="1:64" hidden="1">
      <c r="A274" s="215" t="s">
        <v>259</v>
      </c>
      <c r="C274" s="212"/>
      <c r="D274" s="372"/>
      <c r="K274" s="200"/>
      <c r="L274" s="206"/>
      <c r="M274" s="200"/>
      <c r="O274" s="200"/>
      <c r="Q274" s="200"/>
      <c r="S274" s="200"/>
      <c r="U274" s="200"/>
      <c r="V274" s="217"/>
      <c r="W274" s="200"/>
      <c r="X274" s="206"/>
      <c r="Y274" s="200"/>
      <c r="Z274" s="206"/>
      <c r="AA274" s="200"/>
      <c r="AB274" s="206"/>
      <c r="AC274" s="200"/>
      <c r="AD274" s="206"/>
      <c r="AE274" s="200"/>
      <c r="AF274" s="206"/>
      <c r="AG274" s="200"/>
      <c r="AH274" s="217"/>
      <c r="AI274" s="200"/>
      <c r="AK274" s="217"/>
      <c r="AM274" s="217"/>
      <c r="AO274" s="200"/>
      <c r="AP274" s="217"/>
      <c r="AQ274" s="217"/>
      <c r="AR274" s="217"/>
      <c r="AS274" s="217"/>
      <c r="AT274" s="217"/>
      <c r="AU274" s="217"/>
      <c r="AV274" s="217"/>
      <c r="AW274" s="217"/>
      <c r="AX274" s="217"/>
      <c r="AY274" s="217"/>
      <c r="AZ274" s="217"/>
      <c r="BA274" s="217"/>
      <c r="BB274" s="217"/>
      <c r="BC274" s="217"/>
      <c r="BD274" s="217"/>
      <c r="BE274" s="217"/>
    </row>
    <row r="275" spans="1:64" hidden="1">
      <c r="B275" s="374" t="s">
        <v>410</v>
      </c>
      <c r="C275" s="197" t="s">
        <v>410</v>
      </c>
      <c r="D275" s="372"/>
      <c r="E275" s="199">
        <v>1128564</v>
      </c>
      <c r="F275" s="217"/>
      <c r="G275" s="199">
        <v>1128564</v>
      </c>
      <c r="H275" s="217"/>
      <c r="I275" s="199">
        <f>G275-E275</f>
        <v>0</v>
      </c>
      <c r="K275" s="200">
        <v>0</v>
      </c>
      <c r="L275" s="200">
        <v>0</v>
      </c>
      <c r="M275" s="200">
        <v>0</v>
      </c>
      <c r="N275" s="200">
        <v>0</v>
      </c>
      <c r="O275" s="200">
        <v>0</v>
      </c>
      <c r="P275" s="200">
        <v>0</v>
      </c>
      <c r="Q275" s="200">
        <v>0</v>
      </c>
      <c r="R275" s="200">
        <v>0</v>
      </c>
      <c r="S275" s="200">
        <v>0</v>
      </c>
      <c r="U275" s="200">
        <v>0</v>
      </c>
      <c r="V275" s="217">
        <v>0</v>
      </c>
      <c r="W275" s="200">
        <v>0</v>
      </c>
      <c r="X275" s="217">
        <v>0</v>
      </c>
      <c r="Y275" s="200">
        <v>0</v>
      </c>
      <c r="Z275" s="217">
        <v>0</v>
      </c>
      <c r="AA275" s="200">
        <v>0</v>
      </c>
      <c r="AB275" s="217">
        <v>0</v>
      </c>
      <c r="AC275" s="200">
        <v>0</v>
      </c>
      <c r="AD275" s="217">
        <v>0</v>
      </c>
      <c r="AE275" s="200">
        <v>0</v>
      </c>
      <c r="AF275" s="217"/>
      <c r="AG275" s="200">
        <v>0</v>
      </c>
      <c r="AH275" s="217">
        <v>0</v>
      </c>
      <c r="AI275" s="200">
        <v>0</v>
      </c>
      <c r="AK275" s="217">
        <f>SUM(K275:AI275)</f>
        <v>0</v>
      </c>
      <c r="AM275" s="217"/>
      <c r="AO275" s="200">
        <v>0</v>
      </c>
      <c r="AP275" s="217"/>
      <c r="AQ275" s="217">
        <v>64112</v>
      </c>
      <c r="AR275" s="217"/>
      <c r="AS275" s="217">
        <v>0</v>
      </c>
      <c r="AT275" s="217"/>
      <c r="AU275" s="217">
        <v>0</v>
      </c>
      <c r="AV275" s="217"/>
      <c r="AW275" s="217">
        <v>0</v>
      </c>
      <c r="AX275" s="217"/>
      <c r="AY275" s="217">
        <v>0</v>
      </c>
      <c r="AZ275" s="217"/>
      <c r="BA275" s="217">
        <v>0</v>
      </c>
      <c r="BB275" s="217"/>
      <c r="BC275" s="217">
        <v>0</v>
      </c>
      <c r="BD275" s="217">
        <v>0</v>
      </c>
      <c r="BE275" s="217">
        <f>SUM(AC275:BA275)</f>
        <v>64112</v>
      </c>
      <c r="BG275" s="199">
        <f>+MAX(0,G275-BE275+AM275)</f>
        <v>1064452</v>
      </c>
      <c r="BI275" s="199">
        <f>SUM(BE275:BG275)</f>
        <v>1128564</v>
      </c>
      <c r="BK275" s="199">
        <f>-BI275+G275</f>
        <v>0</v>
      </c>
    </row>
    <row r="276" spans="1:64" hidden="1">
      <c r="B276" s="374" t="s">
        <v>1651</v>
      </c>
      <c r="C276" s="197" t="s">
        <v>285</v>
      </c>
      <c r="D276" s="372"/>
      <c r="E276" s="199">
        <v>0</v>
      </c>
      <c r="F276" s="217"/>
      <c r="G276" s="199">
        <v>0</v>
      </c>
      <c r="H276" s="217"/>
      <c r="I276" s="199">
        <f>G276-E276</f>
        <v>0</v>
      </c>
      <c r="K276" s="200">
        <v>0</v>
      </c>
      <c r="L276" s="200">
        <v>0</v>
      </c>
      <c r="M276" s="200">
        <v>0</v>
      </c>
      <c r="N276" s="200">
        <v>0</v>
      </c>
      <c r="O276" s="200">
        <v>0</v>
      </c>
      <c r="P276" s="200">
        <v>0</v>
      </c>
      <c r="Q276" s="200">
        <v>0</v>
      </c>
      <c r="R276" s="200">
        <v>0</v>
      </c>
      <c r="S276" s="200">
        <f>1425</f>
        <v>1425</v>
      </c>
      <c r="U276" s="200">
        <v>0</v>
      </c>
      <c r="V276" s="217">
        <v>0</v>
      </c>
      <c r="W276" s="200">
        <v>0</v>
      </c>
      <c r="X276" s="217">
        <v>0</v>
      </c>
      <c r="Y276" s="200">
        <v>0</v>
      </c>
      <c r="Z276" s="217">
        <v>0</v>
      </c>
      <c r="AA276" s="200">
        <v>0</v>
      </c>
      <c r="AB276" s="217">
        <v>0</v>
      </c>
      <c r="AC276" s="200">
        <v>0</v>
      </c>
      <c r="AD276" s="217">
        <v>0</v>
      </c>
      <c r="AE276" s="200">
        <v>0</v>
      </c>
      <c r="AF276" s="217"/>
      <c r="AG276" s="200">
        <v>0</v>
      </c>
      <c r="AH276" s="217">
        <v>0</v>
      </c>
      <c r="AI276" s="200">
        <v>0</v>
      </c>
      <c r="AK276" s="217">
        <f>SUM(K276:AI276)</f>
        <v>1425</v>
      </c>
      <c r="AM276" s="217"/>
      <c r="AO276" s="200">
        <v>0</v>
      </c>
      <c r="AP276" s="217"/>
      <c r="AQ276" s="217">
        <v>0</v>
      </c>
      <c r="AR276" s="217"/>
      <c r="AS276" s="217">
        <v>0</v>
      </c>
      <c r="AT276" s="217"/>
      <c r="AU276" s="217">
        <v>0</v>
      </c>
      <c r="AV276" s="217"/>
      <c r="AW276" s="217">
        <v>0</v>
      </c>
      <c r="AX276" s="217"/>
      <c r="AY276" s="217">
        <v>0</v>
      </c>
      <c r="AZ276" s="217"/>
      <c r="BA276" s="217">
        <v>0</v>
      </c>
      <c r="BB276" s="217"/>
      <c r="BC276" s="217">
        <v>0</v>
      </c>
      <c r="BD276" s="217">
        <v>0</v>
      </c>
      <c r="BE276" s="217">
        <f>SUM(AC276:BA276)</f>
        <v>1425</v>
      </c>
      <c r="BG276" s="199">
        <f>+MAX(0,G276-BE276+AM276)</f>
        <v>0</v>
      </c>
      <c r="BI276" s="199">
        <f>SUM(BE276:BG276)</f>
        <v>1425</v>
      </c>
      <c r="BK276" s="199">
        <f>-BI276+G276</f>
        <v>-1425</v>
      </c>
    </row>
    <row r="277" spans="1:64" hidden="1">
      <c r="B277" s="374" t="s">
        <v>359</v>
      </c>
      <c r="C277" s="197" t="s">
        <v>359</v>
      </c>
      <c r="D277" s="372"/>
      <c r="E277" s="199">
        <v>0</v>
      </c>
      <c r="F277" s="217"/>
      <c r="G277" s="199">
        <v>0</v>
      </c>
      <c r="H277" s="217"/>
      <c r="I277" s="199">
        <f>G277-E277</f>
        <v>0</v>
      </c>
      <c r="K277" s="200">
        <v>0</v>
      </c>
      <c r="L277" s="200">
        <v>0</v>
      </c>
      <c r="M277" s="200">
        <v>0</v>
      </c>
      <c r="N277" s="200">
        <v>0</v>
      </c>
      <c r="O277" s="200">
        <v>0</v>
      </c>
      <c r="P277" s="200">
        <v>0</v>
      </c>
      <c r="Q277" s="200">
        <v>0</v>
      </c>
      <c r="R277" s="200">
        <v>0</v>
      </c>
      <c r="S277" s="200">
        <v>0</v>
      </c>
      <c r="U277" s="200">
        <v>0</v>
      </c>
      <c r="V277" s="217">
        <v>0</v>
      </c>
      <c r="W277" s="200">
        <v>0</v>
      </c>
      <c r="X277" s="217">
        <v>0</v>
      </c>
      <c r="Y277" s="200">
        <v>0</v>
      </c>
      <c r="Z277" s="217">
        <v>0</v>
      </c>
      <c r="AA277" s="200">
        <v>0</v>
      </c>
      <c r="AB277" s="217">
        <v>0</v>
      </c>
      <c r="AC277" s="200">
        <v>0</v>
      </c>
      <c r="AD277" s="217">
        <v>0</v>
      </c>
      <c r="AE277" s="200">
        <v>0</v>
      </c>
      <c r="AF277" s="217"/>
      <c r="AG277" s="200">
        <v>0</v>
      </c>
      <c r="AH277" s="217">
        <v>0</v>
      </c>
      <c r="AI277" s="200">
        <v>0</v>
      </c>
      <c r="AK277" s="217">
        <f>SUM(K277:AI277)</f>
        <v>0</v>
      </c>
      <c r="AM277" s="217"/>
      <c r="AO277" s="200">
        <v>0</v>
      </c>
      <c r="AP277" s="217"/>
      <c r="AQ277" s="217">
        <v>0</v>
      </c>
      <c r="AR277" s="217"/>
      <c r="AS277" s="217">
        <v>0</v>
      </c>
      <c r="AT277" s="217"/>
      <c r="AU277" s="217">
        <v>0</v>
      </c>
      <c r="AV277" s="217"/>
      <c r="AW277" s="217">
        <v>0</v>
      </c>
      <c r="AX277" s="217"/>
      <c r="AY277" s="217">
        <v>0</v>
      </c>
      <c r="AZ277" s="217"/>
      <c r="BA277" s="217">
        <v>0</v>
      </c>
      <c r="BB277" s="217"/>
      <c r="BC277" s="217">
        <v>0</v>
      </c>
      <c r="BD277" s="217">
        <v>0</v>
      </c>
      <c r="BE277" s="217">
        <f>SUM(AC277:BA277)</f>
        <v>0</v>
      </c>
      <c r="BG277" s="199">
        <f>+MAX(0,G277-BE277+AM277)</f>
        <v>0</v>
      </c>
      <c r="BI277" s="199">
        <f>SUM(BE277:BG277)</f>
        <v>0</v>
      </c>
      <c r="BK277" s="199">
        <f>-BI277+G277</f>
        <v>0</v>
      </c>
    </row>
    <row r="278" spans="1:64" s="200" customFormat="1" hidden="1">
      <c r="A278" s="223"/>
      <c r="B278" s="375" t="s">
        <v>1652</v>
      </c>
      <c r="C278" s="212"/>
      <c r="D278" s="223"/>
      <c r="E278" s="389">
        <f t="shared" ref="E278:AE278" si="65">SUM(E275:E277)</f>
        <v>1128564</v>
      </c>
      <c r="F278" s="223">
        <f t="shared" si="65"/>
        <v>0</v>
      </c>
      <c r="G278" s="389">
        <f t="shared" si="65"/>
        <v>1128564</v>
      </c>
      <c r="H278" s="223">
        <f t="shared" si="65"/>
        <v>0</v>
      </c>
      <c r="I278" s="389">
        <f t="shared" si="65"/>
        <v>0</v>
      </c>
      <c r="J278" s="223">
        <f t="shared" si="65"/>
        <v>0</v>
      </c>
      <c r="K278" s="389">
        <f t="shared" si="65"/>
        <v>0</v>
      </c>
      <c r="L278" s="223">
        <f t="shared" si="65"/>
        <v>0</v>
      </c>
      <c r="M278" s="389">
        <f t="shared" si="65"/>
        <v>0</v>
      </c>
      <c r="N278" s="223">
        <f t="shared" si="65"/>
        <v>0</v>
      </c>
      <c r="O278" s="389">
        <f t="shared" si="65"/>
        <v>0</v>
      </c>
      <c r="P278" s="223">
        <f t="shared" si="65"/>
        <v>0</v>
      </c>
      <c r="Q278" s="389">
        <f t="shared" si="65"/>
        <v>0</v>
      </c>
      <c r="R278" s="223">
        <f t="shared" si="65"/>
        <v>0</v>
      </c>
      <c r="S278" s="389">
        <f t="shared" si="65"/>
        <v>1425</v>
      </c>
      <c r="T278" s="223">
        <f t="shared" si="65"/>
        <v>0</v>
      </c>
      <c r="U278" s="389">
        <f t="shared" si="65"/>
        <v>0</v>
      </c>
      <c r="V278" s="223">
        <f t="shared" si="65"/>
        <v>0</v>
      </c>
      <c r="W278" s="389">
        <f t="shared" si="65"/>
        <v>0</v>
      </c>
      <c r="X278" s="223">
        <f t="shared" si="65"/>
        <v>0</v>
      </c>
      <c r="Y278" s="389">
        <f t="shared" si="65"/>
        <v>0</v>
      </c>
      <c r="Z278" s="223">
        <f t="shared" si="65"/>
        <v>0</v>
      </c>
      <c r="AA278" s="389">
        <f t="shared" si="65"/>
        <v>0</v>
      </c>
      <c r="AB278" s="223">
        <f t="shared" si="65"/>
        <v>0</v>
      </c>
      <c r="AC278" s="389">
        <f t="shared" si="65"/>
        <v>0</v>
      </c>
      <c r="AD278" s="223">
        <f t="shared" si="65"/>
        <v>0</v>
      </c>
      <c r="AE278" s="389">
        <f t="shared" si="65"/>
        <v>0</v>
      </c>
      <c r="AF278" s="223"/>
      <c r="AG278" s="389">
        <f t="shared" ref="AG278:AO278" si="66">SUM(AG275:AG277)</f>
        <v>0</v>
      </c>
      <c r="AH278" s="223">
        <f t="shared" si="66"/>
        <v>0</v>
      </c>
      <c r="AI278" s="389">
        <f t="shared" si="66"/>
        <v>0</v>
      </c>
      <c r="AJ278" s="223">
        <f t="shared" si="66"/>
        <v>0</v>
      </c>
      <c r="AK278" s="389">
        <f t="shared" si="66"/>
        <v>1425</v>
      </c>
      <c r="AL278" s="223">
        <f t="shared" si="66"/>
        <v>0</v>
      </c>
      <c r="AM278" s="389">
        <f t="shared" si="66"/>
        <v>0</v>
      </c>
      <c r="AN278" s="223">
        <f t="shared" si="66"/>
        <v>0</v>
      </c>
      <c r="AO278" s="389">
        <f t="shared" si="66"/>
        <v>0</v>
      </c>
      <c r="AP278" s="223"/>
      <c r="AQ278" s="389">
        <f>SUM(AQ275:AQ277)</f>
        <v>64112</v>
      </c>
      <c r="AR278" s="223"/>
      <c r="AS278" s="389">
        <f>SUM(AS275:AS277)</f>
        <v>0</v>
      </c>
      <c r="AT278" s="223"/>
      <c r="AU278" s="389">
        <f>SUM(AU275:AU277)</f>
        <v>0</v>
      </c>
      <c r="AV278" s="223"/>
      <c r="AW278" s="389">
        <f>SUM(AW275:AW277)</f>
        <v>0</v>
      </c>
      <c r="AX278" s="223"/>
      <c r="AY278" s="389">
        <f>SUM(AY275:AY277)</f>
        <v>0</v>
      </c>
      <c r="AZ278" s="223"/>
      <c r="BA278" s="389">
        <f>SUM(BA275:BA277)</f>
        <v>0</v>
      </c>
      <c r="BB278" s="223"/>
      <c r="BC278" s="389">
        <f>SUM(BC275:BC277)</f>
        <v>0</v>
      </c>
      <c r="BD278" s="223">
        <f>SUM(BD275:BD277)</f>
        <v>0</v>
      </c>
      <c r="BE278" s="389">
        <f>SUM(BE275:BE277)</f>
        <v>65537</v>
      </c>
      <c r="BF278" s="223"/>
      <c r="BG278" s="209">
        <f>+MAX(0,G278-BE278+AM278)</f>
        <v>1063027</v>
      </c>
      <c r="BH278" s="223">
        <f>SUM(BH275:BH277)</f>
        <v>0</v>
      </c>
      <c r="BI278" s="209">
        <f>SUM(BE278:BG278)</f>
        <v>1128564</v>
      </c>
      <c r="BJ278" s="223">
        <f>SUM(BJ275:BJ277)</f>
        <v>0</v>
      </c>
      <c r="BK278" s="389">
        <f>SUM(BK275:BK277)</f>
        <v>-1425</v>
      </c>
      <c r="BL278" s="217"/>
    </row>
    <row r="279" spans="1:64" hidden="1">
      <c r="B279" s="215"/>
      <c r="C279" s="212" t="s">
        <v>411</v>
      </c>
      <c r="D279" s="372"/>
      <c r="K279" s="200"/>
      <c r="L279" s="206"/>
      <c r="M279" s="200"/>
      <c r="O279" s="200"/>
      <c r="Q279" s="200"/>
      <c r="S279" s="200"/>
      <c r="U279" s="200"/>
      <c r="V279" s="217"/>
      <c r="W279" s="200"/>
      <c r="X279" s="206"/>
      <c r="Y279" s="200"/>
      <c r="Z279" s="206"/>
      <c r="AA279" s="200"/>
      <c r="AB279" s="206"/>
      <c r="AC279" s="200"/>
      <c r="AD279" s="206"/>
      <c r="AE279" s="200"/>
      <c r="AF279" s="206"/>
      <c r="AG279" s="200"/>
      <c r="AH279" s="217"/>
      <c r="AI279" s="200"/>
      <c r="AK279" s="200"/>
      <c r="AM279" s="217"/>
      <c r="AO279" s="200"/>
      <c r="AP279" s="217"/>
      <c r="AQ279" s="217"/>
      <c r="AR279" s="217"/>
      <c r="AS279" s="217"/>
      <c r="AT279" s="217"/>
      <c r="AU279" s="217"/>
      <c r="AV279" s="217"/>
      <c r="AW279" s="217"/>
      <c r="AX279" s="217"/>
      <c r="AY279" s="217"/>
      <c r="AZ279" s="217"/>
      <c r="BA279" s="217"/>
      <c r="BB279" s="217"/>
      <c r="BC279" s="217"/>
      <c r="BD279" s="217"/>
      <c r="BE279" s="200"/>
    </row>
    <row r="280" spans="1:64" s="222" customFormat="1" ht="14.25" hidden="1" customHeight="1">
      <c r="A280" s="212" t="s">
        <v>1653</v>
      </c>
      <c r="C280" s="212"/>
      <c r="E280" s="222">
        <v>3921610</v>
      </c>
      <c r="F280" s="223">
        <v>0</v>
      </c>
      <c r="G280" s="222">
        <v>3921610</v>
      </c>
      <c r="H280" s="223">
        <v>0</v>
      </c>
      <c r="I280" s="222">
        <v>0</v>
      </c>
      <c r="J280" s="222">
        <v>0</v>
      </c>
      <c r="K280" s="222">
        <v>0</v>
      </c>
      <c r="L280" s="222">
        <v>0</v>
      </c>
      <c r="M280" s="222">
        <v>0</v>
      </c>
      <c r="N280" s="222">
        <v>0</v>
      </c>
      <c r="O280" s="222">
        <v>0</v>
      </c>
      <c r="P280" s="222">
        <v>0</v>
      </c>
      <c r="Q280" s="222">
        <v>0</v>
      </c>
      <c r="R280" s="222">
        <v>0</v>
      </c>
      <c r="S280" s="222">
        <v>0</v>
      </c>
      <c r="T280" s="222">
        <v>0</v>
      </c>
      <c r="U280" s="222">
        <v>0</v>
      </c>
      <c r="V280" s="223">
        <v>0</v>
      </c>
      <c r="W280" s="222">
        <v>0</v>
      </c>
      <c r="X280" s="223">
        <v>0</v>
      </c>
      <c r="Y280" s="222">
        <v>0</v>
      </c>
      <c r="Z280" s="223">
        <v>0</v>
      </c>
      <c r="AA280" s="222">
        <v>0</v>
      </c>
      <c r="AB280" s="223">
        <v>0</v>
      </c>
      <c r="AC280" s="222">
        <v>0</v>
      </c>
      <c r="AD280" s="223">
        <v>0</v>
      </c>
      <c r="AE280" s="222">
        <v>0</v>
      </c>
      <c r="AF280" s="223"/>
      <c r="AG280" s="222">
        <v>0</v>
      </c>
      <c r="AH280" s="223">
        <v>0</v>
      </c>
      <c r="AI280" s="222">
        <v>0</v>
      </c>
      <c r="AJ280" s="223"/>
      <c r="AK280" s="222">
        <f>SUM(K280:AI280)</f>
        <v>0</v>
      </c>
      <c r="AL280" s="223"/>
      <c r="AM280" s="223"/>
      <c r="AN280" s="223"/>
      <c r="AO280" s="222">
        <v>0</v>
      </c>
      <c r="AP280" s="223"/>
      <c r="AQ280" s="223">
        <v>0</v>
      </c>
      <c r="AR280" s="223"/>
      <c r="AS280" s="223">
        <v>0</v>
      </c>
      <c r="AT280" s="223"/>
      <c r="AU280" s="223">
        <v>0</v>
      </c>
      <c r="AV280" s="223"/>
      <c r="AW280" s="223">
        <v>0</v>
      </c>
      <c r="AX280" s="223"/>
      <c r="AY280" s="223">
        <v>0</v>
      </c>
      <c r="AZ280" s="223"/>
      <c r="BA280" s="223">
        <v>0</v>
      </c>
      <c r="BB280" s="223"/>
      <c r="BC280" s="223">
        <v>0</v>
      </c>
      <c r="BD280" s="223">
        <v>0</v>
      </c>
      <c r="BE280" s="222">
        <f>SUM(AC280:BA280)</f>
        <v>0</v>
      </c>
      <c r="BF280" s="223"/>
      <c r="BG280" s="221">
        <f>+MAX(0,G280-BE280+AM280)</f>
        <v>3921610</v>
      </c>
      <c r="BH280" s="223"/>
      <c r="BI280" s="221">
        <f>SUM(BE280:BG280)</f>
        <v>3921610</v>
      </c>
      <c r="BJ280" s="223"/>
      <c r="BK280" s="222">
        <f>-BI280+G280</f>
        <v>0</v>
      </c>
      <c r="BL280" s="223"/>
    </row>
    <row r="281" spans="1:64" hidden="1">
      <c r="C281" s="372"/>
      <c r="D281" s="372"/>
      <c r="K281" s="200"/>
      <c r="L281" s="206"/>
      <c r="M281" s="200"/>
      <c r="O281" s="200"/>
      <c r="Q281" s="200"/>
      <c r="S281" s="200"/>
      <c r="U281" s="200"/>
      <c r="V281" s="217"/>
      <c r="W281" s="200"/>
      <c r="X281" s="206"/>
      <c r="Y281" s="200"/>
      <c r="Z281" s="206"/>
      <c r="AA281" s="200"/>
      <c r="AB281" s="206"/>
      <c r="AC281" s="200"/>
      <c r="AD281" s="206"/>
      <c r="AE281" s="200"/>
      <c r="AF281" s="206"/>
      <c r="AG281" s="200"/>
      <c r="AH281" s="217"/>
      <c r="AI281" s="200"/>
      <c r="AK281" s="200"/>
      <c r="AL281" s="217"/>
      <c r="AM281" s="217"/>
      <c r="AN281" s="217"/>
      <c r="AO281" s="200"/>
      <c r="AP281" s="217"/>
      <c r="AQ281" s="217"/>
      <c r="AR281" s="217"/>
      <c r="AS281" s="217"/>
      <c r="AT281" s="217"/>
      <c r="AU281" s="217"/>
      <c r="AV281" s="217"/>
      <c r="AW281" s="217"/>
      <c r="AX281" s="217"/>
      <c r="AY281" s="217"/>
      <c r="AZ281" s="217"/>
      <c r="BA281" s="217"/>
      <c r="BB281" s="217"/>
      <c r="BC281" s="217"/>
      <c r="BD281" s="217"/>
      <c r="BE281" s="200"/>
      <c r="BF281" s="217"/>
      <c r="BG281" s="222"/>
      <c r="BH281" s="217"/>
      <c r="BI281" s="200"/>
      <c r="BJ281" s="217"/>
    </row>
    <row r="282" spans="1:64" s="222" customFormat="1" hidden="1">
      <c r="A282" s="222" t="s">
        <v>1654</v>
      </c>
      <c r="E282" s="222">
        <v>2000000</v>
      </c>
      <c r="F282" s="223">
        <v>0</v>
      </c>
      <c r="G282" s="222">
        <v>2000000</v>
      </c>
      <c r="H282" s="223">
        <v>0</v>
      </c>
      <c r="I282" s="222">
        <v>0</v>
      </c>
      <c r="J282" s="222">
        <v>0</v>
      </c>
      <c r="K282" s="222">
        <v>0</v>
      </c>
      <c r="L282" s="222">
        <v>0</v>
      </c>
      <c r="M282" s="222">
        <v>0</v>
      </c>
      <c r="N282" s="222">
        <v>0</v>
      </c>
      <c r="O282" s="222">
        <v>0</v>
      </c>
      <c r="P282" s="222">
        <v>0</v>
      </c>
      <c r="Q282" s="222">
        <v>0</v>
      </c>
      <c r="R282" s="222">
        <v>0</v>
      </c>
      <c r="S282" s="222">
        <v>0</v>
      </c>
      <c r="T282" s="222">
        <v>0</v>
      </c>
      <c r="U282" s="222">
        <v>0</v>
      </c>
      <c r="V282" s="223">
        <v>0</v>
      </c>
      <c r="W282" s="222">
        <v>0</v>
      </c>
      <c r="X282" s="223">
        <v>0</v>
      </c>
      <c r="Y282" s="222">
        <v>0</v>
      </c>
      <c r="Z282" s="223">
        <v>0</v>
      </c>
      <c r="AA282" s="222">
        <v>0</v>
      </c>
      <c r="AB282" s="223">
        <v>0</v>
      </c>
      <c r="AC282" s="222">
        <v>0</v>
      </c>
      <c r="AD282" s="223">
        <v>0</v>
      </c>
      <c r="AE282" s="222">
        <v>0</v>
      </c>
      <c r="AF282" s="223"/>
      <c r="AG282" s="222">
        <v>0</v>
      </c>
      <c r="AH282" s="223">
        <v>0</v>
      </c>
      <c r="AI282" s="222">
        <f>40222.14+166666.67</f>
        <v>206888.81</v>
      </c>
      <c r="AJ282" s="223"/>
      <c r="AK282" s="222">
        <f>SUM(K282:AI282)</f>
        <v>206888.81</v>
      </c>
      <c r="AL282" s="223"/>
      <c r="AM282" s="223"/>
      <c r="AN282" s="223"/>
      <c r="AO282" s="222">
        <v>0</v>
      </c>
      <c r="AP282" s="223"/>
      <c r="AQ282" s="223">
        <f>8383.51+12449.27</f>
        <v>20832.78</v>
      </c>
      <c r="AR282" s="223"/>
      <c r="AS282" s="223">
        <v>0</v>
      </c>
      <c r="AT282" s="223"/>
      <c r="AU282" s="223">
        <v>0</v>
      </c>
      <c r="AV282" s="223"/>
      <c r="AW282" s="223">
        <v>0</v>
      </c>
      <c r="AX282" s="223"/>
      <c r="AY282" s="223">
        <v>0</v>
      </c>
      <c r="AZ282" s="223"/>
      <c r="BA282" s="223">
        <v>0</v>
      </c>
      <c r="BB282" s="223"/>
      <c r="BC282" s="223">
        <v>0</v>
      </c>
      <c r="BD282" s="223">
        <v>0</v>
      </c>
      <c r="BE282" s="222">
        <f>SUM(AK282:BD282)</f>
        <v>227721.59</v>
      </c>
      <c r="BF282" s="223"/>
      <c r="BG282" s="221">
        <f>+MAX(0,G282-BE282+AM282)</f>
        <v>1772278.41</v>
      </c>
      <c r="BH282" s="223"/>
      <c r="BI282" s="221">
        <f>SUM(BE282:BG282)</f>
        <v>2000000</v>
      </c>
      <c r="BJ282" s="223"/>
      <c r="BK282" s="222">
        <f>-BI282+G282</f>
        <v>0</v>
      </c>
      <c r="BL282" s="223"/>
    </row>
    <row r="283" spans="1:64" s="200" customFormat="1" hidden="1">
      <c r="A283" s="222"/>
      <c r="C283" s="222"/>
      <c r="D283" s="222"/>
      <c r="E283" s="222"/>
      <c r="F283" s="223"/>
      <c r="G283" s="222"/>
      <c r="H283" s="223"/>
      <c r="I283" s="222"/>
      <c r="J283" s="222"/>
      <c r="K283" s="222"/>
      <c r="L283" s="222"/>
      <c r="M283" s="222"/>
      <c r="N283" s="222"/>
      <c r="O283" s="222"/>
      <c r="P283" s="222"/>
      <c r="Q283" s="222"/>
      <c r="R283" s="222"/>
      <c r="S283" s="222"/>
      <c r="T283" s="222"/>
      <c r="U283" s="222"/>
      <c r="V283" s="223"/>
      <c r="W283" s="222"/>
      <c r="X283" s="223"/>
      <c r="Y283" s="222"/>
      <c r="Z283" s="223"/>
      <c r="AA283" s="222"/>
      <c r="AB283" s="223"/>
      <c r="AC283" s="222"/>
      <c r="AD283" s="223"/>
      <c r="AE283" s="222"/>
      <c r="AF283" s="223"/>
      <c r="AG283" s="222"/>
      <c r="AH283" s="223"/>
      <c r="AI283" s="222"/>
      <c r="AJ283" s="223"/>
      <c r="AK283" s="222"/>
      <c r="AL283" s="223"/>
      <c r="AM283" s="223"/>
      <c r="AN283" s="223"/>
      <c r="AO283" s="222"/>
      <c r="AP283" s="223"/>
      <c r="AQ283" s="223"/>
      <c r="AR283" s="223"/>
      <c r="AS283" s="223"/>
      <c r="AT283" s="223"/>
      <c r="AU283" s="223"/>
      <c r="AV283" s="223"/>
      <c r="AW283" s="223"/>
      <c r="AX283" s="223"/>
      <c r="AY283" s="223"/>
      <c r="AZ283" s="223"/>
      <c r="BA283" s="223"/>
      <c r="BB283" s="223"/>
      <c r="BC283" s="223"/>
      <c r="BD283" s="223"/>
      <c r="BE283" s="222"/>
      <c r="BF283" s="223"/>
      <c r="BG283" s="199"/>
      <c r="BH283" s="223"/>
      <c r="BI283" s="199"/>
      <c r="BJ283" s="223"/>
      <c r="BK283" s="222"/>
      <c r="BL283" s="217"/>
    </row>
    <row r="284" spans="1:64" s="221" customFormat="1" hidden="1">
      <c r="A284" s="212" t="s">
        <v>1663</v>
      </c>
      <c r="E284" s="221">
        <v>0</v>
      </c>
      <c r="F284" s="225"/>
      <c r="G284" s="221">
        <v>5800000</v>
      </c>
      <c r="H284" s="225"/>
      <c r="I284" s="221">
        <f>G284-E284</f>
        <v>5800000</v>
      </c>
      <c r="J284" s="225"/>
      <c r="K284" s="221">
        <v>0</v>
      </c>
      <c r="L284" s="225"/>
      <c r="M284" s="221">
        <v>0</v>
      </c>
      <c r="N284" s="225"/>
      <c r="O284" s="221">
        <v>0</v>
      </c>
      <c r="P284" s="225"/>
      <c r="Q284" s="221">
        <v>0</v>
      </c>
      <c r="R284" s="225"/>
      <c r="S284" s="221">
        <v>0</v>
      </c>
      <c r="T284" s="223"/>
      <c r="U284" s="221">
        <v>0</v>
      </c>
      <c r="V284" s="225"/>
      <c r="W284" s="221">
        <v>0</v>
      </c>
      <c r="X284" s="225"/>
      <c r="Y284" s="221">
        <v>0</v>
      </c>
      <c r="Z284" s="225"/>
      <c r="AA284" s="221">
        <v>0</v>
      </c>
      <c r="AB284" s="225"/>
      <c r="AC284" s="221">
        <v>0</v>
      </c>
      <c r="AD284" s="225"/>
      <c r="AE284" s="221">
        <v>57410.7</v>
      </c>
      <c r="AF284" s="225"/>
      <c r="AG284" s="221">
        <v>1073726</v>
      </c>
      <c r="AH284" s="225"/>
      <c r="AI284" s="221">
        <f>166666.67+6359</f>
        <v>173025.67</v>
      </c>
      <c r="AJ284" s="225"/>
      <c r="AK284" s="221">
        <f>SUM(K284:AJ284)</f>
        <v>1304162.3699999999</v>
      </c>
      <c r="AL284" s="225"/>
      <c r="AM284" s="225">
        <v>0</v>
      </c>
      <c r="AN284" s="225"/>
      <c r="AO284" s="221">
        <f>31972-6359</f>
        <v>25613</v>
      </c>
      <c r="AP284" s="225"/>
      <c r="AQ284" s="225">
        <f>172232.1+53400+156450+76106.1+228318.3+456636.6+456636.6+152212.2+36000</f>
        <v>1787991.9000000001</v>
      </c>
      <c r="AR284" s="225"/>
      <c r="AS284" s="225">
        <v>0</v>
      </c>
      <c r="AT284" s="225"/>
      <c r="AU284" s="225">
        <v>0</v>
      </c>
      <c r="AV284" s="225"/>
      <c r="AW284" s="225">
        <v>0</v>
      </c>
      <c r="AX284" s="225"/>
      <c r="AY284" s="225">
        <v>0</v>
      </c>
      <c r="AZ284" s="225"/>
      <c r="BA284" s="225">
        <v>0</v>
      </c>
      <c r="BB284" s="225"/>
      <c r="BC284" s="225">
        <v>0</v>
      </c>
      <c r="BD284" s="225">
        <v>0</v>
      </c>
      <c r="BE284" s="221">
        <f>SUM(AK284:BA284)</f>
        <v>3117767.27</v>
      </c>
      <c r="BF284" s="225"/>
      <c r="BG284" s="221">
        <f>+MAX(0,G284-BE284+AM284)</f>
        <v>2682232.73</v>
      </c>
      <c r="BH284" s="225"/>
      <c r="BI284" s="221">
        <f>SUM(BE284:BG284)</f>
        <v>5800000</v>
      </c>
      <c r="BJ284" s="225"/>
      <c r="BK284" s="221">
        <f>+G284-BI284</f>
        <v>0</v>
      </c>
      <c r="BL284" s="225"/>
    </row>
    <row r="285" spans="1:64" s="221" customFormat="1" hidden="1">
      <c r="A285" s="212"/>
      <c r="B285" s="199"/>
      <c r="F285" s="225"/>
      <c r="H285" s="225"/>
      <c r="J285" s="225"/>
      <c r="L285" s="225"/>
      <c r="N285" s="225"/>
      <c r="P285" s="225"/>
      <c r="R285" s="225"/>
      <c r="T285" s="223"/>
      <c r="V285" s="225"/>
      <c r="X285" s="225"/>
      <c r="Z285" s="225"/>
      <c r="AB285" s="225"/>
      <c r="AD285" s="225"/>
      <c r="AF285" s="225"/>
      <c r="AH285" s="225"/>
      <c r="AJ285" s="225"/>
      <c r="AL285" s="225"/>
      <c r="AM285" s="225"/>
      <c r="AN285" s="225"/>
      <c r="AP285" s="225"/>
      <c r="AQ285" s="225"/>
      <c r="AR285" s="225"/>
      <c r="AS285" s="225"/>
      <c r="AT285" s="225"/>
      <c r="AU285" s="225"/>
      <c r="AV285" s="225"/>
      <c r="AW285" s="225"/>
      <c r="AX285" s="225"/>
      <c r="AY285" s="225"/>
      <c r="AZ285" s="225"/>
      <c r="BA285" s="225"/>
      <c r="BB285" s="225"/>
      <c r="BC285" s="225"/>
      <c r="BD285" s="225"/>
      <c r="BF285" s="225"/>
      <c r="BH285" s="225"/>
      <c r="BJ285" s="225"/>
      <c r="BL285" s="225"/>
    </row>
    <row r="286" spans="1:64" s="221" customFormat="1" hidden="1">
      <c r="A286" s="221" t="s">
        <v>1664</v>
      </c>
      <c r="E286" s="221">
        <v>0</v>
      </c>
      <c r="F286" s="225"/>
      <c r="G286" s="221">
        <v>-5800000</v>
      </c>
      <c r="H286" s="225"/>
      <c r="I286" s="221">
        <f>G286-E286</f>
        <v>-5800000</v>
      </c>
      <c r="J286" s="225"/>
      <c r="K286" s="221">
        <v>0</v>
      </c>
      <c r="L286" s="225"/>
      <c r="M286" s="221">
        <v>0</v>
      </c>
      <c r="N286" s="225"/>
      <c r="O286" s="221">
        <v>0</v>
      </c>
      <c r="P286" s="225"/>
      <c r="Q286" s="221">
        <v>0</v>
      </c>
      <c r="R286" s="225"/>
      <c r="S286" s="221">
        <v>0</v>
      </c>
      <c r="T286" s="223"/>
      <c r="U286" s="221">
        <v>0</v>
      </c>
      <c r="V286" s="225"/>
      <c r="W286" s="221">
        <v>0</v>
      </c>
      <c r="X286" s="225"/>
      <c r="Y286" s="221">
        <v>0</v>
      </c>
      <c r="Z286" s="225"/>
      <c r="AA286" s="221">
        <v>0</v>
      </c>
      <c r="AB286" s="225"/>
      <c r="AC286" s="221">
        <v>0</v>
      </c>
      <c r="AD286" s="225"/>
      <c r="AE286" s="221">
        <v>0</v>
      </c>
      <c r="AF286" s="225"/>
      <c r="AG286" s="221">
        <v>0</v>
      </c>
      <c r="AH286" s="225"/>
      <c r="AI286" s="221">
        <v>0</v>
      </c>
      <c r="AJ286" s="225"/>
      <c r="AK286" s="221">
        <f>SUM(K286:AJ286)</f>
        <v>0</v>
      </c>
      <c r="AL286" s="225"/>
      <c r="AM286" s="225">
        <v>0</v>
      </c>
      <c r="AN286" s="225"/>
      <c r="AO286" s="221">
        <v>0</v>
      </c>
      <c r="AP286" s="225"/>
      <c r="AQ286" s="225">
        <v>0</v>
      </c>
      <c r="AR286" s="225"/>
      <c r="AS286" s="225">
        <v>0</v>
      </c>
      <c r="AT286" s="225"/>
      <c r="AU286" s="225">
        <v>0</v>
      </c>
      <c r="AV286" s="225"/>
      <c r="AW286" s="225">
        <v>0</v>
      </c>
      <c r="AX286" s="225"/>
      <c r="AY286" s="225">
        <v>0</v>
      </c>
      <c r="AZ286" s="225"/>
      <c r="BA286" s="225">
        <v>0</v>
      </c>
      <c r="BB286" s="225"/>
      <c r="BC286" s="225">
        <v>0</v>
      </c>
      <c r="BD286" s="225">
        <v>0</v>
      </c>
      <c r="BE286" s="221">
        <f>SUM(AK286:BA286)</f>
        <v>0</v>
      </c>
      <c r="BF286" s="225"/>
      <c r="BG286" s="221">
        <f>G286-BE286</f>
        <v>-5800000</v>
      </c>
      <c r="BH286" s="225"/>
      <c r="BI286" s="221">
        <f>SUM(BE286:BG286)</f>
        <v>-5800000</v>
      </c>
      <c r="BJ286" s="225"/>
      <c r="BK286" s="221">
        <f>+G286-BI286</f>
        <v>0</v>
      </c>
      <c r="BL286" s="225"/>
    </row>
    <row r="287" spans="1:64" hidden="1">
      <c r="C287" s="372"/>
      <c r="D287" s="372"/>
      <c r="K287" s="200"/>
      <c r="L287" s="206"/>
      <c r="M287" s="200"/>
      <c r="O287" s="200"/>
      <c r="Q287" s="200"/>
      <c r="S287" s="200"/>
      <c r="U287" s="200"/>
      <c r="V287" s="217"/>
      <c r="W287" s="200"/>
      <c r="X287" s="206"/>
      <c r="Y287" s="200"/>
      <c r="Z287" s="206"/>
      <c r="AA287" s="200"/>
      <c r="AB287" s="206"/>
      <c r="AC287" s="200"/>
      <c r="AD287" s="206"/>
      <c r="AE287" s="200"/>
      <c r="AF287" s="206"/>
      <c r="AG287" s="200"/>
      <c r="AH287" s="217"/>
      <c r="AI287" s="200"/>
      <c r="AK287" s="200"/>
      <c r="AM287" s="217"/>
      <c r="AO287" s="200"/>
      <c r="AP287" s="217"/>
      <c r="AQ287" s="217"/>
      <c r="AR287" s="217"/>
      <c r="AS287" s="217"/>
      <c r="AT287" s="217"/>
      <c r="AU287" s="217"/>
      <c r="AV287" s="217"/>
      <c r="AW287" s="217"/>
      <c r="AX287" s="217"/>
      <c r="AY287" s="217"/>
      <c r="AZ287" s="217"/>
      <c r="BA287" s="217"/>
      <c r="BB287" s="217"/>
      <c r="BC287" s="217"/>
      <c r="BD287" s="217"/>
      <c r="BE287" s="200"/>
    </row>
    <row r="288" spans="1:64" ht="13.8" hidden="1" thickBot="1">
      <c r="A288" s="522" t="s">
        <v>439</v>
      </c>
      <c r="B288" s="518"/>
      <c r="C288" s="238"/>
      <c r="D288" s="236"/>
      <c r="E288" s="238">
        <f t="shared" ref="E288:AJ288" si="67">E282+E280+E278+E269+E286+E284</f>
        <v>119434162.14999999</v>
      </c>
      <c r="F288" s="236">
        <f t="shared" si="67"/>
        <v>0</v>
      </c>
      <c r="G288" s="238">
        <f t="shared" si="67"/>
        <v>125248362.86</v>
      </c>
      <c r="H288" s="236">
        <f t="shared" si="67"/>
        <v>0</v>
      </c>
      <c r="I288" s="238">
        <f t="shared" si="67"/>
        <v>2933388.0700000003</v>
      </c>
      <c r="J288" s="238">
        <f t="shared" si="67"/>
        <v>0</v>
      </c>
      <c r="K288" s="238">
        <f t="shared" si="67"/>
        <v>21428869.800000001</v>
      </c>
      <c r="L288" s="238">
        <f t="shared" si="67"/>
        <v>0</v>
      </c>
      <c r="M288" s="238">
        <f t="shared" si="67"/>
        <v>4411803.49</v>
      </c>
      <c r="N288" s="238">
        <f t="shared" si="67"/>
        <v>0</v>
      </c>
      <c r="O288" s="238">
        <f t="shared" si="67"/>
        <v>3230174.65</v>
      </c>
      <c r="P288" s="238">
        <f t="shared" si="67"/>
        <v>0</v>
      </c>
      <c r="Q288" s="238">
        <f t="shared" si="67"/>
        <v>1861449.2000000002</v>
      </c>
      <c r="R288" s="238">
        <f t="shared" si="67"/>
        <v>0</v>
      </c>
      <c r="S288" s="238">
        <f t="shared" si="67"/>
        <v>3030974.27</v>
      </c>
      <c r="T288" s="238">
        <f t="shared" si="67"/>
        <v>0</v>
      </c>
      <c r="U288" s="238">
        <f t="shared" si="67"/>
        <v>4609975.96</v>
      </c>
      <c r="V288" s="238">
        <f t="shared" si="67"/>
        <v>0</v>
      </c>
      <c r="W288" s="238">
        <f t="shared" si="67"/>
        <v>-2099286.5200000005</v>
      </c>
      <c r="X288" s="238">
        <f t="shared" si="67"/>
        <v>0</v>
      </c>
      <c r="Y288" s="238">
        <f t="shared" si="67"/>
        <v>731310.49000000011</v>
      </c>
      <c r="Z288" s="238">
        <f t="shared" si="67"/>
        <v>0</v>
      </c>
      <c r="AA288" s="238">
        <f t="shared" si="67"/>
        <v>3340374.04</v>
      </c>
      <c r="AB288" s="238">
        <f t="shared" si="67"/>
        <v>0</v>
      </c>
      <c r="AC288" s="238">
        <f t="shared" si="67"/>
        <v>3343727.46</v>
      </c>
      <c r="AD288" s="238">
        <f t="shared" si="67"/>
        <v>0</v>
      </c>
      <c r="AE288" s="238">
        <f t="shared" si="67"/>
        <v>7253667.2000000011</v>
      </c>
      <c r="AF288" s="238">
        <f t="shared" si="67"/>
        <v>0</v>
      </c>
      <c r="AG288" s="238">
        <f t="shared" si="67"/>
        <v>7769992.7399999993</v>
      </c>
      <c r="AH288" s="238">
        <f t="shared" si="67"/>
        <v>0</v>
      </c>
      <c r="AI288" s="238">
        <f t="shared" si="67"/>
        <v>7427682.1600000001</v>
      </c>
      <c r="AJ288" s="236">
        <f t="shared" si="67"/>
        <v>0</v>
      </c>
      <c r="AK288" s="238">
        <f t="shared" ref="AK288:BA288" si="68">AK282+AK280+AK278+AK269+AK286+AK284</f>
        <v>68995847.090000018</v>
      </c>
      <c r="AL288" s="236">
        <f t="shared" si="68"/>
        <v>0</v>
      </c>
      <c r="AM288" s="238">
        <f t="shared" si="68"/>
        <v>0</v>
      </c>
      <c r="AN288" s="236">
        <f t="shared" si="68"/>
        <v>0</v>
      </c>
      <c r="AO288" s="238">
        <f t="shared" si="68"/>
        <v>-13941730.4</v>
      </c>
      <c r="AP288" s="236">
        <f t="shared" si="68"/>
        <v>0</v>
      </c>
      <c r="AQ288" s="238">
        <f t="shared" si="68"/>
        <v>-61645404.520000011</v>
      </c>
      <c r="AR288" s="236">
        <f t="shared" si="68"/>
        <v>0</v>
      </c>
      <c r="AS288" s="238">
        <f t="shared" si="68"/>
        <v>8813380.8800000008</v>
      </c>
      <c r="AT288" s="236">
        <f t="shared" si="68"/>
        <v>0</v>
      </c>
      <c r="AU288" s="238">
        <f t="shared" si="68"/>
        <v>708517.08000000007</v>
      </c>
      <c r="AV288" s="236">
        <f t="shared" si="68"/>
        <v>0</v>
      </c>
      <c r="AW288" s="238">
        <f t="shared" si="68"/>
        <v>3678935.8200000003</v>
      </c>
      <c r="AX288" s="236">
        <f t="shared" si="68"/>
        <v>0</v>
      </c>
      <c r="AY288" s="238">
        <f t="shared" si="68"/>
        <v>7389584.666666666</v>
      </c>
      <c r="AZ288" s="236">
        <f t="shared" si="68"/>
        <v>0</v>
      </c>
      <c r="BA288" s="238">
        <f t="shared" si="68"/>
        <v>1670236.6666666667</v>
      </c>
      <c r="BB288" s="236"/>
      <c r="BC288" s="238">
        <f t="shared" ref="BC288:BK288" si="69">BC282+BC280+BC278+BC269+BC286+BC284</f>
        <v>851084.66666666674</v>
      </c>
      <c r="BD288" s="236">
        <f t="shared" si="69"/>
        <v>11</v>
      </c>
      <c r="BE288" s="238">
        <f t="shared" si="69"/>
        <v>19806017.950000003</v>
      </c>
      <c r="BF288" s="236">
        <f t="shared" si="69"/>
        <v>0</v>
      </c>
      <c r="BG288" s="238">
        <f t="shared" si="69"/>
        <v>3939159.36</v>
      </c>
      <c r="BH288" s="236">
        <f t="shared" si="69"/>
        <v>0</v>
      </c>
      <c r="BI288" s="238">
        <f t="shared" si="69"/>
        <v>120967025.49000001</v>
      </c>
      <c r="BJ288" s="236">
        <f t="shared" si="69"/>
        <v>0</v>
      </c>
      <c r="BK288" s="238">
        <f t="shared" si="69"/>
        <v>-3785681.0700000031</v>
      </c>
      <c r="BL288" s="238">
        <f>BL282+BL280+BL278+BL269</f>
        <v>0</v>
      </c>
    </row>
    <row r="289" spans="11:57" ht="13.8" hidden="1" thickTop="1">
      <c r="K289" s="200"/>
      <c r="L289" s="206"/>
      <c r="M289" s="200"/>
      <c r="O289" s="200"/>
      <c r="Q289" s="200"/>
      <c r="S289" s="200"/>
      <c r="U289" s="200"/>
      <c r="V289" s="217"/>
      <c r="W289" s="200"/>
      <c r="X289" s="217"/>
      <c r="Y289" s="200"/>
      <c r="Z289" s="217"/>
      <c r="AA289" s="200"/>
      <c r="AB289" s="217"/>
      <c r="AC289" s="200"/>
      <c r="AD289" s="217"/>
      <c r="AE289" s="200"/>
      <c r="AF289" s="217"/>
      <c r="AG289" s="200"/>
      <c r="AH289" s="217"/>
      <c r="AI289" s="200"/>
      <c r="AK289" s="200"/>
      <c r="AM289" s="217"/>
      <c r="AO289" s="200"/>
      <c r="AP289" s="217"/>
      <c r="AQ289" s="217"/>
      <c r="AR289" s="217"/>
      <c r="AS289" s="217"/>
      <c r="AT289" s="217"/>
      <c r="AU289" s="217"/>
      <c r="AV289" s="217"/>
      <c r="AW289" s="217"/>
      <c r="AX289" s="217"/>
      <c r="AY289" s="217"/>
      <c r="AZ289" s="217"/>
      <c r="BA289" s="217"/>
      <c r="BB289" s="217"/>
      <c r="BC289" s="217"/>
      <c r="BE289" s="200"/>
    </row>
    <row r="290" spans="11:57" hidden="1">
      <c r="K290" s="200"/>
      <c r="L290" s="206"/>
      <c r="M290" s="200"/>
      <c r="O290" s="200"/>
      <c r="Q290" s="200"/>
      <c r="S290" s="200"/>
      <c r="U290" s="200"/>
      <c r="V290" s="217"/>
      <c r="W290" s="200"/>
      <c r="X290" s="217"/>
      <c r="Y290" s="200"/>
      <c r="Z290" s="217"/>
      <c r="AA290" s="200"/>
      <c r="AB290" s="217"/>
      <c r="AC290" s="200"/>
      <c r="AD290" s="217"/>
      <c r="AE290" s="200"/>
      <c r="AF290" s="217"/>
      <c r="AG290" s="200"/>
      <c r="AH290" s="217"/>
      <c r="AI290" s="200"/>
      <c r="AK290" s="200"/>
      <c r="AM290" s="217"/>
      <c r="AO290" s="200"/>
      <c r="AP290" s="217"/>
      <c r="AQ290" s="217"/>
      <c r="AR290" s="217"/>
      <c r="AS290" s="217"/>
      <c r="AT290" s="217"/>
      <c r="AU290" s="217"/>
      <c r="AV290" s="217"/>
      <c r="AW290" s="217"/>
      <c r="AX290" s="217"/>
      <c r="AY290" s="217"/>
      <c r="AZ290" s="217"/>
      <c r="BA290" s="217"/>
      <c r="BB290" s="217"/>
      <c r="BC290" s="217"/>
      <c r="BE290" s="200"/>
    </row>
    <row r="291" spans="11:57" hidden="1">
      <c r="K291" s="200"/>
      <c r="L291" s="206"/>
      <c r="M291" s="200"/>
      <c r="O291" s="200"/>
      <c r="Q291" s="200"/>
      <c r="S291" s="200"/>
      <c r="U291" s="200"/>
      <c r="V291" s="217"/>
      <c r="W291" s="200"/>
      <c r="X291" s="217"/>
      <c r="Y291" s="200"/>
      <c r="Z291" s="217"/>
      <c r="AA291" s="200"/>
      <c r="AB291" s="217"/>
      <c r="AC291" s="200"/>
      <c r="AD291" s="217"/>
      <c r="AE291" s="200"/>
      <c r="AF291" s="217"/>
      <c r="AG291" s="200"/>
      <c r="AH291" s="217"/>
      <c r="AI291" s="200"/>
      <c r="AK291" s="200"/>
      <c r="AM291" s="217"/>
      <c r="AO291" s="200"/>
      <c r="AP291" s="217"/>
      <c r="AQ291" s="217"/>
      <c r="AR291" s="217"/>
      <c r="AS291" s="217"/>
      <c r="AT291" s="217"/>
      <c r="AU291" s="217"/>
      <c r="AV291" s="217"/>
      <c r="AW291" s="217"/>
      <c r="AX291" s="217"/>
      <c r="AY291" s="217"/>
      <c r="AZ291" s="217"/>
      <c r="BA291" s="217"/>
      <c r="BB291" s="217"/>
      <c r="BC291" s="217"/>
      <c r="BE291" s="200"/>
    </row>
    <row r="292" spans="11:57" hidden="1">
      <c r="K292" s="200"/>
      <c r="L292" s="206"/>
      <c r="M292" s="200"/>
      <c r="O292" s="200"/>
      <c r="Q292" s="200"/>
      <c r="S292" s="200"/>
      <c r="U292" s="200"/>
      <c r="V292" s="217"/>
      <c r="W292" s="200"/>
      <c r="X292" s="217"/>
      <c r="Y292" s="200"/>
      <c r="Z292" s="217"/>
      <c r="AA292" s="200"/>
      <c r="AB292" s="217"/>
      <c r="AC292" s="200"/>
      <c r="AD292" s="217"/>
      <c r="AE292" s="200"/>
      <c r="AF292" s="217"/>
      <c r="AG292" s="200"/>
      <c r="AH292" s="217"/>
      <c r="AI292" s="200"/>
      <c r="AK292" s="200"/>
      <c r="AM292" s="217"/>
      <c r="AO292" s="200"/>
      <c r="AP292" s="217"/>
      <c r="AQ292" s="217"/>
      <c r="AR292" s="217"/>
      <c r="AS292" s="217"/>
      <c r="AT292" s="217"/>
      <c r="AU292" s="217"/>
      <c r="AV292" s="217"/>
      <c r="AW292" s="217"/>
      <c r="AX292" s="217"/>
      <c r="AY292" s="217"/>
      <c r="AZ292" s="217"/>
      <c r="BA292" s="217"/>
      <c r="BB292" s="217"/>
      <c r="BC292" s="217"/>
      <c r="BE292" s="200"/>
    </row>
    <row r="293" spans="11:57" hidden="1">
      <c r="K293" s="200"/>
      <c r="L293" s="206"/>
      <c r="M293" s="200"/>
      <c r="O293" s="200"/>
      <c r="Q293" s="200"/>
      <c r="S293" s="200"/>
      <c r="U293" s="200"/>
      <c r="V293" s="217"/>
      <c r="W293" s="200"/>
      <c r="X293" s="217"/>
      <c r="Y293" s="200"/>
      <c r="Z293" s="217"/>
      <c r="AA293" s="200"/>
      <c r="AB293" s="217"/>
      <c r="AC293" s="200"/>
      <c r="AD293" s="217"/>
      <c r="AE293" s="200"/>
      <c r="AF293" s="217"/>
      <c r="AK293" s="200"/>
      <c r="AM293" s="217"/>
      <c r="BE293" s="200"/>
    </row>
    <row r="294" spans="11:57" hidden="1">
      <c r="AK294" s="200"/>
      <c r="BE294" s="200"/>
    </row>
    <row r="295" spans="11:57" hidden="1">
      <c r="AK295" s="200"/>
      <c r="BE295" s="200"/>
    </row>
    <row r="296" spans="11:57" hidden="1">
      <c r="AK296" s="200"/>
      <c r="BE296" s="200"/>
    </row>
    <row r="297" spans="11:57" hidden="1">
      <c r="AK297" s="200"/>
      <c r="BE297" s="200"/>
    </row>
    <row r="298" spans="11:57" hidden="1">
      <c r="AK298" s="200"/>
      <c r="BE298" s="200"/>
    </row>
    <row r="299" spans="11:57" hidden="1">
      <c r="AK299" s="200"/>
      <c r="BE299" s="200"/>
    </row>
    <row r="300" spans="11:57" hidden="1">
      <c r="AK300" s="200"/>
      <c r="BE300" s="200"/>
    </row>
    <row r="301" spans="11:57" hidden="1">
      <c r="AK301" s="200"/>
      <c r="BE301" s="200"/>
    </row>
    <row r="302" spans="11:57" hidden="1">
      <c r="AK302" s="200"/>
      <c r="BE302" s="200"/>
    </row>
    <row r="303" spans="11:57" hidden="1">
      <c r="AK303" s="200"/>
      <c r="BE303" s="200"/>
    </row>
    <row r="304" spans="11:57" hidden="1">
      <c r="AK304" s="200"/>
      <c r="BE304" s="200"/>
    </row>
    <row r="305" spans="37:57" hidden="1">
      <c r="AK305" s="200"/>
      <c r="BE305" s="200"/>
    </row>
    <row r="306" spans="37:57" hidden="1">
      <c r="AK306" s="200"/>
      <c r="BE306" s="200"/>
    </row>
    <row r="307" spans="37:57" hidden="1">
      <c r="AK307" s="200"/>
      <c r="BE307" s="200"/>
    </row>
    <row r="308" spans="37:57" hidden="1">
      <c r="AK308" s="200"/>
      <c r="BE308" s="200"/>
    </row>
    <row r="309" spans="37:57" hidden="1">
      <c r="AK309" s="200"/>
      <c r="BE309" s="200"/>
    </row>
    <row r="310" spans="37:57" hidden="1">
      <c r="AK310" s="200"/>
      <c r="BE310" s="200"/>
    </row>
    <row r="311" spans="37:57" hidden="1">
      <c r="AK311" s="200"/>
      <c r="BE311" s="200"/>
    </row>
    <row r="312" spans="37:57" hidden="1">
      <c r="AK312" s="200"/>
      <c r="BE312" s="200"/>
    </row>
    <row r="313" spans="37:57" hidden="1">
      <c r="AK313" s="200"/>
      <c r="BE313" s="200"/>
    </row>
    <row r="314" spans="37:57" hidden="1">
      <c r="AK314" s="200"/>
      <c r="BE314" s="200"/>
    </row>
    <row r="315" spans="37:57" hidden="1">
      <c r="AK315" s="200"/>
      <c r="BE315" s="200"/>
    </row>
    <row r="316" spans="37:57" hidden="1">
      <c r="AK316" s="200"/>
      <c r="BE316" s="200"/>
    </row>
    <row r="317" spans="37:57" hidden="1">
      <c r="AK317" s="200"/>
      <c r="BE317" s="200"/>
    </row>
    <row r="318" spans="37:57" hidden="1">
      <c r="AK318" s="200"/>
      <c r="BE318" s="200"/>
    </row>
    <row r="319" spans="37:57" hidden="1">
      <c r="AK319" s="200"/>
      <c r="BE319" s="200"/>
    </row>
    <row r="320" spans="37:57" hidden="1">
      <c r="AK320" s="200"/>
      <c r="BE320" s="200"/>
    </row>
    <row r="321" spans="37:57" hidden="1">
      <c r="AK321" s="200"/>
      <c r="BE321" s="200"/>
    </row>
    <row r="322" spans="37:57" hidden="1">
      <c r="AK322" s="200"/>
      <c r="BE322" s="200"/>
    </row>
    <row r="323" spans="37:57" hidden="1">
      <c r="AK323" s="200"/>
      <c r="BE323" s="200"/>
    </row>
    <row r="324" spans="37:57" hidden="1">
      <c r="AK324" s="200"/>
      <c r="BE324" s="200"/>
    </row>
    <row r="325" spans="37:57" hidden="1">
      <c r="AK325" s="200"/>
      <c r="BE325" s="200"/>
    </row>
    <row r="326" spans="37:57" hidden="1">
      <c r="AK326" s="200"/>
      <c r="BE326" s="200"/>
    </row>
    <row r="327" spans="37:57" hidden="1">
      <c r="AK327" s="200"/>
      <c r="BE327" s="200"/>
    </row>
    <row r="328" spans="37:57" hidden="1">
      <c r="AK328" s="200"/>
      <c r="BE328" s="200"/>
    </row>
    <row r="329" spans="37:57" hidden="1">
      <c r="AK329" s="200"/>
      <c r="BE329" s="200"/>
    </row>
    <row r="330" spans="37:57" hidden="1">
      <c r="AK330" s="200"/>
      <c r="BE330" s="200"/>
    </row>
    <row r="331" spans="37:57" hidden="1">
      <c r="AK331" s="200"/>
      <c r="BE331" s="200"/>
    </row>
    <row r="332" spans="37:57" hidden="1"/>
    <row r="333" spans="37:57" hidden="1"/>
    <row r="334" spans="37:57" hidden="1"/>
    <row r="335" spans="37:57" hidden="1"/>
    <row r="336" spans="37:57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spans="1:64" hidden="1"/>
    <row r="418" spans="1:64" hidden="1"/>
    <row r="419" spans="1:64" hidden="1"/>
    <row r="420" spans="1:64" hidden="1"/>
    <row r="421" spans="1:64" s="221" customFormat="1">
      <c r="A421" s="366" t="s">
        <v>319</v>
      </c>
      <c r="B421" s="220"/>
      <c r="E421" s="221">
        <f>E419+E378</f>
        <v>0</v>
      </c>
      <c r="F421" s="225"/>
      <c r="G421" s="221">
        <f>G419+G378</f>
        <v>0</v>
      </c>
      <c r="H421" s="225"/>
      <c r="I421" s="221">
        <f>I419+I378</f>
        <v>0</v>
      </c>
      <c r="J421" s="225"/>
      <c r="K421" s="221">
        <f>K419+K378</f>
        <v>0</v>
      </c>
      <c r="L421" s="225"/>
      <c r="M421" s="221">
        <f>M419+M378</f>
        <v>0</v>
      </c>
      <c r="N421" s="225"/>
      <c r="O421" s="221">
        <f>O419+O378</f>
        <v>0</v>
      </c>
      <c r="P421" s="225"/>
      <c r="Q421" s="221">
        <f>Q419+Q378</f>
        <v>0</v>
      </c>
      <c r="R421" s="225"/>
      <c r="S421" s="221">
        <f>S419+S378</f>
        <v>0</v>
      </c>
      <c r="T421" s="225"/>
      <c r="U421" s="221">
        <f>U419+U378</f>
        <v>0</v>
      </c>
      <c r="V421" s="225"/>
      <c r="W421" s="221">
        <f>W419+W378</f>
        <v>0</v>
      </c>
      <c r="X421" s="225"/>
      <c r="Y421" s="221">
        <f>Y419+Y378</f>
        <v>0</v>
      </c>
      <c r="Z421" s="225"/>
      <c r="AA421" s="221">
        <f>AA419+AA378</f>
        <v>0</v>
      </c>
      <c r="AB421" s="225"/>
      <c r="AC421" s="221">
        <f>AC419+AC378</f>
        <v>0</v>
      </c>
      <c r="AD421" s="225"/>
      <c r="AE421" s="221">
        <f>AE419+AE378</f>
        <v>0</v>
      </c>
      <c r="AF421" s="225"/>
      <c r="AG421" s="221">
        <f>AG419+AG378</f>
        <v>0</v>
      </c>
      <c r="AH421" s="225"/>
      <c r="AI421" s="221">
        <f>AI419+AI378</f>
        <v>0</v>
      </c>
      <c r="AJ421" s="225"/>
      <c r="AK421" s="221">
        <f>AK419+AK378</f>
        <v>0</v>
      </c>
      <c r="AL421" s="225"/>
      <c r="AM421" s="221">
        <f>AM419+AM378</f>
        <v>0</v>
      </c>
      <c r="AN421" s="225"/>
      <c r="AO421" s="221">
        <f>AO419+AO378</f>
        <v>0</v>
      </c>
      <c r="AP421" s="225"/>
      <c r="AQ421" s="221">
        <f>AQ419+AQ378</f>
        <v>0</v>
      </c>
      <c r="AR421" s="225"/>
      <c r="AS421" s="221">
        <f>AS419+AS378</f>
        <v>0</v>
      </c>
      <c r="AT421" s="225"/>
      <c r="AU421" s="221">
        <f>AU419+AU378</f>
        <v>0</v>
      </c>
      <c r="AV421" s="225"/>
      <c r="AW421" s="221">
        <f>AW419+AW378</f>
        <v>0</v>
      </c>
      <c r="AX421" s="225"/>
      <c r="AY421" s="221">
        <f>AY419+AY378</f>
        <v>0</v>
      </c>
      <c r="AZ421" s="225"/>
      <c r="BA421" s="221">
        <f>BA419+BA378</f>
        <v>0</v>
      </c>
      <c r="BB421" s="225"/>
      <c r="BC421" s="473">
        <f>BC419+BC378</f>
        <v>0</v>
      </c>
      <c r="BD421" s="225"/>
      <c r="BE421" s="221">
        <f>BE419+BE378</f>
        <v>0</v>
      </c>
      <c r="BF421" s="225"/>
      <c r="BG421" s="221">
        <f>BG419+BG378</f>
        <v>0</v>
      </c>
      <c r="BH421" s="225"/>
      <c r="BI421" s="221">
        <f>BI419+BI378</f>
        <v>0</v>
      </c>
      <c r="BJ421" s="225"/>
    </row>
    <row r="422" spans="1:64">
      <c r="A422" s="210"/>
      <c r="B422" s="220"/>
      <c r="C422" s="187"/>
      <c r="D422" s="187"/>
      <c r="K422" s="199"/>
      <c r="L422" s="206"/>
      <c r="M422" s="199"/>
      <c r="O422" s="199"/>
      <c r="Q422" s="199"/>
      <c r="S422" s="199"/>
      <c r="U422" s="199"/>
      <c r="V422" s="206"/>
      <c r="W422" s="199"/>
      <c r="X422" s="206"/>
      <c r="Y422" s="199"/>
      <c r="Z422" s="206"/>
      <c r="AA422" s="199"/>
      <c r="AB422" s="206"/>
      <c r="AC422" s="199"/>
      <c r="AD422" s="206"/>
      <c r="AE422" s="199"/>
      <c r="AF422" s="206"/>
      <c r="AM422" s="206"/>
      <c r="BC422" s="478"/>
      <c r="BL422" s="199"/>
    </row>
    <row r="423" spans="1:64">
      <c r="A423" s="210"/>
      <c r="B423" s="220" t="s">
        <v>318</v>
      </c>
      <c r="C423" s="187"/>
      <c r="D423" s="187"/>
      <c r="E423" s="199">
        <v>0</v>
      </c>
      <c r="G423" s="199">
        <v>-1725000</v>
      </c>
      <c r="K423" s="199"/>
      <c r="L423" s="206"/>
      <c r="M423" s="199"/>
      <c r="O423" s="199"/>
      <c r="Q423" s="199"/>
      <c r="S423" s="199"/>
      <c r="U423" s="199"/>
      <c r="V423" s="206"/>
      <c r="W423" s="199"/>
      <c r="X423" s="206"/>
      <c r="Y423" s="199"/>
      <c r="Z423" s="206"/>
      <c r="AA423" s="199"/>
      <c r="AB423" s="206"/>
      <c r="AC423" s="199"/>
      <c r="AD423" s="206"/>
      <c r="AE423" s="199"/>
      <c r="AF423" s="206"/>
      <c r="AK423" s="199">
        <f>SUM(K423:AI423)</f>
        <v>0</v>
      </c>
      <c r="AM423" s="206"/>
      <c r="BC423" s="478">
        <f>SUM(AK423:BB423)</f>
        <v>0</v>
      </c>
      <c r="BE423" s="199">
        <f>G423-BC423</f>
        <v>-1725000</v>
      </c>
      <c r="BG423" s="199">
        <f>BC423+BE423</f>
        <v>-1725000</v>
      </c>
      <c r="BI423" s="199">
        <f>E423-BG423</f>
        <v>1725000</v>
      </c>
      <c r="BL423" s="199"/>
    </row>
    <row r="424" spans="1:64">
      <c r="A424" s="210"/>
      <c r="B424" s="220"/>
      <c r="C424" s="187"/>
      <c r="D424" s="187"/>
      <c r="K424" s="199"/>
      <c r="L424" s="206"/>
      <c r="M424" s="199"/>
      <c r="O424" s="199"/>
      <c r="Q424" s="199"/>
      <c r="S424" s="199"/>
      <c r="U424" s="199"/>
      <c r="V424" s="206"/>
      <c r="W424" s="199"/>
      <c r="X424" s="206"/>
      <c r="Y424" s="199"/>
      <c r="Z424" s="206"/>
      <c r="AA424" s="199"/>
      <c r="AB424" s="206"/>
      <c r="AC424" s="199"/>
      <c r="AD424" s="206"/>
      <c r="AE424" s="199"/>
      <c r="AF424" s="206"/>
      <c r="AM424" s="206"/>
      <c r="BC424" s="478"/>
      <c r="BL424" s="199"/>
    </row>
    <row r="425" spans="1:64" s="229" customFormat="1" ht="13.8" thickBot="1">
      <c r="A425" s="237" t="s">
        <v>1655</v>
      </c>
      <c r="B425" s="236"/>
      <c r="E425" s="238">
        <f>E261+E423</f>
        <v>112383988.14999999</v>
      </c>
      <c r="F425" s="236"/>
      <c r="G425" s="238">
        <f>G261+G423</f>
        <v>116473188.86</v>
      </c>
      <c r="H425" s="236"/>
      <c r="I425" s="238">
        <f>I421+I423</f>
        <v>0</v>
      </c>
      <c r="J425" s="236"/>
      <c r="K425" s="238">
        <f>K421+K423</f>
        <v>0</v>
      </c>
      <c r="L425" s="236"/>
      <c r="M425" s="238">
        <f>M421+M423</f>
        <v>0</v>
      </c>
      <c r="N425" s="236"/>
      <c r="O425" s="238">
        <f>O421+O423</f>
        <v>0</v>
      </c>
      <c r="P425" s="236"/>
      <c r="Q425" s="238">
        <f>Q421+Q423</f>
        <v>0</v>
      </c>
      <c r="R425" s="236"/>
      <c r="S425" s="238">
        <f>S421+S423</f>
        <v>0</v>
      </c>
      <c r="T425" s="236"/>
      <c r="U425" s="238">
        <f>U421+U423</f>
        <v>0</v>
      </c>
      <c r="V425" s="236"/>
      <c r="W425" s="238">
        <f>W421+W423</f>
        <v>0</v>
      </c>
      <c r="X425" s="236"/>
      <c r="Y425" s="238">
        <f>Y421+Y423</f>
        <v>0</v>
      </c>
      <c r="Z425" s="236"/>
      <c r="AA425" s="238">
        <f>AA421+AA423</f>
        <v>0</v>
      </c>
      <c r="AB425" s="236"/>
      <c r="AC425" s="238">
        <f>AC421+AC423</f>
        <v>0</v>
      </c>
      <c r="AD425" s="236"/>
      <c r="AE425" s="238">
        <f>AE421+AE423</f>
        <v>0</v>
      </c>
      <c r="AF425" s="236"/>
      <c r="AG425" s="238">
        <f>AG421+AG423</f>
        <v>0</v>
      </c>
      <c r="AH425" s="236"/>
      <c r="AI425" s="238">
        <f>AI421+AI423</f>
        <v>0</v>
      </c>
      <c r="AJ425" s="236"/>
      <c r="AK425" s="238">
        <f>AK421+AK423</f>
        <v>0</v>
      </c>
      <c r="AL425" s="236"/>
      <c r="AM425" s="238">
        <f>AM421+AM423</f>
        <v>0</v>
      </c>
      <c r="AN425" s="236"/>
      <c r="AO425" s="238">
        <f>AO421+AO423</f>
        <v>0</v>
      </c>
      <c r="AP425" s="236"/>
      <c r="AQ425" s="238">
        <f>AQ421+AQ423</f>
        <v>0</v>
      </c>
      <c r="AR425" s="236"/>
      <c r="AS425" s="238">
        <f>AS421+AS423</f>
        <v>0</v>
      </c>
      <c r="AT425" s="236"/>
      <c r="AU425" s="238">
        <f>AU421+AU423</f>
        <v>0</v>
      </c>
      <c r="AV425" s="236"/>
      <c r="AW425" s="238">
        <f>AW421+AW423</f>
        <v>0</v>
      </c>
      <c r="AX425" s="236"/>
      <c r="AY425" s="238">
        <f>AY421+AY423</f>
        <v>0</v>
      </c>
      <c r="AZ425" s="236"/>
      <c r="BA425" s="238">
        <f>BA421+BA423</f>
        <v>0</v>
      </c>
      <c r="BB425" s="236"/>
      <c r="BC425" s="474">
        <f>BC421+BC423</f>
        <v>0</v>
      </c>
      <c r="BD425" s="236"/>
      <c r="BE425" s="238">
        <f>BE421+BE423</f>
        <v>-1725000</v>
      </c>
      <c r="BF425" s="236"/>
      <c r="BG425" s="238">
        <f>BG421+BG423</f>
        <v>-1725000</v>
      </c>
      <c r="BH425" s="236"/>
      <c r="BI425" s="238">
        <f>BI421+BI423</f>
        <v>1725000</v>
      </c>
      <c r="BJ425" s="236"/>
    </row>
    <row r="426" spans="1:64" ht="13.8" thickTop="1"/>
  </sheetData>
  <mergeCells count="1">
    <mergeCell ref="A288:B288"/>
  </mergeCells>
  <phoneticPr fontId="50" type="noConversion"/>
  <printOptions horizontalCentered="1"/>
  <pageMargins left="0.2" right="0.25" top="0.52" bottom="0.21" header="0" footer="0"/>
  <pageSetup scale="40" fitToHeight="4" orientation="landscape" horizontalDpi="300" verticalDpi="300" r:id="rId1"/>
  <headerFooter alignWithMargins="0"/>
  <rowBreaks count="2" manualBreakCount="2">
    <brk id="94" max="60" man="1"/>
    <brk id="158" max="44" man="1"/>
  </rowBreaks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J31"/>
  <sheetViews>
    <sheetView topLeftCell="A5" workbookViewId="0">
      <selection activeCell="J30" sqref="J30"/>
    </sheetView>
  </sheetViews>
  <sheetFormatPr defaultRowHeight="13.2"/>
  <cols>
    <col min="2" max="2" width="5.33203125" customWidth="1"/>
    <col min="3" max="3" width="1.5546875" customWidth="1"/>
    <col min="4" max="4" width="21.44140625" customWidth="1"/>
    <col min="5" max="5" width="2.88671875" customWidth="1"/>
    <col min="6" max="6" width="18.6640625" customWidth="1"/>
    <col min="7" max="7" width="2.109375" customWidth="1"/>
    <col min="9" max="9" width="2.33203125" customWidth="1"/>
    <col min="10" max="10" width="15.5546875" style="52" customWidth="1"/>
  </cols>
  <sheetData>
    <row r="6" spans="2:10">
      <c r="B6" s="50" t="s">
        <v>463</v>
      </c>
      <c r="C6" s="50"/>
    </row>
    <row r="7" spans="2:10">
      <c r="B7" t="s">
        <v>464</v>
      </c>
    </row>
    <row r="8" spans="2:10">
      <c r="B8" s="19" t="s">
        <v>465</v>
      </c>
      <c r="C8" s="19"/>
    </row>
    <row r="10" spans="2:10">
      <c r="H10" s="54" t="s">
        <v>468</v>
      </c>
      <c r="J10" s="55" t="s">
        <v>470</v>
      </c>
    </row>
    <row r="11" spans="2:10">
      <c r="B11" s="51">
        <v>1998</v>
      </c>
      <c r="C11" s="51"/>
      <c r="F11" s="53" t="s">
        <v>467</v>
      </c>
      <c r="H11" s="53" t="s">
        <v>469</v>
      </c>
    </row>
    <row r="12" spans="2:10">
      <c r="B12" s="51"/>
      <c r="C12" s="51"/>
    </row>
    <row r="13" spans="2:10">
      <c r="D13" t="s">
        <v>466</v>
      </c>
      <c r="F13" s="56">
        <v>36084</v>
      </c>
      <c r="H13">
        <v>107043</v>
      </c>
      <c r="J13" s="52">
        <v>14520.32</v>
      </c>
    </row>
    <row r="14" spans="2:10">
      <c r="D14" t="s">
        <v>466</v>
      </c>
      <c r="F14" s="56">
        <v>36130</v>
      </c>
      <c r="H14">
        <v>110023</v>
      </c>
      <c r="J14" s="52">
        <v>7378.21</v>
      </c>
    </row>
    <row r="15" spans="2:10">
      <c r="J15" s="57">
        <f>SUM(J13:J14)</f>
        <v>21898.53</v>
      </c>
    </row>
    <row r="16" spans="2:10">
      <c r="J16" s="58"/>
    </row>
    <row r="17" spans="2:10">
      <c r="D17" t="s">
        <v>471</v>
      </c>
      <c r="F17" s="56">
        <v>36088</v>
      </c>
      <c r="H17">
        <v>10273443</v>
      </c>
      <c r="J17" s="52">
        <v>1704.5</v>
      </c>
    </row>
    <row r="18" spans="2:10">
      <c r="D18" t="s">
        <v>471</v>
      </c>
      <c r="F18" s="56">
        <v>36119</v>
      </c>
      <c r="H18">
        <v>10280035</v>
      </c>
      <c r="J18" s="52">
        <v>780.46</v>
      </c>
    </row>
    <row r="19" spans="2:10">
      <c r="J19" s="57">
        <f>SUM(J17:J18)</f>
        <v>2484.96</v>
      </c>
    </row>
    <row r="21" spans="2:10">
      <c r="F21" t="s">
        <v>472</v>
      </c>
      <c r="J21" s="58">
        <f>J19+J15</f>
        <v>24383.489999999998</v>
      </c>
    </row>
    <row r="22" spans="2:10">
      <c r="J22" s="58"/>
    </row>
    <row r="23" spans="2:10">
      <c r="B23" s="51">
        <v>1999</v>
      </c>
    </row>
    <row r="25" spans="2:10">
      <c r="D25" t="s">
        <v>466</v>
      </c>
      <c r="F25" s="56">
        <v>36186</v>
      </c>
      <c r="H25">
        <v>113636</v>
      </c>
      <c r="J25" s="52">
        <v>6134.01</v>
      </c>
    </row>
    <row r="26" spans="2:10">
      <c r="D26" t="s">
        <v>466</v>
      </c>
      <c r="F26" s="56">
        <v>36200</v>
      </c>
      <c r="H26">
        <v>114283</v>
      </c>
      <c r="J26" s="52">
        <v>9917.44</v>
      </c>
    </row>
    <row r="27" spans="2:10">
      <c r="D27" t="s">
        <v>466</v>
      </c>
      <c r="F27" s="56">
        <v>36294</v>
      </c>
      <c r="H27">
        <v>120375</v>
      </c>
      <c r="J27" s="52">
        <v>43465.95</v>
      </c>
    </row>
    <row r="28" spans="2:10">
      <c r="F28" t="s">
        <v>474</v>
      </c>
      <c r="J28" s="57">
        <f>SUM(J25:J27)</f>
        <v>59517.399999999994</v>
      </c>
    </row>
    <row r="30" spans="2:10" ht="13.8" thickBot="1">
      <c r="D30" t="s">
        <v>473</v>
      </c>
      <c r="J30" s="59">
        <f>J28+J21</f>
        <v>83900.889999999985</v>
      </c>
    </row>
    <row r="31" spans="2:10" ht="13.8" thickTop="1"/>
  </sheetData>
  <phoneticPr fontId="50" type="noConversion"/>
  <pageMargins left="0.75" right="0.75" top="1" bottom="1" header="0.5" footer="0.5"/>
  <pageSetup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workbookViewId="0"/>
  </sheetViews>
  <sheetFormatPr defaultRowHeight="13.2"/>
  <cols>
    <col min="1" max="1" width="2" bestFit="1" customWidth="1"/>
    <col min="2" max="3" width="4.6640625" customWidth="1"/>
  </cols>
  <sheetData>
    <row r="1" spans="1:4">
      <c r="B1" s="37" t="s">
        <v>370</v>
      </c>
    </row>
    <row r="3" spans="1:4">
      <c r="A3">
        <v>1</v>
      </c>
      <c r="B3" t="s">
        <v>403</v>
      </c>
    </row>
    <row r="5" spans="1:4">
      <c r="A5">
        <v>2</v>
      </c>
      <c r="B5" t="s">
        <v>371</v>
      </c>
    </row>
    <row r="6" spans="1:4">
      <c r="C6" t="s">
        <v>422</v>
      </c>
    </row>
    <row r="8" spans="1:4">
      <c r="A8">
        <v>3</v>
      </c>
      <c r="B8" t="s">
        <v>372</v>
      </c>
    </row>
    <row r="9" spans="1:4">
      <c r="C9" t="s">
        <v>373</v>
      </c>
    </row>
    <row r="10" spans="1:4">
      <c r="C10" t="s">
        <v>374</v>
      </c>
    </row>
    <row r="11" spans="1:4">
      <c r="C11" t="s">
        <v>375</v>
      </c>
    </row>
    <row r="12" spans="1:4">
      <c r="D12" t="s">
        <v>423</v>
      </c>
    </row>
    <row r="13" spans="1:4">
      <c r="D13" t="s">
        <v>376</v>
      </c>
    </row>
    <row r="15" spans="1:4">
      <c r="A15">
        <v>4</v>
      </c>
      <c r="B15" t="s">
        <v>371</v>
      </c>
    </row>
    <row r="16" spans="1:4">
      <c r="C16" t="s">
        <v>402</v>
      </c>
    </row>
  </sheetData>
  <phoneticPr fontId="50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9" workbookViewId="0">
      <selection activeCell="E41" sqref="E41"/>
    </sheetView>
  </sheetViews>
  <sheetFormatPr defaultRowHeight="13.2"/>
  <cols>
    <col min="4" max="4" width="10.44140625" customWidth="1"/>
    <col min="5" max="5" width="14.88671875" bestFit="1" customWidth="1"/>
    <col min="6" max="6" width="2.88671875" customWidth="1"/>
  </cols>
  <sheetData>
    <row r="1" spans="1:5" ht="17.399999999999999">
      <c r="A1" s="25" t="s">
        <v>304</v>
      </c>
    </row>
    <row r="2" spans="1:5" ht="17.399999999999999">
      <c r="A2" s="25" t="s">
        <v>313</v>
      </c>
    </row>
    <row r="5" spans="1:5">
      <c r="A5" s="6" t="s">
        <v>314</v>
      </c>
    </row>
    <row r="6" spans="1:5">
      <c r="A6" t="s">
        <v>316</v>
      </c>
      <c r="E6" s="8">
        <v>26785396</v>
      </c>
    </row>
    <row r="7" spans="1:5">
      <c r="B7" t="s">
        <v>315</v>
      </c>
      <c r="E7" s="18">
        <f>32000000-E6</f>
        <v>5214604</v>
      </c>
    </row>
    <row r="8" spans="1:5">
      <c r="E8" s="17">
        <f>SUM(E6:E7)</f>
        <v>32000000</v>
      </c>
    </row>
    <row r="10" spans="1:5">
      <c r="A10" s="6" t="s">
        <v>317</v>
      </c>
    </row>
    <row r="11" spans="1:5">
      <c r="B11" t="s">
        <v>332</v>
      </c>
      <c r="E11" s="22">
        <v>1347000</v>
      </c>
    </row>
    <row r="12" spans="1:5">
      <c r="B12" t="s">
        <v>322</v>
      </c>
      <c r="E12" s="22">
        <v>500000</v>
      </c>
    </row>
    <row r="13" spans="1:5">
      <c r="B13" t="s">
        <v>329</v>
      </c>
      <c r="E13" s="23">
        <f>E11*0.1</f>
        <v>134700</v>
      </c>
    </row>
    <row r="14" spans="1:5">
      <c r="E14" s="22">
        <f>SUM(E11:E13)</f>
        <v>1981700</v>
      </c>
    </row>
    <row r="15" spans="1:5">
      <c r="E15" s="15"/>
    </row>
    <row r="16" spans="1:5">
      <c r="A16" s="6" t="s">
        <v>323</v>
      </c>
      <c r="E16" s="15"/>
    </row>
    <row r="17" spans="1:7">
      <c r="B17" t="s">
        <v>324</v>
      </c>
      <c r="E17" s="22">
        <v>27502700</v>
      </c>
    </row>
    <row r="18" spans="1:7">
      <c r="B18" t="s">
        <v>340</v>
      </c>
      <c r="E18" s="22">
        <f>3600000-E19</f>
        <v>2700000</v>
      </c>
    </row>
    <row r="19" spans="1:7">
      <c r="B19" t="s">
        <v>341</v>
      </c>
      <c r="E19" s="22">
        <v>900000</v>
      </c>
    </row>
    <row r="20" spans="1:7">
      <c r="B20" t="s">
        <v>325</v>
      </c>
      <c r="E20" s="26">
        <v>-700000</v>
      </c>
      <c r="G20" t="s">
        <v>335</v>
      </c>
    </row>
    <row r="21" spans="1:7">
      <c r="B21" t="s">
        <v>330</v>
      </c>
      <c r="E21" s="22">
        <v>1307660</v>
      </c>
    </row>
    <row r="22" spans="1:7">
      <c r="B22" t="s">
        <v>325</v>
      </c>
      <c r="E22" s="22">
        <v>-200500</v>
      </c>
      <c r="G22" t="s">
        <v>335</v>
      </c>
    </row>
    <row r="23" spans="1:7">
      <c r="B23" t="s">
        <v>334</v>
      </c>
      <c r="E23" s="22">
        <f>254805*5</f>
        <v>1274025</v>
      </c>
    </row>
    <row r="24" spans="1:7">
      <c r="B24" t="s">
        <v>325</v>
      </c>
      <c r="E24" s="22">
        <v>-100000</v>
      </c>
      <c r="G24" t="s">
        <v>335</v>
      </c>
    </row>
    <row r="25" spans="1:7">
      <c r="B25" t="s">
        <v>333</v>
      </c>
      <c r="E25" s="23">
        <f>E23*0.07</f>
        <v>89181.750000000015</v>
      </c>
    </row>
    <row r="26" spans="1:7">
      <c r="E26" s="24">
        <f>SUM(E17:E25)</f>
        <v>32773066.75</v>
      </c>
    </row>
    <row r="29" spans="1:7">
      <c r="A29" s="6" t="s">
        <v>326</v>
      </c>
    </row>
    <row r="30" spans="1:7">
      <c r="B30" s="19" t="s">
        <v>327</v>
      </c>
      <c r="E30" s="17">
        <f>27500000/4</f>
        <v>6875000</v>
      </c>
    </row>
    <row r="31" spans="1:7">
      <c r="B31" t="s">
        <v>328</v>
      </c>
      <c r="E31" s="17">
        <f>2000000/4</f>
        <v>500000</v>
      </c>
    </row>
    <row r="32" spans="1:7">
      <c r="B32" t="s">
        <v>321</v>
      </c>
      <c r="E32" s="18">
        <v>0</v>
      </c>
    </row>
    <row r="33" spans="1:7">
      <c r="E33" s="5">
        <f>SUM(E30:E32)</f>
        <v>7375000</v>
      </c>
    </row>
    <row r="34" spans="1:7">
      <c r="E34" s="5"/>
    </row>
    <row r="35" spans="1:7">
      <c r="A35" s="6" t="s">
        <v>331</v>
      </c>
      <c r="E35" s="28">
        <v>0</v>
      </c>
      <c r="G35" t="s">
        <v>342</v>
      </c>
    </row>
    <row r="36" spans="1:7" ht="8.25" customHeight="1">
      <c r="E36" s="13"/>
    </row>
    <row r="37" spans="1:7">
      <c r="A37" s="6" t="s">
        <v>337</v>
      </c>
      <c r="E37" s="29">
        <f>E35+E33+E26+E14+E8</f>
        <v>74129766.75</v>
      </c>
    </row>
    <row r="39" spans="1:7">
      <c r="A39" s="6" t="s">
        <v>336</v>
      </c>
      <c r="E39" s="30">
        <v>10870000</v>
      </c>
    </row>
    <row r="40" spans="1:7" ht="8.25" customHeight="1"/>
    <row r="41" spans="1:7" ht="13.8" thickBot="1">
      <c r="A41" s="6" t="s">
        <v>338</v>
      </c>
      <c r="E41" s="27">
        <f>E37+E39</f>
        <v>84999766.75</v>
      </c>
    </row>
    <row r="42" spans="1:7" ht="13.8" thickTop="1"/>
  </sheetData>
  <phoneticPr fontId="50" type="noConversion"/>
  <pageMargins left="0.75" right="0.75" top="1" bottom="1" header="0.5" footer="0.5"/>
  <pageSetup scale="96" orientation="portrait" verticalDpi="300" r:id="rId1"/>
  <headerFooter alignWithMargins="0">
    <oddFooter>&amp;R&amp;F&amp;A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5" sqref="G5"/>
    </sheetView>
  </sheetViews>
  <sheetFormatPr defaultColWidth="9.109375" defaultRowHeight="13.2"/>
  <cols>
    <col min="1" max="1" width="11.33203125" style="17" customWidth="1"/>
    <col min="2" max="2" width="5.5546875" style="17" customWidth="1"/>
    <col min="3" max="3" width="11.33203125" style="17" bestFit="1" customWidth="1"/>
    <col min="4" max="4" width="3.33203125" style="17" customWidth="1"/>
    <col min="5" max="5" width="10.33203125" style="17" bestFit="1" customWidth="1"/>
    <col min="6" max="6" width="2.6640625" style="17" customWidth="1"/>
    <col min="7" max="7" width="13.44140625" style="17" bestFit="1" customWidth="1"/>
    <col min="8" max="8" width="2.33203125" style="17" customWidth="1"/>
    <col min="9" max="16384" width="9.109375" style="17"/>
  </cols>
  <sheetData>
    <row r="1" spans="1:7" ht="17.399999999999999">
      <c r="A1" s="16" t="s">
        <v>301</v>
      </c>
    </row>
    <row r="3" spans="1:7">
      <c r="C3" s="1" t="s">
        <v>309</v>
      </c>
      <c r="E3" s="1" t="s">
        <v>307</v>
      </c>
    </row>
    <row r="4" spans="1:7">
      <c r="C4" s="1" t="s">
        <v>310</v>
      </c>
      <c r="E4" s="1" t="s">
        <v>311</v>
      </c>
      <c r="G4" s="1" t="s">
        <v>353</v>
      </c>
    </row>
    <row r="5" spans="1:7">
      <c r="C5" s="1"/>
    </row>
    <row r="6" spans="1:7">
      <c r="A6" s="3" t="s">
        <v>303</v>
      </c>
      <c r="C6" s="17">
        <v>395276</v>
      </c>
      <c r="E6" s="17">
        <v>587051</v>
      </c>
      <c r="G6" s="17">
        <f>E6-C6</f>
        <v>191775</v>
      </c>
    </row>
    <row r="7" spans="1:7">
      <c r="A7" s="3"/>
      <c r="G7" s="17">
        <f t="shared" ref="G7:G14" si="0">E7-C7</f>
        <v>0</v>
      </c>
    </row>
    <row r="8" spans="1:7">
      <c r="A8" s="3" t="s">
        <v>305</v>
      </c>
      <c r="C8" s="17">
        <v>395276</v>
      </c>
      <c r="E8" s="17">
        <v>620100</v>
      </c>
      <c r="G8" s="17">
        <f t="shared" si="0"/>
        <v>224824</v>
      </c>
    </row>
    <row r="9" spans="1:7">
      <c r="A9" s="3"/>
    </row>
    <row r="10" spans="1:7">
      <c r="A10" s="3" t="s">
        <v>304</v>
      </c>
      <c r="C10" s="17">
        <v>395276</v>
      </c>
      <c r="E10" s="17">
        <v>641831</v>
      </c>
      <c r="G10" s="17">
        <f t="shared" si="0"/>
        <v>246555</v>
      </c>
    </row>
    <row r="11" spans="1:7">
      <c r="A11" s="3"/>
    </row>
    <row r="12" spans="1:7">
      <c r="A12" s="3" t="s">
        <v>302</v>
      </c>
      <c r="C12" s="18">
        <v>395276</v>
      </c>
      <c r="E12" s="18">
        <v>225000</v>
      </c>
      <c r="F12" s="17" t="s">
        <v>312</v>
      </c>
      <c r="G12" s="18">
        <f t="shared" si="0"/>
        <v>-170276</v>
      </c>
    </row>
    <row r="14" spans="1:7" s="3" customFormat="1">
      <c r="A14" s="3" t="s">
        <v>306</v>
      </c>
      <c r="C14" s="3">
        <f>SUM(C6:C12)</f>
        <v>1581104</v>
      </c>
      <c r="E14" s="3">
        <f>SUM(E6:E12)</f>
        <v>2073982</v>
      </c>
      <c r="G14" s="3">
        <f t="shared" si="0"/>
        <v>492878</v>
      </c>
    </row>
    <row r="16" spans="1:7">
      <c r="E16" s="17" t="s">
        <v>339</v>
      </c>
    </row>
  </sheetData>
  <phoneticPr fontId="50" type="noConversion"/>
  <pageMargins left="0.75" right="0.75" top="1" bottom="1" header="0.5" footer="0.5"/>
  <pageSetup orientation="portrait" verticalDpi="300" r:id="rId1"/>
  <headerFooter alignWithMargins="0">
    <oddFooter>&amp;R&amp;F&amp;A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257"/>
  <sheetViews>
    <sheetView tabSelected="1" zoomScale="90" zoomScaleNormal="90" zoomScaleSheetLayoutView="100" workbookViewId="0">
      <selection activeCell="A35" sqref="A35"/>
    </sheetView>
  </sheetViews>
  <sheetFormatPr defaultColWidth="9.109375" defaultRowHeight="13.2"/>
  <cols>
    <col min="1" max="1" width="18.33203125" style="257" customWidth="1"/>
    <col min="2" max="2" width="3.109375" style="257" customWidth="1"/>
    <col min="3" max="3" width="15" style="257" customWidth="1"/>
    <col min="4" max="4" width="2.44140625" style="257" customWidth="1"/>
    <col min="5" max="5" width="15.88671875" style="257" bestFit="1" customWidth="1"/>
    <col min="6" max="6" width="2.44140625" style="257" customWidth="1"/>
    <col min="7" max="7" width="25.6640625" style="257" bestFit="1" customWidth="1"/>
    <col min="8" max="8" width="2.44140625" style="257" customWidth="1"/>
    <col min="9" max="9" width="16.33203125" style="257" bestFit="1" customWidth="1"/>
    <col min="10" max="10" width="2.44140625" style="257" customWidth="1"/>
    <col min="11" max="11" width="22.109375" style="257" customWidth="1"/>
    <col min="12" max="12" width="2.109375" style="257" customWidth="1"/>
    <col min="13" max="13" width="18.5546875" style="257" customWidth="1"/>
    <col min="14" max="14" width="3.88671875" style="257" customWidth="1"/>
    <col min="15" max="15" width="13.33203125" style="257" customWidth="1"/>
    <col min="16" max="16" width="2.109375" style="257" customWidth="1"/>
    <col min="17" max="17" width="21.109375" style="257" customWidth="1"/>
    <col min="18" max="59" width="9.109375" style="257"/>
    <col min="60" max="60" width="1.5546875" style="257" customWidth="1"/>
    <col min="61" max="16384" width="9.109375" style="257"/>
  </cols>
  <sheetData>
    <row r="1" spans="1:61" ht="15.6">
      <c r="A1" s="256" t="s">
        <v>365</v>
      </c>
    </row>
    <row r="2" spans="1:61" ht="15.6">
      <c r="A2" s="256" t="s">
        <v>406</v>
      </c>
      <c r="I2" s="258"/>
      <c r="L2" s="259" t="s">
        <v>362</v>
      </c>
      <c r="Q2" s="258">
        <f ca="1">NOW()</f>
        <v>36894.436499421296</v>
      </c>
    </row>
    <row r="3" spans="1:61" ht="15.6">
      <c r="A3" s="260" t="s">
        <v>440</v>
      </c>
      <c r="I3" s="258"/>
      <c r="L3" s="259"/>
      <c r="Q3" s="258"/>
    </row>
    <row r="4" spans="1:61" ht="15.6">
      <c r="A4" s="256" t="s">
        <v>420</v>
      </c>
      <c r="L4" s="259" t="s">
        <v>363</v>
      </c>
      <c r="Q4" s="44" t="s">
        <v>503</v>
      </c>
    </row>
    <row r="5" spans="1:61" ht="15.6">
      <c r="A5" s="260" t="s">
        <v>421</v>
      </c>
      <c r="K5" s="9"/>
      <c r="Q5" s="261"/>
    </row>
    <row r="6" spans="1:61" ht="16.2" thickBot="1">
      <c r="A6" s="256"/>
      <c r="K6" s="9"/>
      <c r="Q6" s="261"/>
      <c r="BI6" s="509">
        <v>36860</v>
      </c>
    </row>
    <row r="7" spans="1:61" ht="16.2" thickBot="1">
      <c r="A7" s="256"/>
      <c r="I7" s="252" t="s">
        <v>360</v>
      </c>
      <c r="J7" s="253"/>
      <c r="K7" s="253"/>
      <c r="L7" s="253"/>
      <c r="M7" s="254"/>
      <c r="N7" s="256"/>
      <c r="O7" s="256"/>
    </row>
    <row r="8" spans="1:61">
      <c r="A8" s="262"/>
      <c r="C8" s="262"/>
      <c r="E8" s="10" t="s">
        <v>288</v>
      </c>
      <c r="G8" s="10" t="s">
        <v>289</v>
      </c>
      <c r="I8" s="38" t="s">
        <v>290</v>
      </c>
      <c r="J8" s="263"/>
      <c r="K8" s="39" t="s">
        <v>298</v>
      </c>
      <c r="L8" s="263"/>
      <c r="M8" s="40" t="s">
        <v>366</v>
      </c>
      <c r="O8" s="10" t="s">
        <v>404</v>
      </c>
      <c r="Q8" s="10" t="s">
        <v>291</v>
      </c>
    </row>
    <row r="9" spans="1:61">
      <c r="A9" s="12" t="s">
        <v>295</v>
      </c>
      <c r="C9" s="12" t="s">
        <v>293</v>
      </c>
      <c r="E9" s="306" t="s">
        <v>441</v>
      </c>
      <c r="F9" s="264"/>
      <c r="G9" s="306" t="str">
        <f>ENA!G7</f>
        <v>as of 12/28/00</v>
      </c>
      <c r="I9" s="41" t="str">
        <f>+Q4</f>
        <v>as of 12/28/00</v>
      </c>
      <c r="J9" s="265"/>
      <c r="K9" s="35" t="str">
        <f>+Q4</f>
        <v>as of 12/28/00</v>
      </c>
      <c r="L9" s="265"/>
      <c r="M9" s="42" t="str">
        <f>+Q4</f>
        <v>as of 12/28/00</v>
      </c>
      <c r="O9" s="11" t="s">
        <v>1090</v>
      </c>
      <c r="Q9" s="11" t="s">
        <v>292</v>
      </c>
    </row>
    <row r="10" spans="1:61">
      <c r="A10" s="276"/>
      <c r="C10" s="10"/>
      <c r="E10" s="276"/>
      <c r="G10" s="276"/>
      <c r="I10" s="266"/>
      <c r="J10" s="265"/>
      <c r="K10" s="262"/>
      <c r="L10" s="265"/>
      <c r="M10" s="267"/>
      <c r="O10" s="262"/>
      <c r="Q10" s="262"/>
    </row>
    <row r="11" spans="1:61">
      <c r="A11" s="268" t="str">
        <f>+ENA!$A$2</f>
        <v>Doyle I, LLC</v>
      </c>
      <c r="C11" s="269">
        <f>+ENA!$E$3</f>
        <v>342</v>
      </c>
      <c r="E11" s="270">
        <f>+ENA!$E$273/1000</f>
        <v>112383.98795</v>
      </c>
      <c r="F11" s="271"/>
      <c r="G11" s="272">
        <f>+ENA!$G$273/1000</f>
        <v>116563.00406000002</v>
      </c>
      <c r="H11" s="271"/>
      <c r="I11" s="273">
        <f>ENA!BM273/1000</f>
        <v>122175.57736000001</v>
      </c>
      <c r="J11" s="265"/>
      <c r="K11" s="272">
        <f>ENA!BO281/1000</f>
        <v>-5579.1372699999993</v>
      </c>
      <c r="L11" s="265"/>
      <c r="M11" s="274">
        <f>+K11+I11</f>
        <v>116596.44009000002</v>
      </c>
      <c r="O11" s="272">
        <f>+E11-M11</f>
        <v>-4212.4521400000231</v>
      </c>
      <c r="Q11" s="275">
        <f>+I11/M11</f>
        <v>1.0478499795164715</v>
      </c>
    </row>
    <row r="12" spans="1:61">
      <c r="A12" s="276"/>
      <c r="C12" s="269"/>
      <c r="E12" s="277"/>
      <c r="F12" s="271"/>
      <c r="G12" s="278"/>
      <c r="H12" s="271"/>
      <c r="I12" s="279"/>
      <c r="J12" s="265"/>
      <c r="K12" s="278"/>
      <c r="L12" s="265"/>
      <c r="M12" s="280"/>
      <c r="O12" s="278"/>
      <c r="Q12" s="281"/>
      <c r="BC12" s="257">
        <f>8590+229895+438083+25212+72457+15000</f>
        <v>789237</v>
      </c>
      <c r="BE12" s="257">
        <f>7863+68234+142486+65744</f>
        <v>284327</v>
      </c>
      <c r="BG12" s="257">
        <f>-3855-777441</f>
        <v>-781296</v>
      </c>
    </row>
    <row r="13" spans="1:61" ht="8.25" customHeight="1">
      <c r="A13" s="276"/>
      <c r="B13" s="265"/>
      <c r="C13" s="282"/>
      <c r="D13" s="265"/>
      <c r="E13" s="282"/>
      <c r="F13" s="265"/>
      <c r="G13" s="282"/>
      <c r="H13" s="265"/>
      <c r="I13" s="283"/>
      <c r="J13" s="265"/>
      <c r="K13" s="282"/>
      <c r="L13" s="265"/>
      <c r="M13" s="284"/>
      <c r="N13" s="265"/>
      <c r="O13" s="282"/>
      <c r="P13" s="265"/>
      <c r="Q13" s="276"/>
      <c r="BC13" s="257">
        <f>34965+28387+28551+15000+195034+1286363+2286+72457+25212+438083-15000-72457-25212-438083</f>
        <v>1575586</v>
      </c>
      <c r="BE13" s="257">
        <f>18508+7864+17901+68234+142486+61935+22189+65745-7864-68234-142486-61935-22189-65745</f>
        <v>36409</v>
      </c>
      <c r="BG13" s="257">
        <f>1312875-777441+218197-21644+843-47891-88371-1185+3000-3855+3855+777441</f>
        <v>1375824</v>
      </c>
      <c r="BI13" s="257">
        <f>3000-3855+1194852</f>
        <v>1193997</v>
      </c>
    </row>
    <row r="14" spans="1:61">
      <c r="A14" s="285" t="s">
        <v>296</v>
      </c>
      <c r="B14" s="286"/>
      <c r="C14" s="287">
        <f>SUM(C11:C12)</f>
        <v>342</v>
      </c>
      <c r="D14" s="265"/>
      <c r="E14" s="288">
        <f>SUM(E11:E12)</f>
        <v>112383.98795</v>
      </c>
      <c r="F14" s="289"/>
      <c r="G14" s="288">
        <f>SUM(G11:G12)</f>
        <v>116563.00406000002</v>
      </c>
      <c r="H14" s="289"/>
      <c r="I14" s="290">
        <f>SUM(I11:I12)</f>
        <v>122175.57736000001</v>
      </c>
      <c r="J14" s="289"/>
      <c r="K14" s="288">
        <f>SUM(K11:K12)</f>
        <v>-5579.1372699999993</v>
      </c>
      <c r="L14" s="265"/>
      <c r="M14" s="291">
        <f>SUM(M11:M12)</f>
        <v>116596.44009000002</v>
      </c>
      <c r="N14" s="265"/>
      <c r="O14" s="288">
        <f>SUM(O10:O12)</f>
        <v>-4212.4521400000231</v>
      </c>
      <c r="P14" s="265"/>
      <c r="Q14" s="292">
        <f>+I14/M14</f>
        <v>1.0478499795164715</v>
      </c>
      <c r="BE14" s="257">
        <f>61935+22189</f>
        <v>84124</v>
      </c>
      <c r="BG14" s="257">
        <f>+-124750</f>
        <v>-124750</v>
      </c>
      <c r="BI14" s="257">
        <v>0</v>
      </c>
    </row>
    <row r="15" spans="1:61" ht="13.8" thickBot="1">
      <c r="A15" s="293" t="s">
        <v>297</v>
      </c>
      <c r="B15" s="286"/>
      <c r="C15" s="293"/>
      <c r="D15" s="265"/>
      <c r="E15" s="294">
        <f>E14/C14</f>
        <v>328.6081519005848</v>
      </c>
      <c r="F15" s="289"/>
      <c r="G15" s="294">
        <f>G14/C14</f>
        <v>340.82749725146203</v>
      </c>
      <c r="H15" s="289"/>
      <c r="I15" s="295"/>
      <c r="J15" s="296"/>
      <c r="K15" s="297"/>
      <c r="L15" s="298"/>
      <c r="M15" s="299"/>
      <c r="N15" s="265"/>
      <c r="O15" s="294"/>
      <c r="P15" s="265"/>
      <c r="Q15" s="300"/>
    </row>
    <row r="16" spans="1:61" s="304" customFormat="1">
      <c r="A16" s="301"/>
      <c r="B16" s="301"/>
      <c r="C16" s="301"/>
      <c r="D16" s="302"/>
      <c r="E16" s="289"/>
      <c r="F16" s="289"/>
      <c r="G16" s="289"/>
      <c r="H16" s="289"/>
      <c r="I16" s="289"/>
      <c r="J16" s="289"/>
      <c r="K16" s="289"/>
      <c r="L16" s="302"/>
      <c r="M16" s="302"/>
      <c r="N16" s="302"/>
      <c r="O16" s="302"/>
      <c r="P16" s="302"/>
      <c r="Q16" s="303"/>
    </row>
    <row r="20" spans="1:17" hidden="1"/>
    <row r="21" spans="1:17" hidden="1"/>
    <row r="22" spans="1:17" hidden="1"/>
    <row r="23" spans="1:17" hidden="1"/>
    <row r="24" spans="1:17" hidden="1"/>
    <row r="25" spans="1:17" hidden="1"/>
    <row r="26" spans="1:17" hidden="1"/>
    <row r="27" spans="1:17" hidden="1"/>
    <row r="28" spans="1:17" hidden="1"/>
    <row r="29" spans="1:17" hidden="1">
      <c r="C29" s="304"/>
      <c r="D29" s="304"/>
      <c r="E29" s="304"/>
      <c r="F29" s="304"/>
      <c r="G29" s="304"/>
      <c r="H29" s="304"/>
      <c r="I29" s="304"/>
      <c r="J29" s="304"/>
      <c r="K29" s="304"/>
      <c r="L29" s="304"/>
    </row>
    <row r="30" spans="1:17" hidden="1">
      <c r="A30" s="14"/>
      <c r="C30" s="304"/>
      <c r="D30" s="304"/>
      <c r="E30" s="304"/>
      <c r="F30" s="304"/>
      <c r="G30" s="304"/>
      <c r="H30" s="304"/>
      <c r="I30" s="304"/>
      <c r="J30" s="304"/>
      <c r="K30" s="304"/>
    </row>
    <row r="31" spans="1:17" ht="13.8" thickBot="1"/>
    <row r="32" spans="1:17" ht="13.8" thickBot="1">
      <c r="A32" s="307" t="s">
        <v>1098</v>
      </c>
      <c r="B32" s="250"/>
      <c r="C32" s="250"/>
      <c r="D32" s="250"/>
      <c r="E32" s="250"/>
      <c r="F32" s="250"/>
      <c r="G32" s="250"/>
      <c r="H32" s="250"/>
      <c r="I32" s="250"/>
      <c r="J32" s="250"/>
      <c r="K32" s="250"/>
      <c r="L32" s="250"/>
      <c r="M32" s="250"/>
      <c r="N32" s="250"/>
      <c r="O32" s="250"/>
      <c r="P32" s="250"/>
      <c r="Q32" s="251"/>
    </row>
    <row r="33" spans="1:61">
      <c r="A33" s="441"/>
      <c r="B33" s="442"/>
      <c r="C33" s="442"/>
      <c r="D33" s="442"/>
      <c r="E33" s="442"/>
      <c r="F33" s="442"/>
      <c r="G33" s="442"/>
      <c r="H33" s="442"/>
      <c r="I33" s="442"/>
      <c r="J33" s="442"/>
      <c r="K33" s="442"/>
      <c r="L33" s="442"/>
      <c r="M33" s="442"/>
      <c r="N33" s="442"/>
      <c r="O33" s="442"/>
      <c r="P33" s="442"/>
      <c r="Q33" s="442"/>
    </row>
    <row r="34" spans="1:61" ht="17.25" customHeight="1">
      <c r="G34" s="461" t="s">
        <v>1219</v>
      </c>
      <c r="K34" s="461" t="s">
        <v>281</v>
      </c>
      <c r="L34" s="2"/>
      <c r="M34" s="461" t="s">
        <v>282</v>
      </c>
      <c r="N34" s="2"/>
      <c r="O34" s="2"/>
    </row>
    <row r="35" spans="1:61" ht="15.75" customHeight="1">
      <c r="A35" s="440" t="s">
        <v>1014</v>
      </c>
      <c r="B35" s="304"/>
      <c r="C35" s="305"/>
      <c r="D35" s="304"/>
      <c r="E35" s="304"/>
      <c r="G35" s="444">
        <f>ENA!BS36/1000</f>
        <v>-5512.8671200000044</v>
      </c>
      <c r="K35" s="444">
        <v>-5400.7466000000013</v>
      </c>
      <c r="L35" s="444"/>
      <c r="M35" s="444">
        <f>G35-K35</f>
        <v>-112.12052000000313</v>
      </c>
      <c r="N35" s="507" t="s">
        <v>312</v>
      </c>
      <c r="O35" s="460"/>
    </row>
    <row r="36" spans="1:61" ht="16.5" customHeight="1">
      <c r="A36" s="440" t="s">
        <v>50</v>
      </c>
      <c r="B36" s="304"/>
      <c r="C36" s="302"/>
      <c r="D36" s="304"/>
      <c r="E36" s="304"/>
      <c r="G36" s="444">
        <f>ENA!BS46/1000</f>
        <v>-956.70958999999993</v>
      </c>
      <c r="K36" s="444">
        <v>-956.70958999999993</v>
      </c>
      <c r="L36" s="444"/>
      <c r="M36" s="444">
        <f t="shared" ref="M36:M48" si="0">G36-K36</f>
        <v>0</v>
      </c>
      <c r="N36" s="444"/>
      <c r="O36" s="460"/>
    </row>
    <row r="37" spans="1:61" ht="16.5" customHeight="1">
      <c r="A37" s="440" t="s">
        <v>205</v>
      </c>
      <c r="B37" s="304"/>
      <c r="C37" s="302"/>
      <c r="D37" s="304"/>
      <c r="E37" s="304"/>
      <c r="G37" s="444">
        <f>ENA!BS164/1000+ENA!BS168/1000+ENA!BS176/1000+ENA!BS178/1000</f>
        <v>-3661.6382400000007</v>
      </c>
      <c r="K37" s="444">
        <v>-3661.6382400000007</v>
      </c>
      <c r="L37" s="444"/>
      <c r="M37" s="444">
        <f t="shared" si="0"/>
        <v>0</v>
      </c>
      <c r="N37" s="507"/>
      <c r="O37" s="460"/>
    </row>
    <row r="38" spans="1:61" ht="16.5" customHeight="1">
      <c r="A38" s="440" t="s">
        <v>1091</v>
      </c>
      <c r="B38" s="304"/>
      <c r="C38" s="302"/>
      <c r="D38" s="304"/>
      <c r="E38" s="304"/>
      <c r="G38" s="444">
        <f>(ENA!BS170+ENA!BS174)/1000</f>
        <v>1178.5135199999986</v>
      </c>
      <c r="K38" s="444">
        <v>1178.5135199999986</v>
      </c>
      <c r="L38" s="444"/>
      <c r="M38" s="444">
        <f t="shared" si="0"/>
        <v>0</v>
      </c>
      <c r="N38" s="444"/>
      <c r="O38" s="460"/>
    </row>
    <row r="39" spans="1:61" ht="16.5" customHeight="1">
      <c r="A39" s="440" t="s">
        <v>315</v>
      </c>
      <c r="B39" s="304"/>
      <c r="C39" s="302"/>
      <c r="D39" s="304"/>
      <c r="E39" s="304"/>
      <c r="G39" s="444">
        <f>ENA!BS180/1000+ENA!BS182/1000</f>
        <v>1694.67</v>
      </c>
      <c r="K39" s="444">
        <v>1694.67</v>
      </c>
      <c r="L39" s="444"/>
      <c r="M39" s="444">
        <f t="shared" si="0"/>
        <v>0</v>
      </c>
      <c r="N39" s="444"/>
      <c r="O39" s="460"/>
    </row>
    <row r="40" spans="1:61" ht="16.5" customHeight="1">
      <c r="A40" s="440" t="s">
        <v>958</v>
      </c>
      <c r="B40" s="304"/>
      <c r="C40" s="302"/>
      <c r="D40" s="304"/>
      <c r="E40" s="304"/>
      <c r="G40" s="444">
        <f>ENA!BS189/1000</f>
        <v>-15.602039999999979</v>
      </c>
      <c r="K40" s="444">
        <v>-47.602039999999981</v>
      </c>
      <c r="L40" s="444"/>
      <c r="M40" s="444">
        <f t="shared" si="0"/>
        <v>32</v>
      </c>
      <c r="N40" s="507" t="s">
        <v>1687</v>
      </c>
      <c r="O40" s="460"/>
    </row>
    <row r="41" spans="1:61" ht="16.5" customHeight="1">
      <c r="A41" s="440" t="s">
        <v>1092</v>
      </c>
      <c r="B41" s="304"/>
      <c r="C41" s="302"/>
      <c r="D41" s="304"/>
      <c r="E41" s="304"/>
      <c r="G41" s="444">
        <f>ENA!BS196/1000</f>
        <v>287.55046000000004</v>
      </c>
      <c r="K41" s="444">
        <v>287.55046000000004</v>
      </c>
      <c r="L41" s="444"/>
      <c r="M41" s="444">
        <f t="shared" si="0"/>
        <v>0</v>
      </c>
      <c r="N41" s="444"/>
      <c r="O41" s="460"/>
    </row>
    <row r="42" spans="1:61" ht="16.5" customHeight="1">
      <c r="A42" s="440" t="s">
        <v>1093</v>
      </c>
      <c r="B42" s="304"/>
      <c r="C42" s="302"/>
      <c r="D42" s="304"/>
      <c r="E42" s="304"/>
      <c r="G42" s="444">
        <f>ENA!BS206/1000</f>
        <v>22.01</v>
      </c>
      <c r="K42" s="444">
        <v>22.01</v>
      </c>
      <c r="L42" s="444"/>
      <c r="M42" s="444">
        <f t="shared" si="0"/>
        <v>0</v>
      </c>
      <c r="N42" s="444"/>
      <c r="O42" s="460"/>
    </row>
    <row r="43" spans="1:61" ht="16.5" customHeight="1">
      <c r="A43" s="440" t="s">
        <v>280</v>
      </c>
      <c r="B43" s="304"/>
      <c r="C43" s="302"/>
      <c r="D43" s="304"/>
      <c r="E43" s="304"/>
      <c r="G43" s="444">
        <f>ENA!BS216/1000</f>
        <v>-7</v>
      </c>
      <c r="K43" s="444">
        <v>-7</v>
      </c>
      <c r="L43" s="444"/>
      <c r="M43" s="444">
        <f t="shared" si="0"/>
        <v>0</v>
      </c>
      <c r="N43" s="444"/>
      <c r="O43" s="460"/>
    </row>
    <row r="44" spans="1:61" ht="16.5" customHeight="1">
      <c r="A44" s="440" t="s">
        <v>1094</v>
      </c>
      <c r="B44" s="304"/>
      <c r="C44" s="302"/>
      <c r="D44" s="304"/>
      <c r="E44" s="304"/>
      <c r="G44" s="444">
        <f>ENA!BS218/1000</f>
        <v>-77.787000000000006</v>
      </c>
      <c r="K44" s="444">
        <v>-77.787000000000006</v>
      </c>
      <c r="L44" s="444"/>
      <c r="M44" s="444">
        <f t="shared" si="0"/>
        <v>0</v>
      </c>
      <c r="N44" s="444"/>
      <c r="O44" s="460"/>
    </row>
    <row r="45" spans="1:61" ht="16.5" customHeight="1">
      <c r="A45" s="440" t="s">
        <v>1095</v>
      </c>
      <c r="B45" s="304"/>
      <c r="C45" s="302"/>
      <c r="D45" s="304"/>
      <c r="E45" s="304"/>
      <c r="G45" s="444">
        <f>ENA!BS220/1000</f>
        <v>400</v>
      </c>
      <c r="K45" s="444">
        <v>400</v>
      </c>
      <c r="L45" s="444"/>
      <c r="M45" s="444">
        <f t="shared" si="0"/>
        <v>0</v>
      </c>
      <c r="N45" s="444"/>
      <c r="O45" s="460"/>
    </row>
    <row r="46" spans="1:61" ht="16.5" customHeight="1">
      <c r="A46" s="440" t="s">
        <v>941</v>
      </c>
      <c r="B46" s="304"/>
      <c r="C46" s="302"/>
      <c r="D46" s="304"/>
      <c r="E46" s="304"/>
      <c r="G46" s="444">
        <f>ENA!BS224/1000</f>
        <v>636.88172999999995</v>
      </c>
      <c r="K46" s="444">
        <v>636.88172999999995</v>
      </c>
      <c r="L46" s="444"/>
      <c r="M46" s="444">
        <f t="shared" si="0"/>
        <v>0</v>
      </c>
      <c r="N46" s="444"/>
      <c r="O46" s="460"/>
    </row>
    <row r="47" spans="1:61" ht="16.5" customHeight="1">
      <c r="A47" s="440" t="s">
        <v>1096</v>
      </c>
      <c r="B47" s="304"/>
      <c r="C47" s="302"/>
      <c r="D47" s="304"/>
      <c r="E47" s="304"/>
      <c r="G47" s="444">
        <f>ENA!BS267/1000+ENA!BS202/1000+ENA!BS204/1000</f>
        <v>74.526139999999913</v>
      </c>
      <c r="K47" s="444">
        <v>67.89393999999993</v>
      </c>
      <c r="L47" s="444"/>
      <c r="M47" s="444">
        <f t="shared" si="0"/>
        <v>6.6321999999999832</v>
      </c>
      <c r="N47" s="507"/>
      <c r="O47" s="460"/>
    </row>
    <row r="48" spans="1:61" ht="16.5" customHeight="1">
      <c r="A48" s="440" t="s">
        <v>320</v>
      </c>
      <c r="B48" s="304"/>
      <c r="C48" s="302"/>
      <c r="D48" s="304"/>
      <c r="E48" s="304"/>
      <c r="G48" s="444">
        <v>1725</v>
      </c>
      <c r="K48" s="444">
        <v>1725</v>
      </c>
      <c r="L48" s="444"/>
      <c r="M48" s="444">
        <f t="shared" si="0"/>
        <v>0</v>
      </c>
      <c r="N48" s="444"/>
      <c r="O48" s="460"/>
      <c r="BG48" s="257">
        <f>1227238-1211955</f>
        <v>15283</v>
      </c>
      <c r="BI48" s="257">
        <v>0</v>
      </c>
    </row>
    <row r="49" spans="1:61" ht="20.25" customHeight="1" thickBot="1">
      <c r="A49" s="443" t="s">
        <v>1097</v>
      </c>
      <c r="G49" s="445">
        <f>SUM(G35:G48)</f>
        <v>-4212.4521400000058</v>
      </c>
      <c r="K49" s="445">
        <f>SUM(K35:K48)</f>
        <v>-4138.9638200000018</v>
      </c>
      <c r="L49" s="445"/>
      <c r="M49" s="445">
        <f>SUM(M35:M48)</f>
        <v>-73.488320000003142</v>
      </c>
      <c r="N49" s="445"/>
      <c r="O49" s="445"/>
    </row>
    <row r="50" spans="1:61" ht="13.8" thickTop="1"/>
    <row r="51" spans="1:61">
      <c r="A51" s="257" t="s">
        <v>1099</v>
      </c>
      <c r="BG51" s="257">
        <f>828178-823579</f>
        <v>4599</v>
      </c>
      <c r="BI51" s="257">
        <v>0</v>
      </c>
    </row>
    <row r="52" spans="1:61" ht="13.8" thickBot="1">
      <c r="BG52" s="257">
        <f>2751016-2673101</f>
        <v>77915</v>
      </c>
      <c r="BI52" s="257">
        <v>0</v>
      </c>
    </row>
    <row r="53" spans="1:61" ht="13.8" thickBot="1">
      <c r="A53" s="307" t="s">
        <v>398</v>
      </c>
      <c r="B53" s="250"/>
      <c r="C53" s="250"/>
      <c r="D53" s="250"/>
      <c r="E53" s="250"/>
      <c r="F53" s="250"/>
      <c r="G53" s="250"/>
      <c r="H53" s="250"/>
      <c r="I53" s="250"/>
      <c r="J53" s="250"/>
      <c r="K53" s="250"/>
      <c r="L53" s="250"/>
      <c r="M53" s="250"/>
      <c r="N53" s="250"/>
      <c r="O53" s="250"/>
      <c r="P53" s="250"/>
      <c r="Q53" s="251"/>
    </row>
    <row r="54" spans="1:61">
      <c r="A54" s="257" t="s">
        <v>216</v>
      </c>
    </row>
    <row r="55" spans="1:61">
      <c r="A55" s="257" t="s">
        <v>217</v>
      </c>
    </row>
    <row r="56" spans="1:61">
      <c r="A56" s="508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BG56" s="257">
        <f>229783-229556</f>
        <v>227</v>
      </c>
      <c r="BI56" s="257">
        <v>0</v>
      </c>
    </row>
    <row r="57" spans="1:61">
      <c r="A57" s="43"/>
      <c r="C57" s="304"/>
      <c r="D57" s="304"/>
      <c r="E57" s="304"/>
      <c r="F57" s="304"/>
      <c r="G57" s="304"/>
      <c r="H57" s="304"/>
      <c r="I57" s="304"/>
      <c r="J57" s="304"/>
      <c r="K57" s="304"/>
      <c r="L57" s="304"/>
      <c r="BG57" s="257">
        <f>5025-2647</f>
        <v>2378</v>
      </c>
      <c r="BI57" s="257">
        <v>0</v>
      </c>
    </row>
    <row r="58" spans="1:61">
      <c r="A58" s="43"/>
      <c r="C58" s="304"/>
      <c r="D58" s="304"/>
      <c r="E58" s="304"/>
      <c r="F58" s="304"/>
      <c r="G58" s="304"/>
      <c r="H58" s="304"/>
      <c r="I58" s="304"/>
      <c r="J58" s="304"/>
      <c r="K58" s="304"/>
      <c r="L58" s="304"/>
      <c r="BI58" s="257">
        <v>0</v>
      </c>
    </row>
    <row r="59" spans="1:61">
      <c r="A59" s="14"/>
      <c r="C59" s="304"/>
      <c r="D59" s="304"/>
      <c r="E59" s="304"/>
      <c r="F59" s="304"/>
      <c r="G59" s="304"/>
      <c r="H59" s="304"/>
      <c r="I59" s="304"/>
      <c r="J59" s="304"/>
      <c r="K59" s="304"/>
      <c r="L59" s="304"/>
    </row>
    <row r="60" spans="1:61">
      <c r="C60" s="304"/>
      <c r="D60" s="304"/>
      <c r="E60" s="304"/>
      <c r="F60" s="304"/>
      <c r="G60" s="304"/>
      <c r="H60" s="304"/>
      <c r="I60" s="304"/>
      <c r="J60" s="304"/>
      <c r="K60" s="304"/>
      <c r="L60" s="304"/>
    </row>
    <row r="61" spans="1:61">
      <c r="C61" s="304"/>
      <c r="D61" s="304"/>
      <c r="E61" s="304"/>
      <c r="F61" s="304"/>
      <c r="G61" s="304"/>
      <c r="H61" s="304"/>
      <c r="I61" s="304"/>
      <c r="J61" s="304"/>
      <c r="K61" s="304"/>
      <c r="L61" s="304"/>
    </row>
    <row r="62" spans="1:61">
      <c r="C62" s="304"/>
      <c r="D62" s="304"/>
      <c r="E62" s="304"/>
      <c r="F62" s="304"/>
      <c r="G62" s="304"/>
      <c r="H62" s="304"/>
      <c r="I62" s="304"/>
      <c r="J62" s="304"/>
      <c r="K62" s="304"/>
      <c r="L62" s="304"/>
      <c r="BG62" s="257">
        <f>365963-364170</f>
        <v>1793</v>
      </c>
      <c r="BI62" s="257">
        <v>0</v>
      </c>
    </row>
    <row r="63" spans="1:61">
      <c r="C63" s="304"/>
      <c r="D63" s="304"/>
      <c r="E63" s="304"/>
      <c r="F63" s="304"/>
      <c r="G63" s="304"/>
      <c r="H63" s="304"/>
      <c r="I63" s="304"/>
      <c r="J63" s="304"/>
      <c r="K63" s="304"/>
      <c r="L63" s="304"/>
      <c r="BG63" s="257">
        <f>131166-124934</f>
        <v>6232</v>
      </c>
      <c r="BI63" s="257">
        <v>0</v>
      </c>
    </row>
    <row r="64" spans="1:61">
      <c r="BG64" s="257">
        <f>100541-94288</f>
        <v>6253</v>
      </c>
      <c r="BI64" s="257">
        <v>0</v>
      </c>
    </row>
    <row r="69" spans="59:61">
      <c r="BG69" s="257">
        <f>148965-148428</f>
        <v>537</v>
      </c>
      <c r="BI69" s="257">
        <v>0</v>
      </c>
    </row>
    <row r="71" spans="59:61">
      <c r="BG71" s="257">
        <f>132617-132741</f>
        <v>-124</v>
      </c>
      <c r="BI71" s="257">
        <v>0</v>
      </c>
    </row>
    <row r="73" spans="59:61">
      <c r="BG73" s="257">
        <f>576117-576710</f>
        <v>-593</v>
      </c>
      <c r="BI73" s="257">
        <v>0</v>
      </c>
    </row>
    <row r="76" spans="59:61">
      <c r="BG76" s="257">
        <f>563295-567009</f>
        <v>-3714</v>
      </c>
      <c r="BI76" s="257">
        <v>0</v>
      </c>
    </row>
    <row r="77" spans="59:61">
      <c r="BG77" s="257">
        <f>1725835-1729670</f>
        <v>-3835</v>
      </c>
      <c r="BI77" s="257">
        <v>0</v>
      </c>
    </row>
    <row r="78" spans="59:61">
      <c r="BG78" s="257">
        <f>765929-752348</f>
        <v>13581</v>
      </c>
      <c r="BI78" s="257">
        <v>0</v>
      </c>
    </row>
    <row r="84" spans="59:61">
      <c r="BG84" s="257">
        <f>340644-340170</f>
        <v>474</v>
      </c>
      <c r="BI84" s="257">
        <v>0</v>
      </c>
    </row>
    <row r="85" spans="59:61">
      <c r="BG85" s="257">
        <f>387085-232629</f>
        <v>154456</v>
      </c>
      <c r="BI85" s="257">
        <v>0</v>
      </c>
    </row>
    <row r="89" spans="59:61">
      <c r="BG89" s="257">
        <f>331300-331063</f>
        <v>237</v>
      </c>
      <c r="BI89" s="257">
        <v>0</v>
      </c>
    </row>
    <row r="113" spans="59:61">
      <c r="BG113" s="257">
        <f>516960-486339</f>
        <v>30621</v>
      </c>
      <c r="BI113" s="257">
        <v>0</v>
      </c>
    </row>
    <row r="118" spans="59:61">
      <c r="BG118" s="257">
        <f>1375490-1375477</f>
        <v>13</v>
      </c>
      <c r="BI118" s="257">
        <v>0</v>
      </c>
    </row>
    <row r="122" spans="59:61">
      <c r="BG122" s="257">
        <f>243493-209793</f>
        <v>33700</v>
      </c>
      <c r="BI122" s="257">
        <v>0</v>
      </c>
    </row>
    <row r="137" spans="59:61">
      <c r="BG137" s="257">
        <f>2154993-2138218</f>
        <v>16775</v>
      </c>
      <c r="BI137" s="257">
        <v>0</v>
      </c>
    </row>
    <row r="143" spans="59:61">
      <c r="BG143" s="257">
        <f>23707-22137+5</f>
        <v>1575</v>
      </c>
      <c r="BI143" s="257">
        <v>0</v>
      </c>
    </row>
    <row r="146" spans="7:61">
      <c r="BG146" s="257">
        <f>1651447-1639345</f>
        <v>12102</v>
      </c>
      <c r="BI146" s="257">
        <v>0</v>
      </c>
    </row>
    <row r="156" spans="7:61">
      <c r="G156" s="257">
        <v>279713</v>
      </c>
    </row>
    <row r="162" spans="59:61">
      <c r="BG162" s="257">
        <f>480326+777441-850811</f>
        <v>406956</v>
      </c>
      <c r="BI162" s="257">
        <v>0</v>
      </c>
    </row>
    <row r="168" spans="59:61">
      <c r="BI168" s="257">
        <v>0</v>
      </c>
    </row>
    <row r="170" spans="59:61">
      <c r="BG170" s="257">
        <v>-218197</v>
      </c>
      <c r="BI170" s="257">
        <v>0</v>
      </c>
    </row>
    <row r="182" spans="61:61">
      <c r="BI182" s="257">
        <v>0</v>
      </c>
    </row>
    <row r="199" spans="61:61">
      <c r="BI199" s="257">
        <v>0</v>
      </c>
    </row>
    <row r="241" spans="59:61">
      <c r="BG241" s="257">
        <f>+-125</f>
        <v>-125</v>
      </c>
      <c r="BI241" s="257">
        <f>+-125</f>
        <v>-125</v>
      </c>
    </row>
    <row r="248" spans="59:61">
      <c r="BG248" s="257">
        <v>21644</v>
      </c>
      <c r="BI248" s="257">
        <f>-1437+26056</f>
        <v>24619</v>
      </c>
    </row>
    <row r="253" spans="59:61">
      <c r="BI253" s="257">
        <v>0</v>
      </c>
    </row>
    <row r="256" spans="59:61">
      <c r="BI256" s="257">
        <v>0</v>
      </c>
    </row>
    <row r="257" spans="61:61">
      <c r="BI257" s="257">
        <v>0</v>
      </c>
    </row>
  </sheetData>
  <phoneticPr fontId="50" type="noConversion"/>
  <printOptions horizontalCentered="1"/>
  <pageMargins left="0.25" right="0.25" top="0.5" bottom="0.5" header="0.5" footer="0.5"/>
  <pageSetup scale="71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U312"/>
  <sheetViews>
    <sheetView zoomScale="85" zoomScaleNormal="75" zoomScaleSheetLayoutView="25" workbookViewId="0">
      <pane xSplit="4" ySplit="7" topLeftCell="BP279" activePane="bottomRight" state="frozen"/>
      <selection activeCell="BV279" sqref="BV279"/>
      <selection pane="topRight" activeCell="BV279" sqref="BV279"/>
      <selection pane="bottomLeft" activeCell="BV279" sqref="BV279"/>
      <selection pane="bottomRight" activeCell="BV279" sqref="BV279"/>
    </sheetView>
  </sheetViews>
  <sheetFormatPr defaultColWidth="9.109375" defaultRowHeight="13.2"/>
  <cols>
    <col min="1" max="1" width="4.6640625" style="206" customWidth="1"/>
    <col min="2" max="2" width="51.109375" style="199" customWidth="1"/>
    <col min="3" max="3" width="0.33203125" style="199" customWidth="1"/>
    <col min="4" max="4" width="1.6640625" style="199" customWidth="1"/>
    <col min="5" max="5" width="22" style="199" customWidth="1"/>
    <col min="6" max="6" width="0.88671875" style="206" customWidth="1"/>
    <col min="7" max="7" width="23.109375" style="199" bestFit="1" customWidth="1"/>
    <col min="8" max="8" width="0.88671875" style="206" customWidth="1"/>
    <col min="9" max="9" width="16" style="199" bestFit="1" customWidth="1"/>
    <col min="10" max="10" width="0.88671875" style="206" customWidth="1"/>
    <col min="11" max="11" width="21" style="244" hidden="1" customWidth="1"/>
    <col min="12" max="12" width="0.6640625" style="355" hidden="1" customWidth="1"/>
    <col min="13" max="13" width="17.88671875" style="244" hidden="1" customWidth="1"/>
    <col min="14" max="14" width="0.88671875" style="206" hidden="1" customWidth="1"/>
    <col min="15" max="15" width="17.88671875" style="244" hidden="1" customWidth="1"/>
    <col min="16" max="16" width="0.88671875" style="206" hidden="1" customWidth="1"/>
    <col min="17" max="17" width="17.88671875" style="244" hidden="1" customWidth="1"/>
    <col min="18" max="18" width="0.6640625" style="206" hidden="1" customWidth="1"/>
    <col min="19" max="19" width="16" style="244" hidden="1" customWidth="1"/>
    <col min="20" max="20" width="0.5546875" style="217" hidden="1" customWidth="1"/>
    <col min="21" max="21" width="17.88671875" style="244" hidden="1" customWidth="1"/>
    <col min="22" max="22" width="1" style="382" hidden="1" customWidth="1"/>
    <col min="23" max="23" width="17.88671875" style="244" hidden="1" customWidth="1"/>
    <col min="24" max="24" width="1" style="382" hidden="1" customWidth="1"/>
    <col min="25" max="25" width="17.88671875" style="244" hidden="1" customWidth="1"/>
    <col min="26" max="26" width="1.33203125" style="382" hidden="1" customWidth="1"/>
    <col min="27" max="27" width="17.88671875" style="244" hidden="1" customWidth="1"/>
    <col min="28" max="28" width="0.6640625" style="382" hidden="1" customWidth="1"/>
    <col min="29" max="29" width="17.6640625" style="244" hidden="1" customWidth="1"/>
    <col min="30" max="30" width="0.6640625" style="382" hidden="1" customWidth="1"/>
    <col min="31" max="31" width="17.88671875" style="244" hidden="1" customWidth="1"/>
    <col min="32" max="32" width="0.6640625" style="382" hidden="1" customWidth="1"/>
    <col min="33" max="33" width="21.44140625" style="199" hidden="1" customWidth="1"/>
    <col min="34" max="34" width="0.6640625" style="206" hidden="1" customWidth="1"/>
    <col min="35" max="35" width="21.44140625" style="199" hidden="1" customWidth="1"/>
    <col min="36" max="36" width="0.5546875" style="206" hidden="1" customWidth="1"/>
    <col min="37" max="37" width="19.109375" style="199" hidden="1" customWidth="1"/>
    <col min="38" max="38" width="2" style="206" hidden="1" customWidth="1"/>
    <col min="39" max="39" width="16.6640625" style="382" hidden="1" customWidth="1"/>
    <col min="40" max="40" width="0.88671875" style="206" hidden="1" customWidth="1"/>
    <col min="41" max="41" width="17.88671875" style="199" hidden="1" customWidth="1"/>
    <col min="42" max="42" width="1.109375" style="206" hidden="1" customWidth="1"/>
    <col min="43" max="43" width="0.109375" style="206" hidden="1" customWidth="1"/>
    <col min="44" max="44" width="6.5546875" style="206" hidden="1" customWidth="1"/>
    <col min="45" max="45" width="21.44140625" style="206" hidden="1" customWidth="1"/>
    <col min="46" max="46" width="6.5546875" style="206" hidden="1" customWidth="1"/>
    <col min="47" max="47" width="21.44140625" style="206" hidden="1" customWidth="1"/>
    <col min="48" max="48" width="3.6640625" style="206" hidden="1" customWidth="1"/>
    <col min="49" max="49" width="21.44140625" style="206" hidden="1" customWidth="1"/>
    <col min="50" max="50" width="3.6640625" style="206" hidden="1" customWidth="1"/>
    <col min="51" max="51" width="21.44140625" style="206" hidden="1" customWidth="1"/>
    <col min="52" max="52" width="3.6640625" style="206" hidden="1" customWidth="1"/>
    <col min="53" max="53" width="21.44140625" style="206" hidden="1" customWidth="1"/>
    <col min="54" max="54" width="0.88671875" style="206" hidden="1" customWidth="1"/>
    <col min="55" max="55" width="21.44140625" style="206" hidden="1" customWidth="1"/>
    <col min="56" max="56" width="1" style="206" hidden="1" customWidth="1"/>
    <col min="57" max="57" width="21.44140625" style="206" hidden="1" customWidth="1"/>
    <col min="58" max="58" width="1.109375" style="206" hidden="1" customWidth="1"/>
    <col min="59" max="59" width="21.44140625" style="206" hidden="1" customWidth="1"/>
    <col min="60" max="60" width="1.5546875" style="206" hidden="1" customWidth="1"/>
    <col min="61" max="61" width="21.44140625" style="206" hidden="1" customWidth="1"/>
    <col min="62" max="62" width="1.88671875" style="206" hidden="1" customWidth="1"/>
    <col min="63" max="63" width="21.44140625" style="206" hidden="1" customWidth="1"/>
    <col min="64" max="64" width="0.88671875" style="206" customWidth="1"/>
    <col min="65" max="65" width="23.109375" style="478" bestFit="1" customWidth="1"/>
    <col min="66" max="66" width="0.88671875" style="206" customWidth="1"/>
    <col min="67" max="67" width="18" style="199" bestFit="1" customWidth="1"/>
    <col min="68" max="68" width="0.5546875" style="206" customWidth="1"/>
    <col min="69" max="69" width="22.88671875" style="199" bestFit="1" customWidth="1"/>
    <col min="70" max="70" width="0.6640625" style="206" customWidth="1"/>
    <col min="71" max="71" width="19" style="199" bestFit="1" customWidth="1"/>
    <col min="72" max="72" width="0.88671875" style="206" customWidth="1"/>
    <col min="73" max="73" width="75.88671875" style="199" hidden="1" customWidth="1"/>
    <col min="74" max="16384" width="9.109375" style="199"/>
  </cols>
  <sheetData>
    <row r="1" spans="1:73" s="178" customFormat="1" ht="15.6">
      <c r="A1" s="500" t="s">
        <v>1053</v>
      </c>
      <c r="B1" s="175"/>
      <c r="C1" s="176"/>
      <c r="D1" s="177"/>
      <c r="E1" s="177"/>
      <c r="F1" s="384"/>
      <c r="G1" s="177"/>
      <c r="H1" s="356"/>
      <c r="J1" s="356"/>
      <c r="K1" s="179"/>
      <c r="L1" s="353"/>
      <c r="M1" s="179"/>
      <c r="N1" s="356"/>
      <c r="O1" s="179"/>
      <c r="P1" s="356"/>
      <c r="Q1" s="179"/>
      <c r="R1" s="356"/>
      <c r="S1" s="179"/>
      <c r="T1" s="194"/>
      <c r="U1" s="179"/>
      <c r="V1" s="363"/>
      <c r="W1" s="179"/>
      <c r="X1" s="363"/>
      <c r="Y1" s="179"/>
      <c r="Z1" s="363"/>
      <c r="AA1" s="179"/>
      <c r="AB1" s="363"/>
      <c r="AC1" s="179"/>
      <c r="AD1" s="363"/>
      <c r="AE1" s="179"/>
      <c r="AF1" s="363"/>
      <c r="AH1" s="356"/>
      <c r="AJ1" s="356"/>
      <c r="AK1" s="181"/>
      <c r="AL1" s="356"/>
      <c r="AM1" s="363"/>
      <c r="AN1" s="356"/>
      <c r="AP1" s="356"/>
      <c r="AQ1" s="356"/>
      <c r="AR1" s="356"/>
      <c r="AS1" s="356"/>
      <c r="AT1" s="356"/>
      <c r="AU1" s="356"/>
      <c r="AV1" s="356"/>
      <c r="AW1" s="356"/>
      <c r="AX1" s="356"/>
      <c r="AY1" s="356"/>
      <c r="AZ1" s="356"/>
      <c r="BA1" s="356"/>
      <c r="BB1" s="356"/>
      <c r="BC1" s="356"/>
      <c r="BD1" s="356"/>
      <c r="BE1" s="356"/>
      <c r="BF1" s="356"/>
      <c r="BG1" s="356"/>
      <c r="BH1" s="356"/>
      <c r="BI1" s="356"/>
      <c r="BJ1" s="356"/>
      <c r="BK1" s="356"/>
      <c r="BL1" s="356"/>
      <c r="BM1" s="475"/>
      <c r="BN1" s="356"/>
      <c r="BO1" s="181"/>
      <c r="BP1" s="365"/>
      <c r="BQ1" s="181"/>
      <c r="BR1" s="365"/>
      <c r="BT1" s="356"/>
    </row>
    <row r="2" spans="1:73" s="178" customFormat="1" ht="15.6">
      <c r="A2" s="501" t="s">
        <v>438</v>
      </c>
      <c r="B2" s="175"/>
      <c r="C2" s="176"/>
      <c r="D2" s="177"/>
      <c r="E2" s="177"/>
      <c r="F2" s="384"/>
      <c r="G2" s="177"/>
      <c r="H2" s="356"/>
      <c r="J2" s="356"/>
      <c r="K2" s="179"/>
      <c r="L2" s="353"/>
      <c r="M2" s="179"/>
      <c r="N2" s="356"/>
      <c r="O2" s="179"/>
      <c r="P2" s="356"/>
      <c r="Q2" s="179"/>
      <c r="R2" s="356"/>
      <c r="S2" s="179"/>
      <c r="T2" s="194"/>
      <c r="U2" s="179"/>
      <c r="V2" s="363"/>
      <c r="W2" s="179"/>
      <c r="X2" s="363"/>
      <c r="Y2" s="179"/>
      <c r="Z2" s="363"/>
      <c r="AA2" s="179"/>
      <c r="AB2" s="363"/>
      <c r="AC2" s="179"/>
      <c r="AD2" s="363"/>
      <c r="AE2" s="179"/>
      <c r="AF2" s="363"/>
      <c r="AH2" s="356"/>
      <c r="AJ2" s="356"/>
      <c r="AL2" s="356"/>
      <c r="AM2" s="363"/>
      <c r="AN2" s="356"/>
      <c r="AP2" s="356"/>
      <c r="AQ2" s="356"/>
      <c r="AR2" s="356"/>
      <c r="AS2" s="356"/>
      <c r="AT2" s="356"/>
      <c r="AU2" s="356"/>
      <c r="AV2" s="356"/>
      <c r="AW2" s="356"/>
      <c r="AX2" s="356"/>
      <c r="AY2" s="356"/>
      <c r="AZ2" s="356"/>
      <c r="BA2" s="356"/>
      <c r="BB2" s="356"/>
      <c r="BC2" s="356"/>
      <c r="BD2" s="356"/>
      <c r="BE2" s="356"/>
      <c r="BF2" s="356"/>
      <c r="BG2" s="356"/>
      <c r="BH2" s="356"/>
      <c r="BI2" s="356"/>
      <c r="BJ2" s="356"/>
      <c r="BK2" s="356"/>
      <c r="BL2" s="356"/>
      <c r="BM2" s="476"/>
      <c r="BN2" s="356"/>
      <c r="BP2" s="356"/>
      <c r="BR2" s="356"/>
      <c r="BS2" s="376"/>
      <c r="BT2" s="356"/>
    </row>
    <row r="3" spans="1:73" s="178" customFormat="1" ht="15.6">
      <c r="A3" s="175"/>
      <c r="B3" s="175"/>
      <c r="C3" s="176"/>
      <c r="D3" s="177"/>
      <c r="E3" s="182">
        <v>342</v>
      </c>
      <c r="F3" s="384"/>
      <c r="G3" s="183" t="s">
        <v>293</v>
      </c>
      <c r="H3" s="356"/>
      <c r="J3" s="356"/>
      <c r="K3" s="179"/>
      <c r="L3" s="353"/>
      <c r="M3" s="179"/>
      <c r="N3" s="356"/>
      <c r="O3" s="179"/>
      <c r="P3" s="356"/>
      <c r="Q3" s="179"/>
      <c r="R3" s="356"/>
      <c r="S3" s="179"/>
      <c r="T3" s="194"/>
      <c r="U3" s="179"/>
      <c r="V3" s="363"/>
      <c r="W3" s="179"/>
      <c r="X3" s="363"/>
      <c r="Y3" s="179"/>
      <c r="Z3" s="363"/>
      <c r="AA3" s="179"/>
      <c r="AB3" s="363"/>
      <c r="AC3" s="179"/>
      <c r="AD3" s="363"/>
      <c r="AE3" s="179"/>
      <c r="AF3" s="363"/>
      <c r="AH3" s="356"/>
      <c r="AJ3" s="356"/>
      <c r="AK3" s="184"/>
      <c r="AL3" s="356"/>
      <c r="AM3" s="363"/>
      <c r="AN3" s="356"/>
      <c r="AP3" s="356"/>
      <c r="AQ3" s="356"/>
      <c r="AR3" s="356"/>
      <c r="AS3" s="356"/>
      <c r="AT3" s="356"/>
      <c r="AU3" s="356"/>
      <c r="AV3" s="356"/>
      <c r="AW3" s="356"/>
      <c r="AX3" s="356"/>
      <c r="AY3" s="356"/>
      <c r="AZ3" s="356"/>
      <c r="BA3" s="356"/>
      <c r="BB3" s="356"/>
      <c r="BC3" s="356"/>
      <c r="BD3" s="356"/>
      <c r="BE3" s="356"/>
      <c r="BF3" s="356"/>
      <c r="BG3" s="356"/>
      <c r="BH3" s="356"/>
      <c r="BI3" s="356"/>
      <c r="BJ3" s="356"/>
      <c r="BK3" s="356"/>
      <c r="BL3" s="356"/>
      <c r="BM3" s="475"/>
      <c r="BN3" s="356"/>
      <c r="BO3" s="249"/>
      <c r="BP3" s="356"/>
      <c r="BQ3" s="184"/>
      <c r="BR3" s="356"/>
      <c r="BS3" s="181"/>
      <c r="BT3" s="356"/>
    </row>
    <row r="4" spans="1:73" s="178" customFormat="1" ht="15.6">
      <c r="A4" s="502"/>
      <c r="B4" s="186"/>
      <c r="C4" s="187"/>
      <c r="E4" s="180"/>
      <c r="F4" s="356"/>
      <c r="H4" s="353"/>
      <c r="I4" s="180"/>
      <c r="J4" s="356"/>
      <c r="K4" s="179"/>
      <c r="L4" s="353"/>
      <c r="M4" s="188" t="s">
        <v>360</v>
      </c>
      <c r="N4" s="353"/>
      <c r="O4" s="188" t="s">
        <v>360</v>
      </c>
      <c r="P4" s="353"/>
      <c r="Q4" s="188" t="s">
        <v>1686</v>
      </c>
      <c r="R4" s="353"/>
      <c r="S4" s="188" t="s">
        <v>360</v>
      </c>
      <c r="T4" s="363"/>
      <c r="U4" s="188" t="s">
        <v>360</v>
      </c>
      <c r="V4" s="364"/>
      <c r="W4" s="188" t="s">
        <v>360</v>
      </c>
      <c r="X4" s="364"/>
      <c r="Y4" s="188" t="s">
        <v>360</v>
      </c>
      <c r="Z4" s="364"/>
      <c r="AA4" s="188" t="s">
        <v>360</v>
      </c>
      <c r="AB4" s="364"/>
      <c r="AC4" s="188" t="s">
        <v>360</v>
      </c>
      <c r="AD4" s="364"/>
      <c r="AE4" s="188" t="s">
        <v>360</v>
      </c>
      <c r="AF4" s="364"/>
      <c r="AG4" s="188" t="s">
        <v>360</v>
      </c>
      <c r="AH4" s="364"/>
      <c r="AI4" s="188" t="s">
        <v>360</v>
      </c>
      <c r="AJ4" s="356"/>
      <c r="AK4" s="189"/>
      <c r="AL4" s="356"/>
      <c r="AM4" s="385" t="s">
        <v>367</v>
      </c>
      <c r="AN4" s="356"/>
      <c r="AO4" s="188" t="s">
        <v>360</v>
      </c>
      <c r="AP4" s="364"/>
      <c r="AQ4" s="364" t="s">
        <v>360</v>
      </c>
      <c r="AR4" s="364"/>
      <c r="AS4" s="364" t="s">
        <v>360</v>
      </c>
      <c r="AT4" s="364"/>
      <c r="AU4" s="364" t="s">
        <v>360</v>
      </c>
      <c r="AV4" s="364"/>
      <c r="AW4" s="364" t="s">
        <v>360</v>
      </c>
      <c r="AX4" s="364"/>
      <c r="AY4" s="364" t="s">
        <v>360</v>
      </c>
      <c r="AZ4" s="356"/>
      <c r="BA4" s="364" t="s">
        <v>360</v>
      </c>
      <c r="BB4" s="356"/>
      <c r="BC4" s="364" t="s">
        <v>360</v>
      </c>
      <c r="BD4" s="364"/>
      <c r="BE4" s="364" t="s">
        <v>360</v>
      </c>
      <c r="BF4" s="364"/>
      <c r="BG4" s="364" t="s">
        <v>360</v>
      </c>
      <c r="BH4" s="364"/>
      <c r="BI4" s="364" t="s">
        <v>360</v>
      </c>
      <c r="BJ4" s="364"/>
      <c r="BK4" s="364" t="s">
        <v>360</v>
      </c>
      <c r="BL4" s="356"/>
      <c r="BM4" s="475"/>
      <c r="BN4" s="356"/>
      <c r="BO4" s="189"/>
      <c r="BP4" s="356"/>
      <c r="BQ4" s="189"/>
      <c r="BR4" s="356"/>
      <c r="BS4" s="189"/>
      <c r="BT4" s="356"/>
    </row>
    <row r="5" spans="1:73" s="178" customFormat="1" ht="15.6">
      <c r="A5" s="356"/>
      <c r="E5" s="190" t="s">
        <v>1656</v>
      </c>
      <c r="F5" s="356"/>
      <c r="G5" s="189" t="s">
        <v>1657</v>
      </c>
      <c r="H5" s="353"/>
      <c r="I5" s="190" t="s">
        <v>368</v>
      </c>
      <c r="J5" s="356"/>
      <c r="K5" s="188" t="s">
        <v>290</v>
      </c>
      <c r="L5" s="353"/>
      <c r="M5" s="188" t="s">
        <v>361</v>
      </c>
      <c r="N5" s="353"/>
      <c r="O5" s="188" t="s">
        <v>361</v>
      </c>
      <c r="P5" s="353"/>
      <c r="Q5" s="188" t="s">
        <v>361</v>
      </c>
      <c r="R5" s="353"/>
      <c r="S5" s="188" t="s">
        <v>361</v>
      </c>
      <c r="T5" s="363"/>
      <c r="U5" s="188" t="s">
        <v>361</v>
      </c>
      <c r="V5" s="364"/>
      <c r="W5" s="188" t="s">
        <v>361</v>
      </c>
      <c r="X5" s="364"/>
      <c r="Y5" s="188" t="s">
        <v>361</v>
      </c>
      <c r="Z5" s="364"/>
      <c r="AA5" s="188" t="s">
        <v>361</v>
      </c>
      <c r="AB5" s="364"/>
      <c r="AC5" s="188" t="s">
        <v>361</v>
      </c>
      <c r="AD5" s="364"/>
      <c r="AE5" s="188" t="s">
        <v>361</v>
      </c>
      <c r="AF5" s="364"/>
      <c r="AG5" s="188" t="s">
        <v>361</v>
      </c>
      <c r="AH5" s="364"/>
      <c r="AI5" s="188" t="s">
        <v>361</v>
      </c>
      <c r="AJ5" s="356"/>
      <c r="AK5" s="189" t="s">
        <v>290</v>
      </c>
      <c r="AL5" s="356"/>
      <c r="AM5" s="385" t="s">
        <v>368</v>
      </c>
      <c r="AN5" s="356"/>
      <c r="AO5" s="188" t="s">
        <v>361</v>
      </c>
      <c r="AP5" s="364"/>
      <c r="AQ5" s="364" t="s">
        <v>361</v>
      </c>
      <c r="AR5" s="364"/>
      <c r="AS5" s="364" t="s">
        <v>361</v>
      </c>
      <c r="AT5" s="364"/>
      <c r="AU5" s="364" t="s">
        <v>361</v>
      </c>
      <c r="AV5" s="364"/>
      <c r="AW5" s="364" t="s">
        <v>361</v>
      </c>
      <c r="AX5" s="364"/>
      <c r="AY5" s="364" t="s">
        <v>361</v>
      </c>
      <c r="AZ5" s="356"/>
      <c r="BA5" s="364" t="s">
        <v>361</v>
      </c>
      <c r="BB5" s="356"/>
      <c r="BC5" s="364" t="s">
        <v>361</v>
      </c>
      <c r="BD5" s="364"/>
      <c r="BE5" s="364" t="s">
        <v>361</v>
      </c>
      <c r="BF5" s="364"/>
      <c r="BG5" s="364" t="s">
        <v>361</v>
      </c>
      <c r="BH5" s="364"/>
      <c r="BI5" s="364" t="s">
        <v>361</v>
      </c>
      <c r="BJ5" s="364"/>
      <c r="BK5" s="364" t="s">
        <v>361</v>
      </c>
      <c r="BL5" s="356"/>
      <c r="BM5" s="475" t="s">
        <v>290</v>
      </c>
      <c r="BN5" s="356"/>
      <c r="BO5" s="189" t="s">
        <v>311</v>
      </c>
      <c r="BP5" s="356"/>
      <c r="BQ5" s="189" t="s">
        <v>1050</v>
      </c>
      <c r="BR5" s="356"/>
      <c r="BS5" s="189" t="s">
        <v>1052</v>
      </c>
      <c r="BT5" s="356"/>
    </row>
    <row r="6" spans="1:73" s="178" customFormat="1" ht="15.6">
      <c r="A6" s="356"/>
      <c r="C6" s="192"/>
      <c r="E6" s="193" t="s">
        <v>421</v>
      </c>
      <c r="F6" s="356"/>
      <c r="G6" s="192" t="s">
        <v>289</v>
      </c>
      <c r="H6" s="353"/>
      <c r="I6" s="193" t="s">
        <v>1054</v>
      </c>
      <c r="J6" s="356"/>
      <c r="K6" s="245" t="s">
        <v>623</v>
      </c>
      <c r="L6" s="353"/>
      <c r="M6" s="245" t="s">
        <v>940</v>
      </c>
      <c r="N6" s="353"/>
      <c r="O6" s="245" t="s">
        <v>939</v>
      </c>
      <c r="P6" s="353"/>
      <c r="Q6" s="245" t="s">
        <v>938</v>
      </c>
      <c r="R6" s="353"/>
      <c r="S6" s="245" t="s">
        <v>937</v>
      </c>
      <c r="T6" s="363"/>
      <c r="U6" s="245" t="s">
        <v>936</v>
      </c>
      <c r="V6" s="331"/>
      <c r="W6" s="245" t="s">
        <v>935</v>
      </c>
      <c r="X6" s="331"/>
      <c r="Y6" s="245" t="s">
        <v>934</v>
      </c>
      <c r="Z6" s="331"/>
      <c r="AA6" s="245" t="s">
        <v>548</v>
      </c>
      <c r="AB6" s="331"/>
      <c r="AC6" s="245" t="s">
        <v>578</v>
      </c>
      <c r="AD6" s="331"/>
      <c r="AE6" s="245" t="s">
        <v>933</v>
      </c>
      <c r="AF6" s="331"/>
      <c r="AG6" s="245" t="s">
        <v>987</v>
      </c>
      <c r="AH6" s="331"/>
      <c r="AI6" s="245" t="s">
        <v>1392</v>
      </c>
      <c r="AJ6" s="356"/>
      <c r="AK6" s="192" t="s">
        <v>364</v>
      </c>
      <c r="AL6" s="356"/>
      <c r="AM6" s="385" t="s">
        <v>369</v>
      </c>
      <c r="AN6" s="356"/>
      <c r="AO6" s="379">
        <v>36556</v>
      </c>
      <c r="AP6" s="380"/>
      <c r="AQ6" s="396">
        <v>36585</v>
      </c>
      <c r="AR6" s="380"/>
      <c r="AS6" s="396">
        <v>36616</v>
      </c>
      <c r="AT6" s="380"/>
      <c r="AU6" s="396">
        <v>36646</v>
      </c>
      <c r="AV6" s="439"/>
      <c r="AW6" s="396">
        <v>36677</v>
      </c>
      <c r="AX6" s="439"/>
      <c r="AY6" s="396">
        <v>36707</v>
      </c>
      <c r="AZ6" s="356"/>
      <c r="BA6" s="396">
        <v>36738</v>
      </c>
      <c r="BB6" s="356"/>
      <c r="BC6" s="396">
        <v>36769</v>
      </c>
      <c r="BD6" s="439"/>
      <c r="BE6" s="396">
        <v>36799</v>
      </c>
      <c r="BF6" s="439"/>
      <c r="BG6" s="396">
        <v>36830</v>
      </c>
      <c r="BH6" s="439"/>
      <c r="BI6" s="396">
        <v>36860</v>
      </c>
      <c r="BJ6" s="439"/>
      <c r="BK6" s="396">
        <v>36891</v>
      </c>
      <c r="BL6" s="356"/>
      <c r="BM6" s="477" t="s">
        <v>364</v>
      </c>
      <c r="BN6" s="356"/>
      <c r="BO6" s="192" t="s">
        <v>1049</v>
      </c>
      <c r="BP6" s="356"/>
      <c r="BQ6" s="192" t="s">
        <v>1051</v>
      </c>
      <c r="BR6" s="356"/>
      <c r="BS6" s="192" t="s">
        <v>310</v>
      </c>
      <c r="BT6" s="356"/>
      <c r="BU6" s="192" t="s">
        <v>241</v>
      </c>
    </row>
    <row r="7" spans="1:73" s="178" customFormat="1" ht="15.6">
      <c r="A7" s="356"/>
      <c r="B7" s="194"/>
      <c r="C7" s="195"/>
      <c r="E7" s="188" t="s">
        <v>536</v>
      </c>
      <c r="F7" s="356"/>
      <c r="G7" s="255" t="str">
        <f>Summary!Q4</f>
        <v>as of 12/28/00</v>
      </c>
      <c r="H7" s="353"/>
      <c r="I7" s="180"/>
      <c r="J7" s="356"/>
      <c r="K7" s="188"/>
      <c r="L7" s="353"/>
      <c r="M7" s="188"/>
      <c r="N7" s="353"/>
      <c r="O7" s="188"/>
      <c r="P7" s="353"/>
      <c r="Q7" s="188"/>
      <c r="R7" s="353"/>
      <c r="S7" s="188"/>
      <c r="T7" s="363"/>
      <c r="U7" s="188"/>
      <c r="V7" s="364"/>
      <c r="W7" s="188"/>
      <c r="X7" s="364"/>
      <c r="Y7" s="188"/>
      <c r="Z7" s="364"/>
      <c r="AA7" s="188"/>
      <c r="AB7" s="364"/>
      <c r="AC7" s="188"/>
      <c r="AD7" s="364"/>
      <c r="AE7" s="188"/>
      <c r="AF7" s="364"/>
      <c r="AG7" s="188" t="str">
        <f>+Summary!$Q$4</f>
        <v>as of 12/28/00</v>
      </c>
      <c r="AH7" s="364"/>
      <c r="AI7" s="188" t="str">
        <f>+Summary!$Q$4</f>
        <v>as of 12/28/00</v>
      </c>
      <c r="AJ7" s="356"/>
      <c r="AK7" s="189" t="s">
        <v>1700</v>
      </c>
      <c r="AL7" s="356"/>
      <c r="AM7" s="386" t="str">
        <f>+Summary!$Q$4</f>
        <v>as of 12/28/00</v>
      </c>
      <c r="AN7" s="356"/>
      <c r="AO7" s="188" t="str">
        <f>+Summary!$Q$4</f>
        <v>as of 12/28/00</v>
      </c>
      <c r="AP7" s="364"/>
      <c r="AQ7" s="364" t="str">
        <f>+Summary!$Q$4</f>
        <v>as of 12/28/00</v>
      </c>
      <c r="AR7" s="364"/>
      <c r="AS7" s="364" t="str">
        <f>+Summary!$Q$4</f>
        <v>as of 12/28/00</v>
      </c>
      <c r="AT7" s="364"/>
      <c r="AU7" s="364" t="str">
        <f>+Summary!$Q$4</f>
        <v>as of 12/28/00</v>
      </c>
      <c r="AV7" s="364"/>
      <c r="AW7" s="364" t="str">
        <f>+Summary!$Q$4</f>
        <v>as of 12/28/00</v>
      </c>
      <c r="AX7" s="364"/>
      <c r="AY7" s="364" t="str">
        <f>+Summary!$Q$4</f>
        <v>as of 12/28/00</v>
      </c>
      <c r="AZ7" s="356"/>
      <c r="BA7" s="364" t="str">
        <f>+Summary!$Q$4</f>
        <v>as of 12/28/00</v>
      </c>
      <c r="BB7" s="356"/>
      <c r="BC7" s="364" t="str">
        <f>+Summary!$Q$4</f>
        <v>as of 12/28/00</v>
      </c>
      <c r="BD7" s="364"/>
      <c r="BE7" s="364" t="str">
        <f>+Summary!$Q$4</f>
        <v>as of 12/28/00</v>
      </c>
      <c r="BF7" s="364"/>
      <c r="BG7" s="364" t="str">
        <f>+Summary!$Q$4</f>
        <v>as of 12/28/00</v>
      </c>
      <c r="BH7" s="364"/>
      <c r="BI7" s="364" t="str">
        <f>+Summary!$Q$4</f>
        <v>as of 12/28/00</v>
      </c>
      <c r="BJ7" s="364"/>
      <c r="BK7" s="364" t="str">
        <f>+Summary!$Q$4</f>
        <v>as of 12/28/00</v>
      </c>
      <c r="BL7" s="356"/>
      <c r="BM7" s="475" t="str">
        <f>Summary!Q4</f>
        <v>as of 12/28/00</v>
      </c>
      <c r="BN7" s="356"/>
      <c r="BO7" s="189"/>
      <c r="BP7" s="356"/>
      <c r="BQ7" s="189"/>
      <c r="BR7" s="356"/>
      <c r="BS7" s="189"/>
      <c r="BT7" s="356"/>
    </row>
    <row r="8" spans="1:73">
      <c r="A8" s="212" t="s">
        <v>242</v>
      </c>
      <c r="B8" s="197"/>
      <c r="C8" s="198"/>
      <c r="K8" s="200"/>
      <c r="L8" s="206"/>
      <c r="M8" s="200"/>
      <c r="O8" s="200"/>
      <c r="Q8" s="200"/>
      <c r="S8" s="200"/>
      <c r="U8" s="200"/>
      <c r="V8" s="217"/>
      <c r="W8" s="200"/>
      <c r="X8" s="217"/>
      <c r="Y8" s="200"/>
      <c r="Z8" s="217"/>
      <c r="AA8" s="200"/>
      <c r="AB8" s="217"/>
      <c r="AC8" s="200"/>
      <c r="AD8" s="217"/>
      <c r="AE8" s="200"/>
      <c r="AF8" s="217"/>
      <c r="AG8" s="200"/>
      <c r="AH8" s="217"/>
      <c r="AI8" s="200"/>
      <c r="AM8" s="217"/>
      <c r="AO8" s="200"/>
      <c r="AP8" s="217"/>
      <c r="AQ8" s="217"/>
      <c r="AR8" s="217"/>
      <c r="AS8" s="217"/>
      <c r="AT8" s="217"/>
      <c r="AU8" s="217"/>
      <c r="AV8" s="217"/>
      <c r="AW8" s="217"/>
      <c r="AX8" s="217"/>
      <c r="AY8" s="217"/>
      <c r="BA8" s="217"/>
      <c r="BC8" s="217"/>
      <c r="BD8" s="217"/>
      <c r="BE8" s="217"/>
      <c r="BF8" s="217"/>
      <c r="BG8" s="217"/>
      <c r="BH8" s="217"/>
      <c r="BI8" s="217"/>
      <c r="BJ8" s="217"/>
      <c r="BK8" s="217"/>
    </row>
    <row r="9" spans="1:73">
      <c r="A9" s="383"/>
      <c r="B9" s="197" t="s">
        <v>426</v>
      </c>
      <c r="C9" s="202" t="s">
        <v>430</v>
      </c>
      <c r="D9" s="187"/>
      <c r="E9" s="200">
        <v>23437881</v>
      </c>
      <c r="F9" s="217"/>
      <c r="G9" s="200">
        <v>23437881</v>
      </c>
      <c r="I9" s="199">
        <f>+G9-E9</f>
        <v>0</v>
      </c>
      <c r="K9" s="199">
        <v>21150000</v>
      </c>
      <c r="L9" s="206"/>
      <c r="M9" s="203">
        <f>1200000+664534.2+332267.1</f>
        <v>2196801.2999999998</v>
      </c>
      <c r="O9" s="199">
        <v>0</v>
      </c>
      <c r="Q9" s="203">
        <v>-1200000</v>
      </c>
      <c r="S9" s="199"/>
      <c r="U9" s="204">
        <v>1291080</v>
      </c>
      <c r="V9" s="233"/>
      <c r="W9" s="204">
        <v>0</v>
      </c>
      <c r="X9" s="233"/>
      <c r="Y9" s="204">
        <v>0</v>
      </c>
      <c r="Z9" s="233"/>
      <c r="AA9" s="204">
        <v>0</v>
      </c>
      <c r="AB9" s="233"/>
      <c r="AC9" s="204">
        <v>0</v>
      </c>
      <c r="AD9" s="233"/>
      <c r="AE9" s="204">
        <v>0</v>
      </c>
      <c r="AF9" s="233"/>
      <c r="AG9" s="199">
        <v>0</v>
      </c>
      <c r="AI9" s="199">
        <v>0</v>
      </c>
      <c r="AK9" s="199">
        <f>SUM(K9:AJ9)</f>
        <v>23437881.300000001</v>
      </c>
      <c r="AM9" s="206"/>
      <c r="AO9" s="199">
        <v>0</v>
      </c>
      <c r="AQ9" s="206">
        <v>0</v>
      </c>
      <c r="AS9" s="206">
        <v>0</v>
      </c>
      <c r="AU9" s="206">
        <v>0</v>
      </c>
      <c r="AW9" s="206">
        <v>0</v>
      </c>
      <c r="AY9" s="206">
        <v>0</v>
      </c>
      <c r="BA9" s="206">
        <v>0</v>
      </c>
      <c r="BC9" s="206">
        <v>0</v>
      </c>
      <c r="BE9" s="206">
        <v>0</v>
      </c>
      <c r="BG9" s="206">
        <v>0</v>
      </c>
      <c r="BI9" s="206">
        <v>0</v>
      </c>
      <c r="BK9" s="206">
        <v>0</v>
      </c>
      <c r="BM9" s="478">
        <f>SUM(AK9:BL9)</f>
        <v>23437881.300000001</v>
      </c>
      <c r="BO9" s="199">
        <f>+MAX(0,G9-BM9+AM9)</f>
        <v>0</v>
      </c>
      <c r="BQ9" s="199">
        <f>SUM(BM9:BO9)</f>
        <v>23437881.300000001</v>
      </c>
      <c r="BS9" s="199">
        <f>+E9-BQ9</f>
        <v>-0.30000000074505806</v>
      </c>
    </row>
    <row r="10" spans="1:73" hidden="1">
      <c r="A10" s="383"/>
      <c r="B10" s="197" t="s">
        <v>407</v>
      </c>
      <c r="C10" s="202" t="s">
        <v>431</v>
      </c>
      <c r="D10" s="187"/>
      <c r="E10" s="200">
        <v>0</v>
      </c>
      <c r="F10" s="217"/>
      <c r="G10" s="200">
        <v>0</v>
      </c>
      <c r="I10" s="199">
        <f t="shared" ref="I10:I20" si="0">+G10-E10</f>
        <v>0</v>
      </c>
      <c r="K10" s="199">
        <v>0</v>
      </c>
      <c r="L10" s="206"/>
      <c r="M10" s="199">
        <v>0</v>
      </c>
      <c r="O10" s="199">
        <v>0</v>
      </c>
      <c r="Q10" s="199">
        <v>0</v>
      </c>
      <c r="S10" s="199">
        <v>0</v>
      </c>
      <c r="U10" s="199">
        <v>0</v>
      </c>
      <c r="V10" s="206"/>
      <c r="W10" s="199">
        <v>0</v>
      </c>
      <c r="X10" s="206"/>
      <c r="Y10" s="199">
        <v>0</v>
      </c>
      <c r="Z10" s="206"/>
      <c r="AA10" s="199">
        <v>0</v>
      </c>
      <c r="AB10" s="206"/>
      <c r="AC10" s="199">
        <v>0</v>
      </c>
      <c r="AD10" s="206"/>
      <c r="AE10" s="199">
        <v>0</v>
      </c>
      <c r="AF10" s="206"/>
      <c r="AG10" s="199">
        <v>0</v>
      </c>
      <c r="AI10" s="199">
        <v>0</v>
      </c>
      <c r="AK10" s="199">
        <f t="shared" ref="AK10:AK20" si="1">SUM(K10:AJ10)</f>
        <v>0</v>
      </c>
      <c r="AM10" s="206">
        <v>0</v>
      </c>
      <c r="AO10" s="199">
        <v>0</v>
      </c>
      <c r="AQ10" s="206">
        <v>0</v>
      </c>
      <c r="AS10" s="206">
        <v>0</v>
      </c>
      <c r="AU10" s="206">
        <v>0</v>
      </c>
      <c r="AW10" s="206">
        <v>0</v>
      </c>
      <c r="AY10" s="206">
        <v>0</v>
      </c>
      <c r="BA10" s="206">
        <v>0</v>
      </c>
      <c r="BC10" s="206">
        <v>0</v>
      </c>
      <c r="BE10" s="206">
        <v>0</v>
      </c>
      <c r="BG10" s="206">
        <v>0</v>
      </c>
      <c r="BI10" s="206">
        <v>0</v>
      </c>
      <c r="BK10" s="206">
        <v>0</v>
      </c>
      <c r="BM10" s="478">
        <f>SUM(AK10:BB10)</f>
        <v>0</v>
      </c>
      <c r="BO10" s="199">
        <f>+MAX(0,G10-BM10+AM10)</f>
        <v>0</v>
      </c>
      <c r="BQ10" s="199">
        <f t="shared" ref="BQ10:BQ20" si="2">SUM(BM10:BO10)</f>
        <v>0</v>
      </c>
      <c r="BS10" s="199">
        <f t="shared" ref="BS10:BS20" si="3">+E10-BQ10</f>
        <v>0</v>
      </c>
    </row>
    <row r="11" spans="1:73">
      <c r="A11" s="383"/>
      <c r="B11" s="197" t="s">
        <v>408</v>
      </c>
      <c r="C11" s="202" t="s">
        <v>431</v>
      </c>
      <c r="D11" s="187"/>
      <c r="E11" s="200">
        <f>2340538.83</f>
        <v>2340538.83</v>
      </c>
      <c r="F11" s="217"/>
      <c r="G11" s="200">
        <v>2340538.83</v>
      </c>
      <c r="I11" s="199">
        <f t="shared" si="0"/>
        <v>0</v>
      </c>
      <c r="K11" s="199">
        <v>0</v>
      </c>
      <c r="L11" s="206"/>
      <c r="M11" s="199">
        <f>689035.06+1378070.12</f>
        <v>2067105.1800000002</v>
      </c>
      <c r="O11" s="199">
        <v>0</v>
      </c>
      <c r="Q11" s="199">
        <v>0</v>
      </c>
      <c r="S11" s="199">
        <v>0</v>
      </c>
      <c r="U11" s="199">
        <v>0</v>
      </c>
      <c r="V11" s="206"/>
      <c r="W11" s="199">
        <f>5323.25+268110.4</f>
        <v>273433.65000000002</v>
      </c>
      <c r="X11" s="206"/>
      <c r="Y11" s="199">
        <v>0</v>
      </c>
      <c r="Z11" s="206"/>
      <c r="AA11" s="199">
        <v>0</v>
      </c>
      <c r="AB11" s="206"/>
      <c r="AC11" s="199">
        <v>0</v>
      </c>
      <c r="AD11" s="206"/>
      <c r="AE11" s="199">
        <v>0</v>
      </c>
      <c r="AF11" s="206"/>
      <c r="AG11" s="199">
        <v>0</v>
      </c>
      <c r="AI11" s="199">
        <v>0</v>
      </c>
      <c r="AK11" s="199">
        <f t="shared" si="1"/>
        <v>2340538.83</v>
      </c>
      <c r="AM11" s="206">
        <v>0</v>
      </c>
      <c r="AO11" s="199">
        <v>0</v>
      </c>
      <c r="AQ11" s="206">
        <v>0</v>
      </c>
      <c r="AS11" s="206">
        <v>0</v>
      </c>
      <c r="AU11" s="206">
        <v>0</v>
      </c>
      <c r="AW11" s="206">
        <v>0</v>
      </c>
      <c r="AY11" s="206">
        <v>0</v>
      </c>
      <c r="BA11" s="206">
        <v>0</v>
      </c>
      <c r="BC11" s="206">
        <v>0</v>
      </c>
      <c r="BE11" s="206">
        <v>0</v>
      </c>
      <c r="BG11" s="206">
        <v>0</v>
      </c>
      <c r="BI11" s="206">
        <v>0</v>
      </c>
      <c r="BK11" s="206">
        <v>0</v>
      </c>
      <c r="BM11" s="478">
        <f t="shared" ref="BM11:BM21" si="4">SUM(AK11:BL11)</f>
        <v>2340538.83</v>
      </c>
      <c r="BO11" s="199">
        <f>+MAX(0,G11-BM11+AM11)</f>
        <v>0</v>
      </c>
      <c r="BQ11" s="199">
        <f t="shared" si="2"/>
        <v>2340538.83</v>
      </c>
      <c r="BS11" s="199">
        <f t="shared" si="3"/>
        <v>0</v>
      </c>
    </row>
    <row r="12" spans="1:73">
      <c r="A12" s="383"/>
      <c r="B12" s="197" t="s">
        <v>243</v>
      </c>
      <c r="C12" s="202" t="s">
        <v>1048</v>
      </c>
      <c r="D12" s="187"/>
      <c r="E12" s="200">
        <f>'[2]Refurb Budget'!$C$62-E15+1192000</f>
        <v>16047731</v>
      </c>
      <c r="F12" s="217"/>
      <c r="G12" s="200">
        <v>19979482</v>
      </c>
      <c r="I12" s="199">
        <f t="shared" si="0"/>
        <v>3931751</v>
      </c>
      <c r="K12" s="199"/>
      <c r="L12" s="206"/>
      <c r="M12" s="199"/>
      <c r="O12" s="203"/>
      <c r="Q12" s="199"/>
      <c r="S12" s="199"/>
      <c r="U12" s="205">
        <f>183010.45+135431.96+396000+252344</f>
        <v>966786.41</v>
      </c>
      <c r="V12" s="381"/>
      <c r="W12" s="205">
        <f>53311.19+78641.11+4671.74+22604.87+28671.86+26120.07+24767.55+327.02+17664.08</f>
        <v>256779.48999999993</v>
      </c>
      <c r="X12" s="381"/>
      <c r="Y12" s="205">
        <f>3440.53+6680.84+56199.77+62060.03-78641.11-135431.96-183010.45-62060.03-22604.87-28671.86-26120.07-24767.55</f>
        <v>-432926.73</v>
      </c>
      <c r="Z12" s="381"/>
      <c r="AA12" s="205">
        <f>13833.93+9303.06+5000+20000+80000+278580+97500+5000+100000+510000</f>
        <v>1119216.99</v>
      </c>
      <c r="AB12" s="381"/>
      <c r="AC12" s="205">
        <f>47620.5+45905+12500+545437.8+150000+80000+17510.9+104297+463226.2+7168+22413.15+63659.61+5000</f>
        <v>1564738.1600000001</v>
      </c>
      <c r="AD12" s="381"/>
      <c r="AE12" s="205">
        <f>15834+63668.61+54196.5+630000+5000+15834+11145.5+3000+11000+100000+9030.98+39007.08+125000+755700+9000+203476.5+52404.53+5179.43+22526+10245.82+129539+10985+119361.69+5289+20808+49370+34500+272718.9+136359.45+5000+6980+127328+683259</f>
        <v>3742746.9899999998</v>
      </c>
      <c r="AF12" s="381"/>
      <c r="AG12" s="199">
        <f>33146+8777+5423+2644+10000+5000+82045+15834+150000+82875+100000+159161+2742+7017+15000+9000+63485+700000+186919</f>
        <v>1639068</v>
      </c>
      <c r="AI12" s="199">
        <f>60398.33+34252.67+96762+356900+12500+59980.39+450000+139019.7+3446+2561.2+1832+7160+7160+272718.9+303021+1370.36+558+1627.5+1250+2280+1624.25+3446+269.39+925+90000+175000+159160.5+152369.1</f>
        <v>2397592.29</v>
      </c>
      <c r="AK12" s="199">
        <f t="shared" si="1"/>
        <v>11254001.600000001</v>
      </c>
      <c r="AM12" s="206"/>
      <c r="AO12" s="199">
        <f>32319.35+47656.79+45840.46+158159+3190+109470.47+226375.68+107307.5+45988.93+59973.51+316800+13506.95+165580.24+29582.71+33612+28581+89336.27+272718.9+15000+10231.82+30050+300+300+2712+1069.5+139743.6+125000+29084.32</f>
        <v>2139490.9999999995</v>
      </c>
      <c r="AQ12" s="206">
        <f>105000+27013.53+139615.51+5374.81+76991.62+323039.5+21839.9+50000+45737.22+2500+6000+26390.01+27313.69+20139.65+3526.51+7781.75+32599.83+22018.36+900+324436+1415+750+1600+750+750+3685+3680+2663-780+64112</f>
        <v>1346842.89</v>
      </c>
      <c r="AS12" s="206">
        <f>750+3685+2700+29554.93+227108.35+139019.7+182928.4+925+2603+8529.09+98995.6+81517.1+135000+19206.15+25000+16218+35488.88+15561.65+208451.79+545437.8+95528.39+42682.61+3337.77+22927-140807.71+100000+90000</f>
        <v>1992348.5</v>
      </c>
      <c r="AU12" s="217">
        <f>30855.72+3204+1389+8874.49+8517.35+15064</f>
        <v>67904.56</v>
      </c>
      <c r="AW12" s="206">
        <f>67119.2+248327+521129.48+9587.59+269792+5136+112179.6</f>
        <v>1233270.8700000001</v>
      </c>
      <c r="AY12" s="206">
        <f>30074+1180.37+1701.62+11048.44+11661.52+17540.19</f>
        <v>73206.14</v>
      </c>
      <c r="BA12" s="206">
        <f>690000+440065+134402.02+57637.64+28510.18+7645.99+9355+5489.31+7958+19096.68+3855.35+129088.79</f>
        <v>1533103.96</v>
      </c>
      <c r="BC12" s="206">
        <f>8590+229895+438083+25212+72457+15000</f>
        <v>789237</v>
      </c>
      <c r="BE12" s="206">
        <f>7863+68234+142486+65744</f>
        <v>284327</v>
      </c>
      <c r="BG12" s="206">
        <f>-3855-777441</f>
        <v>-781296</v>
      </c>
      <c r="BI12" s="206">
        <f>21009+26035</f>
        <v>47044</v>
      </c>
      <c r="BK12" s="206">
        <f>1500+41029</f>
        <v>42529</v>
      </c>
      <c r="BM12" s="478">
        <f t="shared" si="4"/>
        <v>20022010.520000003</v>
      </c>
      <c r="BO12" s="199">
        <f>+MAX(0,G12-BM12+AM12)</f>
        <v>0</v>
      </c>
      <c r="BQ12" s="199">
        <f t="shared" si="2"/>
        <v>20022010.520000003</v>
      </c>
      <c r="BS12" s="199">
        <f t="shared" si="3"/>
        <v>-3974279.5200000033</v>
      </c>
    </row>
    <row r="13" spans="1:73">
      <c r="A13" s="383"/>
      <c r="B13" s="197" t="s">
        <v>251</v>
      </c>
      <c r="C13" s="202"/>
      <c r="D13" s="187"/>
      <c r="E13" s="200">
        <v>0</v>
      </c>
      <c r="F13" s="217"/>
      <c r="G13" s="200">
        <f>BM13</f>
        <v>6488243.7999999998</v>
      </c>
      <c r="I13" s="199">
        <f>+G13-E13</f>
        <v>6488243.7999999998</v>
      </c>
      <c r="K13" s="199"/>
      <c r="L13" s="206"/>
      <c r="M13" s="199"/>
      <c r="O13" s="203"/>
      <c r="Q13" s="199"/>
      <c r="S13" s="199"/>
      <c r="U13" s="205"/>
      <c r="V13" s="381"/>
      <c r="W13" s="205"/>
      <c r="X13" s="381"/>
      <c r="Y13" s="205"/>
      <c r="Z13" s="381"/>
      <c r="AA13" s="205"/>
      <c r="AB13" s="381"/>
      <c r="AC13" s="205"/>
      <c r="AD13" s="381"/>
      <c r="AE13" s="205"/>
      <c r="AF13" s="381"/>
      <c r="AK13" s="199">
        <f t="shared" si="1"/>
        <v>0</v>
      </c>
      <c r="AM13" s="206"/>
      <c r="AU13" s="217"/>
      <c r="BA13" s="206">
        <f>144960.28+92518.79+625000+429388+912762.73</f>
        <v>2204629.7999999998</v>
      </c>
      <c r="BC13" s="206">
        <f>34965+28387+28551+15000+195034+1286363+2286+72457+25212+438083-15000-72457-25212-438083</f>
        <v>1575586</v>
      </c>
      <c r="BE13" s="206">
        <f>18508+7864+17901+68234+142486+61935+22189+65745-7864-68234-142486-61935-22189-65745+84124</f>
        <v>120533</v>
      </c>
      <c r="BG13" s="206">
        <f>1312875-777441+218197-21644+843-47891-88371-1185+3000-3855+3855+777441</f>
        <v>1375824</v>
      </c>
      <c r="BI13" s="206">
        <f>1194825+4437</f>
        <v>1199262</v>
      </c>
      <c r="BK13" s="206">
        <v>12409</v>
      </c>
      <c r="BM13" s="478">
        <f t="shared" si="4"/>
        <v>6488243.7999999998</v>
      </c>
      <c r="BO13" s="199">
        <f>+MAX(0,G13-BM13+AM13)</f>
        <v>0</v>
      </c>
      <c r="BQ13" s="199">
        <f t="shared" si="2"/>
        <v>6488243.7999999998</v>
      </c>
      <c r="BS13" s="199">
        <f t="shared" si="3"/>
        <v>-6488243.7999999998</v>
      </c>
    </row>
    <row r="14" spans="1:73">
      <c r="A14" s="383"/>
      <c r="B14" s="197" t="s">
        <v>253</v>
      </c>
      <c r="C14" s="202"/>
      <c r="D14" s="187"/>
      <c r="E14" s="200">
        <v>0</v>
      </c>
      <c r="F14" s="217"/>
      <c r="G14" s="200">
        <v>-5000000</v>
      </c>
      <c r="I14" s="199">
        <f t="shared" si="0"/>
        <v>-5000000</v>
      </c>
      <c r="K14" s="199"/>
      <c r="L14" s="206"/>
      <c r="M14" s="199"/>
      <c r="O14" s="203"/>
      <c r="Q14" s="199"/>
      <c r="S14" s="199"/>
      <c r="U14" s="205"/>
      <c r="V14" s="381"/>
      <c r="W14" s="205"/>
      <c r="X14" s="381"/>
      <c r="Y14" s="205"/>
      <c r="Z14" s="381"/>
      <c r="AA14" s="205"/>
      <c r="AB14" s="381"/>
      <c r="AC14" s="205"/>
      <c r="AD14" s="381"/>
      <c r="AE14" s="205"/>
      <c r="AF14" s="381"/>
      <c r="AK14" s="199">
        <f t="shared" si="1"/>
        <v>0</v>
      </c>
      <c r="AM14" s="206"/>
      <c r="AU14" s="217"/>
      <c r="BE14" s="206">
        <f>61935+22189-84124</f>
        <v>0</v>
      </c>
      <c r="BG14" s="206">
        <f>+-124750</f>
        <v>-124750</v>
      </c>
      <c r="BI14" s="206">
        <v>0</v>
      </c>
      <c r="BK14" s="206">
        <v>0</v>
      </c>
      <c r="BM14" s="478">
        <f t="shared" si="4"/>
        <v>-124750</v>
      </c>
      <c r="BO14" s="199">
        <f>G14-BM14</f>
        <v>-4875250</v>
      </c>
      <c r="BQ14" s="199">
        <f t="shared" si="2"/>
        <v>-5000000</v>
      </c>
      <c r="BS14" s="199">
        <f t="shared" si="3"/>
        <v>5000000</v>
      </c>
    </row>
    <row r="15" spans="1:73">
      <c r="A15" s="383"/>
      <c r="B15" s="197" t="s">
        <v>512</v>
      </c>
      <c r="C15" s="202" t="s">
        <v>1048</v>
      </c>
      <c r="D15" s="187"/>
      <c r="E15" s="200">
        <v>4408479</v>
      </c>
      <c r="F15" s="217"/>
      <c r="G15" s="200">
        <v>4408479</v>
      </c>
      <c r="I15" s="199">
        <f t="shared" si="0"/>
        <v>0</v>
      </c>
      <c r="K15" s="199">
        <v>0</v>
      </c>
      <c r="L15" s="206"/>
      <c r="M15" s="199">
        <v>0</v>
      </c>
      <c r="O15" s="207">
        <v>3055146.4</v>
      </c>
      <c r="Q15" s="199">
        <v>0</v>
      </c>
      <c r="S15" s="199">
        <f>2444117</f>
        <v>2444117</v>
      </c>
      <c r="U15" s="199">
        <v>0</v>
      </c>
      <c r="V15" s="206"/>
      <c r="W15" s="199">
        <v>0</v>
      </c>
      <c r="X15" s="206"/>
      <c r="Y15" s="199">
        <v>-1531631.9</v>
      </c>
      <c r="Z15" s="206"/>
      <c r="AA15" s="199">
        <v>0</v>
      </c>
      <c r="AB15" s="206"/>
      <c r="AC15" s="199">
        <v>0</v>
      </c>
      <c r="AD15" s="206"/>
      <c r="AE15" s="199">
        <v>0</v>
      </c>
      <c r="AF15" s="206"/>
      <c r="AG15" s="199">
        <v>0</v>
      </c>
      <c r="AI15" s="199">
        <v>611029</v>
      </c>
      <c r="AK15" s="199">
        <f>SUM(K15:AJ15)</f>
        <v>4578660.5</v>
      </c>
      <c r="AM15" s="206">
        <v>0</v>
      </c>
      <c r="AO15" s="199">
        <v>0</v>
      </c>
      <c r="AQ15" s="206">
        <f>-170181</f>
        <v>-170181</v>
      </c>
      <c r="AS15" s="206">
        <v>0</v>
      </c>
      <c r="AU15" s="217">
        <v>0</v>
      </c>
      <c r="AW15" s="206">
        <v>0</v>
      </c>
      <c r="AY15" s="206">
        <v>0</v>
      </c>
      <c r="BA15" s="206">
        <v>0</v>
      </c>
      <c r="BC15" s="206">
        <v>0</v>
      </c>
      <c r="BE15" s="206">
        <v>0</v>
      </c>
      <c r="BG15" s="206">
        <v>0</v>
      </c>
      <c r="BI15" s="206">
        <v>0</v>
      </c>
      <c r="BK15" s="206">
        <v>0</v>
      </c>
      <c r="BM15" s="478">
        <f t="shared" si="4"/>
        <v>4408479.5</v>
      </c>
      <c r="BO15" s="199">
        <f>+MAX(0,G15-BM15+AM15)</f>
        <v>0</v>
      </c>
      <c r="BQ15" s="199">
        <f t="shared" si="2"/>
        <v>4408479.5</v>
      </c>
      <c r="BS15" s="199">
        <f t="shared" si="3"/>
        <v>-0.5</v>
      </c>
    </row>
    <row r="16" spans="1:73">
      <c r="A16" s="383"/>
      <c r="B16" s="197" t="s">
        <v>427</v>
      </c>
      <c r="C16" s="202" t="s">
        <v>432</v>
      </c>
      <c r="D16" s="187"/>
      <c r="E16" s="200">
        <f>32172000</f>
        <v>32172000</v>
      </c>
      <c r="F16" s="217"/>
      <c r="G16" s="200">
        <f>32572000-60717+4897</f>
        <v>32516180</v>
      </c>
      <c r="I16" s="199">
        <f t="shared" si="0"/>
        <v>344180</v>
      </c>
      <c r="K16" s="199">
        <v>0</v>
      </c>
      <c r="L16" s="206"/>
      <c r="M16" s="199">
        <v>0</v>
      </c>
      <c r="O16" s="199">
        <v>0</v>
      </c>
      <c r="Q16" s="203">
        <f>2850000</f>
        <v>2850000</v>
      </c>
      <c r="S16" s="199">
        <f>500000+2720000-2850000</f>
        <v>370000</v>
      </c>
      <c r="U16" s="208">
        <f>500000+1632000</f>
        <v>2132000</v>
      </c>
      <c r="V16" s="218"/>
      <c r="W16" s="208">
        <f>500000+1632000</f>
        <v>2132000</v>
      </c>
      <c r="X16" s="218"/>
      <c r="Y16" s="208">
        <f>500000+1632000</f>
        <v>2132000</v>
      </c>
      <c r="Z16" s="218"/>
      <c r="AA16" s="208">
        <f>500000+1632000</f>
        <v>2132000</v>
      </c>
      <c r="AB16" s="218"/>
      <c r="AC16" s="208">
        <f>1632000+500000</f>
        <v>2132000</v>
      </c>
      <c r="AD16" s="218"/>
      <c r="AE16" s="208">
        <f>1632000+500000</f>
        <v>2132000</v>
      </c>
      <c r="AF16" s="218"/>
      <c r="AG16" s="199">
        <f>1632000+500000+1632000</f>
        <v>3764000</v>
      </c>
      <c r="AI16" s="199">
        <v>532622</v>
      </c>
      <c r="AK16" s="199">
        <f t="shared" si="1"/>
        <v>20308622</v>
      </c>
      <c r="AM16" s="206">
        <v>0</v>
      </c>
      <c r="AO16" s="199">
        <v>1632000</v>
      </c>
      <c r="AQ16" s="206">
        <v>1632000</v>
      </c>
      <c r="AS16" s="206">
        <f>3400000+3400000</f>
        <v>6800000</v>
      </c>
      <c r="AU16" s="217">
        <f>680000+680000</f>
        <v>1360000</v>
      </c>
      <c r="AW16" s="206">
        <v>400000</v>
      </c>
      <c r="AY16" s="206">
        <v>0</v>
      </c>
      <c r="BA16" s="206">
        <v>0</v>
      </c>
      <c r="BC16" s="206">
        <f>1340275-896000</f>
        <v>444275</v>
      </c>
      <c r="BE16" s="206">
        <v>0</v>
      </c>
      <c r="BG16" s="206">
        <v>0</v>
      </c>
      <c r="BI16" s="206">
        <v>0</v>
      </c>
      <c r="BK16" s="206">
        <f>-60720+57186</f>
        <v>-3534</v>
      </c>
      <c r="BM16" s="478">
        <f t="shared" si="4"/>
        <v>32573363</v>
      </c>
      <c r="BO16" s="199">
        <v>0</v>
      </c>
      <c r="BQ16" s="199">
        <f t="shared" si="2"/>
        <v>32573363</v>
      </c>
      <c r="BS16" s="199">
        <f t="shared" si="3"/>
        <v>-401363</v>
      </c>
    </row>
    <row r="17" spans="1:71">
      <c r="A17" s="383"/>
      <c r="B17" s="197" t="s">
        <v>428</v>
      </c>
      <c r="C17" s="202" t="s">
        <v>432</v>
      </c>
      <c r="D17" s="187"/>
      <c r="E17" s="200">
        <v>896000</v>
      </c>
      <c r="F17" s="217"/>
      <c r="G17" s="200">
        <v>896000</v>
      </c>
      <c r="I17" s="199">
        <f t="shared" si="0"/>
        <v>0</v>
      </c>
      <c r="K17" s="199"/>
      <c r="L17" s="206"/>
      <c r="M17" s="199"/>
      <c r="O17" s="199"/>
      <c r="Q17" s="199"/>
      <c r="S17" s="199">
        <v>0</v>
      </c>
      <c r="U17" s="199"/>
      <c r="V17" s="206"/>
      <c r="W17" s="199"/>
      <c r="X17" s="206"/>
      <c r="Y17" s="199"/>
      <c r="Z17" s="206"/>
      <c r="AA17" s="199"/>
      <c r="AB17" s="206"/>
      <c r="AC17" s="199"/>
      <c r="AD17" s="206"/>
      <c r="AE17" s="199"/>
      <c r="AF17" s="206"/>
      <c r="AK17" s="199">
        <f t="shared" si="1"/>
        <v>0</v>
      </c>
      <c r="AM17" s="206"/>
      <c r="AO17" s="199">
        <v>0</v>
      </c>
      <c r="AQ17" s="206">
        <v>0</v>
      </c>
      <c r="AS17" s="206">
        <v>0</v>
      </c>
      <c r="AU17" s="217">
        <v>0</v>
      </c>
      <c r="AW17" s="206">
        <v>0</v>
      </c>
      <c r="AY17" s="206">
        <v>0</v>
      </c>
      <c r="BA17" s="206">
        <v>0</v>
      </c>
      <c r="BC17" s="206">
        <v>896000</v>
      </c>
      <c r="BE17" s="206">
        <v>0</v>
      </c>
      <c r="BG17" s="206">
        <v>0</v>
      </c>
      <c r="BI17" s="206">
        <v>0</v>
      </c>
      <c r="BK17" s="206">
        <v>0</v>
      </c>
      <c r="BM17" s="478">
        <f t="shared" si="4"/>
        <v>896000</v>
      </c>
      <c r="BO17" s="199">
        <f>+MAX(0,G17-BM17+AM17)</f>
        <v>0</v>
      </c>
      <c r="BQ17" s="199">
        <f t="shared" si="2"/>
        <v>896000</v>
      </c>
      <c r="BS17" s="199">
        <f t="shared" si="3"/>
        <v>0</v>
      </c>
    </row>
    <row r="18" spans="1:71" hidden="1">
      <c r="A18" s="383"/>
      <c r="B18" s="197" t="s">
        <v>429</v>
      </c>
      <c r="C18" s="202" t="s">
        <v>432</v>
      </c>
      <c r="D18" s="187"/>
      <c r="E18" s="200">
        <v>0</v>
      </c>
      <c r="F18" s="217"/>
      <c r="G18" s="200">
        <v>0</v>
      </c>
      <c r="I18" s="199">
        <f t="shared" si="0"/>
        <v>0</v>
      </c>
      <c r="K18" s="199">
        <v>0</v>
      </c>
      <c r="L18" s="206"/>
      <c r="M18" s="199">
        <v>0</v>
      </c>
      <c r="O18" s="199">
        <v>0</v>
      </c>
      <c r="Q18" s="199">
        <v>0</v>
      </c>
      <c r="S18" s="199">
        <v>0</v>
      </c>
      <c r="U18" s="199">
        <v>0</v>
      </c>
      <c r="V18" s="206"/>
      <c r="W18" s="199">
        <v>0</v>
      </c>
      <c r="X18" s="206"/>
      <c r="Y18" s="199">
        <v>0</v>
      </c>
      <c r="Z18" s="206"/>
      <c r="AA18" s="199">
        <v>0</v>
      </c>
      <c r="AB18" s="206"/>
      <c r="AC18" s="199">
        <v>0</v>
      </c>
      <c r="AD18" s="206"/>
      <c r="AE18" s="199">
        <v>0</v>
      </c>
      <c r="AF18" s="206"/>
      <c r="AG18" s="199">
        <v>0</v>
      </c>
      <c r="AI18" s="199">
        <v>0</v>
      </c>
      <c r="AK18" s="199">
        <f t="shared" si="1"/>
        <v>0</v>
      </c>
      <c r="AM18" s="206">
        <v>0</v>
      </c>
      <c r="AO18" s="199">
        <v>0</v>
      </c>
      <c r="AQ18" s="206">
        <v>0</v>
      </c>
      <c r="AS18" s="206">
        <v>0</v>
      </c>
      <c r="AU18" s="217">
        <v>0</v>
      </c>
      <c r="AW18" s="206">
        <v>0</v>
      </c>
      <c r="AY18" s="206">
        <v>0</v>
      </c>
      <c r="BA18" s="206">
        <v>0</v>
      </c>
      <c r="BC18" s="206">
        <v>0</v>
      </c>
      <c r="BE18" s="206">
        <v>0</v>
      </c>
      <c r="BG18" s="206">
        <v>0</v>
      </c>
      <c r="BI18" s="206">
        <v>0</v>
      </c>
      <c r="BK18" s="206">
        <v>0</v>
      </c>
      <c r="BM18" s="478">
        <f t="shared" si="4"/>
        <v>0</v>
      </c>
      <c r="BO18" s="199">
        <f>+MAX(0,G18-BM18+AM18)</f>
        <v>0</v>
      </c>
      <c r="BQ18" s="199">
        <f t="shared" si="2"/>
        <v>0</v>
      </c>
      <c r="BS18" s="199">
        <f t="shared" si="3"/>
        <v>0</v>
      </c>
    </row>
    <row r="19" spans="1:71">
      <c r="A19" s="383"/>
      <c r="B19" s="197" t="s">
        <v>6</v>
      </c>
      <c r="C19" s="202"/>
      <c r="D19" s="187"/>
      <c r="E19" s="200">
        <v>345000</v>
      </c>
      <c r="F19" s="217"/>
      <c r="G19" s="200">
        <v>0</v>
      </c>
      <c r="I19" s="199">
        <f t="shared" si="0"/>
        <v>-345000</v>
      </c>
      <c r="K19" s="199"/>
      <c r="L19" s="206"/>
      <c r="M19" s="199"/>
      <c r="O19" s="199"/>
      <c r="Q19" s="199"/>
      <c r="S19" s="199"/>
      <c r="U19" s="199"/>
      <c r="V19" s="206"/>
      <c r="W19" s="199"/>
      <c r="X19" s="206"/>
      <c r="Y19" s="199"/>
      <c r="Z19" s="206"/>
      <c r="AA19" s="199"/>
      <c r="AB19" s="206"/>
      <c r="AC19" s="199"/>
      <c r="AD19" s="206"/>
      <c r="AE19" s="199"/>
      <c r="AF19" s="206"/>
      <c r="AM19" s="206"/>
      <c r="AS19" s="206">
        <v>0</v>
      </c>
      <c r="AU19" s="217">
        <v>0</v>
      </c>
      <c r="AW19" s="206">
        <v>0</v>
      </c>
      <c r="AY19" s="206">
        <v>0</v>
      </c>
      <c r="BA19" s="206">
        <v>0</v>
      </c>
      <c r="BC19" s="206">
        <v>0</v>
      </c>
      <c r="BE19" s="206">
        <v>0</v>
      </c>
      <c r="BG19" s="206">
        <v>0</v>
      </c>
      <c r="BI19" s="206">
        <v>0</v>
      </c>
      <c r="BK19" s="206">
        <v>0</v>
      </c>
      <c r="BM19" s="478">
        <f t="shared" si="4"/>
        <v>0</v>
      </c>
      <c r="BO19" s="199">
        <f>+MAX(0,G19-BM19+AM19)</f>
        <v>0</v>
      </c>
      <c r="BQ19" s="199">
        <f t="shared" si="2"/>
        <v>0</v>
      </c>
      <c r="BS19" s="199">
        <f t="shared" si="3"/>
        <v>345000</v>
      </c>
    </row>
    <row r="20" spans="1:71">
      <c r="A20" s="383"/>
      <c r="B20" s="197" t="s">
        <v>537</v>
      </c>
      <c r="C20" s="187"/>
      <c r="D20" s="187"/>
      <c r="E20" s="200">
        <v>500000</v>
      </c>
      <c r="F20" s="217"/>
      <c r="G20" s="200">
        <v>506020</v>
      </c>
      <c r="I20" s="199">
        <f t="shared" si="0"/>
        <v>6020</v>
      </c>
      <c r="K20" s="199">
        <v>0</v>
      </c>
      <c r="L20" s="206"/>
      <c r="M20" s="199">
        <v>0</v>
      </c>
      <c r="O20" s="203"/>
      <c r="Q20" s="199">
        <v>0</v>
      </c>
      <c r="S20" s="199"/>
      <c r="U20" s="199">
        <v>0</v>
      </c>
      <c r="V20" s="206"/>
      <c r="W20" s="199">
        <v>0</v>
      </c>
      <c r="X20" s="206"/>
      <c r="Y20" s="199">
        <v>0</v>
      </c>
      <c r="Z20" s="206"/>
      <c r="AA20" s="199"/>
      <c r="AB20" s="206"/>
      <c r="AC20" s="199">
        <v>10132</v>
      </c>
      <c r="AD20" s="206"/>
      <c r="AE20" s="199">
        <v>52750</v>
      </c>
      <c r="AF20" s="206"/>
      <c r="AG20" s="199">
        <v>34278</v>
      </c>
      <c r="AI20" s="199">
        <v>21750.25</v>
      </c>
      <c r="AK20" s="199">
        <f t="shared" si="1"/>
        <v>118910.25</v>
      </c>
      <c r="AM20" s="206">
        <v>0</v>
      </c>
      <c r="AO20" s="199">
        <v>20421.09</v>
      </c>
      <c r="AQ20" s="206">
        <v>22912.59</v>
      </c>
      <c r="AS20" s="206">
        <f>41788.38</f>
        <v>41788.379999999997</v>
      </c>
      <c r="AU20" s="217">
        <f>55874.52</f>
        <v>55874.52</v>
      </c>
      <c r="AW20" s="206">
        <v>41048.949999999997</v>
      </c>
      <c r="AY20" s="459">
        <f>51910.59+31243.02</f>
        <v>83153.61</v>
      </c>
      <c r="BA20" s="459">
        <v>0</v>
      </c>
      <c r="BC20" s="459">
        <f>32352+40000+5477</f>
        <v>77829</v>
      </c>
      <c r="BD20" s="459"/>
      <c r="BE20" s="459">
        <v>0</v>
      </c>
      <c r="BF20" s="459"/>
      <c r="BG20" s="459">
        <v>26056</v>
      </c>
      <c r="BH20" s="459"/>
      <c r="BI20" s="459"/>
      <c r="BJ20" s="459"/>
      <c r="BK20" s="459"/>
      <c r="BM20" s="478">
        <f t="shared" si="4"/>
        <v>487994.38999999996</v>
      </c>
      <c r="BO20" s="199">
        <f>+MAX(0,G20-BM20+AM20)</f>
        <v>18025.610000000044</v>
      </c>
      <c r="BQ20" s="199">
        <f t="shared" si="2"/>
        <v>506020</v>
      </c>
      <c r="BS20" s="199">
        <f t="shared" si="3"/>
        <v>-6020</v>
      </c>
    </row>
    <row r="21" spans="1:71">
      <c r="A21" s="383"/>
      <c r="B21" s="197"/>
      <c r="C21" s="187"/>
      <c r="D21" s="187"/>
      <c r="E21" s="206"/>
      <c r="G21" s="206"/>
      <c r="I21" s="206"/>
      <c r="K21" s="206"/>
      <c r="L21" s="206"/>
      <c r="M21" s="206"/>
      <c r="O21" s="206"/>
      <c r="Q21" s="206"/>
      <c r="S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I21" s="206"/>
      <c r="AK21" s="206"/>
      <c r="AM21" s="206"/>
      <c r="AO21" s="206"/>
      <c r="AU21" s="217"/>
      <c r="BM21" s="478">
        <f t="shared" si="4"/>
        <v>0</v>
      </c>
      <c r="BO21" s="206"/>
      <c r="BQ21" s="206"/>
    </row>
    <row r="22" spans="1:71">
      <c r="A22" s="383"/>
      <c r="B22" s="197" t="s">
        <v>433</v>
      </c>
      <c r="C22" s="187"/>
      <c r="D22" s="187"/>
      <c r="E22" s="209">
        <f>SUM(E9:E21)</f>
        <v>80147629.829999998</v>
      </c>
      <c r="G22" s="209">
        <f>SUM(G9:G20)</f>
        <v>85572824.629999995</v>
      </c>
      <c r="I22" s="209">
        <f>SUM(I9:I21)</f>
        <v>5425194.8000000007</v>
      </c>
      <c r="K22" s="209">
        <f>SUM(K9:K21)</f>
        <v>21150000</v>
      </c>
      <c r="L22" s="206"/>
      <c r="M22" s="209">
        <f>SUM(M9:M21)</f>
        <v>4263906.4800000004</v>
      </c>
      <c r="O22" s="209">
        <f>SUM(O9:O21)</f>
        <v>3055146.4</v>
      </c>
      <c r="Q22" s="209">
        <f>SUM(Q9:Q21)</f>
        <v>1650000</v>
      </c>
      <c r="S22" s="209">
        <f>SUM(S9:S21)</f>
        <v>2814117</v>
      </c>
      <c r="U22" s="209">
        <f>SUM(U9:U21)</f>
        <v>4389866.41</v>
      </c>
      <c r="V22" s="206"/>
      <c r="W22" s="209">
        <f>SUM(W9:W21)</f>
        <v>2662213.1399999997</v>
      </c>
      <c r="X22" s="206"/>
      <c r="Y22" s="209">
        <f>SUM(Y9:Y21)</f>
        <v>167441.37000000011</v>
      </c>
      <c r="Z22" s="206"/>
      <c r="AA22" s="209">
        <f>SUM(AA9:AA21)</f>
        <v>3251216.99</v>
      </c>
      <c r="AB22" s="206"/>
      <c r="AC22" s="209">
        <f>SUM(AC9:AC21)</f>
        <v>3706870.16</v>
      </c>
      <c r="AD22" s="206"/>
      <c r="AE22" s="209">
        <f>SUM(AE9:AE21)</f>
        <v>5927496.9900000002</v>
      </c>
      <c r="AF22" s="206"/>
      <c r="AG22" s="209">
        <f>SUM(AG9:AG21)</f>
        <v>5437346</v>
      </c>
      <c r="AI22" s="209">
        <f>SUM(AI9:AI21)</f>
        <v>3562993.54</v>
      </c>
      <c r="AK22" s="209">
        <f>SUM(AK9:AK21)</f>
        <v>62038614.480000004</v>
      </c>
      <c r="AM22" s="206">
        <f>SUM(AM9:AM21)</f>
        <v>0</v>
      </c>
      <c r="AO22" s="209">
        <f>SUM(AO9:AO21)</f>
        <v>3791912.0899999994</v>
      </c>
      <c r="AQ22" s="209">
        <f>SUM(AQ9:AQ21)</f>
        <v>2831574.4799999995</v>
      </c>
      <c r="AS22" s="209">
        <f>SUM(AS9:AS21)</f>
        <v>8834136.8800000008</v>
      </c>
      <c r="AU22" s="209">
        <f>SUM(AU9:AU21)</f>
        <v>1483779.08</v>
      </c>
      <c r="AW22" s="209">
        <f>SUM(AW9:AW21)</f>
        <v>1674319.82</v>
      </c>
      <c r="AY22" s="209">
        <f>SUM(AY9:AY21)</f>
        <v>156359.75</v>
      </c>
      <c r="BA22" s="209">
        <f>SUM(BA9:BA21)</f>
        <v>3737733.76</v>
      </c>
      <c r="BC22" s="209">
        <f>SUM(BC9:BC21)</f>
        <v>3782927</v>
      </c>
      <c r="BE22" s="209">
        <f>SUM(BE9:BE21)</f>
        <v>404860</v>
      </c>
      <c r="BG22" s="209">
        <f>SUM(BG9:BG21)</f>
        <v>495834</v>
      </c>
      <c r="BI22" s="209">
        <f>SUM(BI9:BI21)</f>
        <v>1246306</v>
      </c>
      <c r="BK22" s="209">
        <f>SUM(BK9:BK21)</f>
        <v>51404</v>
      </c>
      <c r="BM22" s="479">
        <f>SUM(BM9:BM21)</f>
        <v>90529761.340000004</v>
      </c>
      <c r="BO22" s="209">
        <f>SUM(BO9:BO21)</f>
        <v>-4857224.3899999997</v>
      </c>
      <c r="BQ22" s="209">
        <f>SUM(BQ9:BQ21)</f>
        <v>85672536.950000003</v>
      </c>
      <c r="BS22" s="209">
        <f>SUM(BS9:BS21)</f>
        <v>-5524907.1200000048</v>
      </c>
    </row>
    <row r="24" spans="1:71">
      <c r="A24" s="383"/>
      <c r="B24" s="197" t="s">
        <v>244</v>
      </c>
      <c r="C24" s="187"/>
      <c r="D24" s="187"/>
      <c r="E24" s="199">
        <v>173702</v>
      </c>
      <c r="G24" s="200">
        <v>165430</v>
      </c>
      <c r="I24" s="199">
        <f>+G24-E24</f>
        <v>-8272</v>
      </c>
      <c r="K24" s="199">
        <v>0</v>
      </c>
      <c r="L24" s="206"/>
      <c r="M24" s="199">
        <v>0</v>
      </c>
      <c r="O24" s="199">
        <v>0</v>
      </c>
      <c r="Q24" s="199">
        <v>0</v>
      </c>
      <c r="S24" s="199">
        <v>0</v>
      </c>
      <c r="U24" s="199">
        <v>0</v>
      </c>
      <c r="V24" s="206"/>
      <c r="W24" s="199">
        <v>0</v>
      </c>
      <c r="X24" s="206"/>
      <c r="Y24" s="199">
        <v>0</v>
      </c>
      <c r="Z24" s="206"/>
      <c r="AA24" s="199">
        <v>0</v>
      </c>
      <c r="AB24" s="206"/>
      <c r="AC24" s="199">
        <v>0</v>
      </c>
      <c r="AD24" s="206"/>
      <c r="AE24" s="199">
        <v>0</v>
      </c>
      <c r="AF24" s="206"/>
      <c r="AG24" s="199">
        <v>165430</v>
      </c>
      <c r="AI24" s="199">
        <v>0</v>
      </c>
      <c r="AK24" s="199">
        <f t="shared" ref="AK24:AK32" si="5">SUM(K24:AJ24)</f>
        <v>165430</v>
      </c>
      <c r="AM24" s="206">
        <v>0</v>
      </c>
      <c r="AO24" s="199">
        <v>0</v>
      </c>
      <c r="AQ24" s="206">
        <v>0</v>
      </c>
      <c r="AS24" s="206">
        <v>0</v>
      </c>
      <c r="AU24" s="206">
        <v>0</v>
      </c>
      <c r="AW24" s="206">
        <v>0</v>
      </c>
      <c r="AY24" s="206">
        <v>0</v>
      </c>
      <c r="BA24" s="206">
        <v>0</v>
      </c>
      <c r="BC24" s="206">
        <v>0</v>
      </c>
      <c r="BE24" s="206">
        <v>0</v>
      </c>
      <c r="BG24" s="206">
        <v>0</v>
      </c>
      <c r="BI24" s="206">
        <v>0</v>
      </c>
      <c r="BK24" s="206">
        <v>0</v>
      </c>
      <c r="BM24" s="478">
        <f>SUM(AK24:BL24)</f>
        <v>165430</v>
      </c>
      <c r="BO24" s="199">
        <v>0</v>
      </c>
      <c r="BQ24" s="199">
        <f>SUM(BM24:BO24)</f>
        <v>165430</v>
      </c>
      <c r="BS24" s="199">
        <f>+E24-BQ24</f>
        <v>8272</v>
      </c>
    </row>
    <row r="25" spans="1:71">
      <c r="A25" s="383"/>
      <c r="B25" s="197" t="s">
        <v>245</v>
      </c>
      <c r="C25" s="187"/>
      <c r="D25" s="187"/>
      <c r="E25" s="199">
        <v>79124</v>
      </c>
      <c r="G25" s="200">
        <v>75356</v>
      </c>
      <c r="I25" s="199">
        <f>+G25-E25</f>
        <v>-3768</v>
      </c>
      <c r="K25" s="199">
        <v>0</v>
      </c>
      <c r="L25" s="206"/>
      <c r="M25" s="199">
        <v>0</v>
      </c>
      <c r="O25" s="199">
        <v>0</v>
      </c>
      <c r="Q25" s="199">
        <v>0</v>
      </c>
      <c r="S25" s="199">
        <v>0</v>
      </c>
      <c r="U25" s="199">
        <v>0</v>
      </c>
      <c r="V25" s="206"/>
      <c r="W25" s="199">
        <v>0</v>
      </c>
      <c r="X25" s="206"/>
      <c r="Y25" s="199">
        <v>0</v>
      </c>
      <c r="Z25" s="206"/>
      <c r="AA25" s="199">
        <v>0</v>
      </c>
      <c r="AB25" s="206"/>
      <c r="AC25" s="199">
        <v>0</v>
      </c>
      <c r="AD25" s="206"/>
      <c r="AE25" s="199">
        <v>0</v>
      </c>
      <c r="AF25" s="206"/>
      <c r="AG25" s="199">
        <v>75356</v>
      </c>
      <c r="AI25" s="199">
        <v>0</v>
      </c>
      <c r="AK25" s="199">
        <f t="shared" si="5"/>
        <v>75356</v>
      </c>
      <c r="AM25" s="206">
        <v>0</v>
      </c>
      <c r="AO25" s="199">
        <v>0</v>
      </c>
      <c r="AQ25" s="206">
        <v>0</v>
      </c>
      <c r="AS25" s="206">
        <v>0</v>
      </c>
      <c r="AU25" s="206">
        <v>0</v>
      </c>
      <c r="AW25" s="206">
        <v>0</v>
      </c>
      <c r="AY25" s="206">
        <v>0</v>
      </c>
      <c r="BA25" s="206">
        <v>0</v>
      </c>
      <c r="BC25" s="206">
        <v>0</v>
      </c>
      <c r="BE25" s="206">
        <v>0</v>
      </c>
      <c r="BG25" s="206">
        <v>0</v>
      </c>
      <c r="BI25" s="206">
        <v>0</v>
      </c>
      <c r="BK25" s="206">
        <v>0</v>
      </c>
      <c r="BM25" s="478">
        <f>SUM(AK25:BL25)</f>
        <v>75356</v>
      </c>
      <c r="BO25" s="199">
        <v>0</v>
      </c>
      <c r="BQ25" s="199">
        <f>SUM(BM25:BO25)</f>
        <v>75356</v>
      </c>
      <c r="BS25" s="199">
        <f>+E25-BQ25</f>
        <v>3768</v>
      </c>
    </row>
    <row r="26" spans="1:71" hidden="1">
      <c r="A26" s="383"/>
      <c r="B26" s="197" t="s">
        <v>246</v>
      </c>
      <c r="C26" s="187"/>
      <c r="D26" s="187"/>
      <c r="E26" s="199">
        <v>0</v>
      </c>
      <c r="G26" s="200">
        <f t="shared" ref="G26:G32" si="6">+E26+I26</f>
        <v>0</v>
      </c>
      <c r="I26" s="199">
        <v>0</v>
      </c>
      <c r="K26" s="199">
        <v>0</v>
      </c>
      <c r="L26" s="206"/>
      <c r="M26" s="199">
        <v>0</v>
      </c>
      <c r="O26" s="199">
        <v>0</v>
      </c>
      <c r="Q26" s="199">
        <v>0</v>
      </c>
      <c r="S26" s="199">
        <v>0</v>
      </c>
      <c r="U26" s="199">
        <v>0</v>
      </c>
      <c r="V26" s="206"/>
      <c r="W26" s="199">
        <v>0</v>
      </c>
      <c r="X26" s="206"/>
      <c r="Y26" s="199">
        <v>0</v>
      </c>
      <c r="Z26" s="206"/>
      <c r="AA26" s="199">
        <v>0</v>
      </c>
      <c r="AB26" s="206"/>
      <c r="AC26" s="199">
        <v>0</v>
      </c>
      <c r="AD26" s="206"/>
      <c r="AF26" s="206"/>
      <c r="AK26" s="199">
        <f t="shared" si="5"/>
        <v>0</v>
      </c>
      <c r="AM26" s="206">
        <v>0</v>
      </c>
      <c r="BM26" s="478">
        <f t="shared" ref="BM26:BM32" si="7">SUM(AC26:AT26)</f>
        <v>0</v>
      </c>
      <c r="BO26" s="199">
        <f t="shared" ref="BO26:BO33" si="8">G26-BM26</f>
        <v>0</v>
      </c>
      <c r="BQ26" s="199">
        <f t="shared" ref="BQ26:BQ32" si="9">+AK26+BO26</f>
        <v>0</v>
      </c>
      <c r="BS26" s="351">
        <f t="shared" ref="BS26:BS32" si="10">+G26-BQ26</f>
        <v>0</v>
      </c>
    </row>
    <row r="27" spans="1:71" hidden="1">
      <c r="A27" s="383"/>
      <c r="B27" s="197" t="s">
        <v>247</v>
      </c>
      <c r="C27" s="187"/>
      <c r="D27" s="187"/>
      <c r="E27" s="199">
        <v>0</v>
      </c>
      <c r="G27" s="200">
        <f t="shared" si="6"/>
        <v>0</v>
      </c>
      <c r="I27" s="199">
        <v>0</v>
      </c>
      <c r="K27" s="199">
        <v>0</v>
      </c>
      <c r="L27" s="206"/>
      <c r="M27" s="199">
        <v>0</v>
      </c>
      <c r="O27" s="199">
        <v>0</v>
      </c>
      <c r="Q27" s="199">
        <v>0</v>
      </c>
      <c r="S27" s="199">
        <v>0</v>
      </c>
      <c r="U27" s="199">
        <v>0</v>
      </c>
      <c r="V27" s="206"/>
      <c r="W27" s="199">
        <v>0</v>
      </c>
      <c r="X27" s="206"/>
      <c r="Y27" s="199">
        <v>0</v>
      </c>
      <c r="Z27" s="206"/>
      <c r="AA27" s="199">
        <v>0</v>
      </c>
      <c r="AB27" s="206"/>
      <c r="AC27" s="199">
        <v>0</v>
      </c>
      <c r="AD27" s="206"/>
      <c r="AE27" s="199">
        <v>0</v>
      </c>
      <c r="AF27" s="206"/>
      <c r="AG27" s="199">
        <v>0</v>
      </c>
      <c r="AI27" s="199">
        <v>0</v>
      </c>
      <c r="AK27" s="199">
        <f t="shared" si="5"/>
        <v>0</v>
      </c>
      <c r="AM27" s="206">
        <v>0</v>
      </c>
      <c r="AO27" s="199">
        <v>0</v>
      </c>
      <c r="AQ27" s="206">
        <v>0</v>
      </c>
      <c r="AS27" s="206">
        <v>0</v>
      </c>
      <c r="AU27" s="206">
        <v>0</v>
      </c>
      <c r="AW27" s="206">
        <v>0</v>
      </c>
      <c r="AY27" s="206">
        <v>0</v>
      </c>
      <c r="BA27" s="206">
        <v>0</v>
      </c>
      <c r="BC27" s="206">
        <v>0</v>
      </c>
      <c r="BE27" s="206">
        <v>0</v>
      </c>
      <c r="BG27" s="206">
        <v>0</v>
      </c>
      <c r="BI27" s="206">
        <v>0</v>
      </c>
      <c r="BK27" s="206">
        <v>0</v>
      </c>
      <c r="BM27" s="478">
        <f t="shared" si="7"/>
        <v>0</v>
      </c>
      <c r="BO27" s="199">
        <f t="shared" si="8"/>
        <v>0</v>
      </c>
      <c r="BQ27" s="199">
        <f t="shared" si="9"/>
        <v>0</v>
      </c>
      <c r="BS27" s="199">
        <f t="shared" si="10"/>
        <v>0</v>
      </c>
    </row>
    <row r="28" spans="1:71" hidden="1">
      <c r="A28" s="383"/>
      <c r="B28" s="197" t="s">
        <v>248</v>
      </c>
      <c r="C28" s="187"/>
      <c r="D28" s="187"/>
      <c r="E28" s="199">
        <v>0</v>
      </c>
      <c r="G28" s="200">
        <f t="shared" si="6"/>
        <v>0</v>
      </c>
      <c r="I28" s="199">
        <v>0</v>
      </c>
      <c r="K28" s="199">
        <v>0</v>
      </c>
      <c r="L28" s="206"/>
      <c r="M28" s="199">
        <v>0</v>
      </c>
      <c r="O28" s="199">
        <v>0</v>
      </c>
      <c r="Q28" s="199">
        <v>0</v>
      </c>
      <c r="S28" s="199">
        <v>0</v>
      </c>
      <c r="U28" s="199">
        <v>0</v>
      </c>
      <c r="V28" s="206"/>
      <c r="W28" s="199">
        <v>0</v>
      </c>
      <c r="X28" s="206"/>
      <c r="Y28" s="199">
        <v>0</v>
      </c>
      <c r="Z28" s="206"/>
      <c r="AA28" s="199">
        <v>0</v>
      </c>
      <c r="AB28" s="206"/>
      <c r="AC28" s="199">
        <v>0</v>
      </c>
      <c r="AD28" s="206"/>
      <c r="AE28" s="199">
        <v>0</v>
      </c>
      <c r="AF28" s="206"/>
      <c r="AG28" s="199">
        <v>0</v>
      </c>
      <c r="AI28" s="199">
        <v>0</v>
      </c>
      <c r="AK28" s="199">
        <f t="shared" si="5"/>
        <v>0</v>
      </c>
      <c r="AM28" s="206">
        <v>0</v>
      </c>
      <c r="AO28" s="199">
        <v>0</v>
      </c>
      <c r="AQ28" s="206">
        <v>0</v>
      </c>
      <c r="AS28" s="206">
        <v>0</v>
      </c>
      <c r="AU28" s="206">
        <v>0</v>
      </c>
      <c r="AW28" s="206">
        <v>0</v>
      </c>
      <c r="AY28" s="206">
        <v>0</v>
      </c>
      <c r="BA28" s="206">
        <v>0</v>
      </c>
      <c r="BC28" s="206">
        <v>0</v>
      </c>
      <c r="BE28" s="206">
        <v>0</v>
      </c>
      <c r="BG28" s="206">
        <v>0</v>
      </c>
      <c r="BI28" s="206">
        <v>0</v>
      </c>
      <c r="BK28" s="206">
        <v>0</v>
      </c>
      <c r="BM28" s="478">
        <f t="shared" si="7"/>
        <v>0</v>
      </c>
      <c r="BO28" s="199">
        <f t="shared" si="8"/>
        <v>0</v>
      </c>
      <c r="BQ28" s="199">
        <f t="shared" si="9"/>
        <v>0</v>
      </c>
      <c r="BS28" s="199">
        <f t="shared" si="10"/>
        <v>0</v>
      </c>
    </row>
    <row r="29" spans="1:71" hidden="1">
      <c r="A29" s="383"/>
      <c r="B29" s="197" t="s">
        <v>249</v>
      </c>
      <c r="C29" s="187"/>
      <c r="D29" s="187"/>
      <c r="E29" s="199">
        <v>0</v>
      </c>
      <c r="G29" s="200">
        <f t="shared" si="6"/>
        <v>0</v>
      </c>
      <c r="I29" s="199">
        <v>0</v>
      </c>
      <c r="K29" s="199">
        <v>0</v>
      </c>
      <c r="L29" s="206"/>
      <c r="M29" s="199">
        <v>0</v>
      </c>
      <c r="O29" s="199">
        <v>0</v>
      </c>
      <c r="Q29" s="199">
        <v>0</v>
      </c>
      <c r="S29" s="199">
        <v>0</v>
      </c>
      <c r="U29" s="199">
        <v>0</v>
      </c>
      <c r="V29" s="206"/>
      <c r="W29" s="199">
        <v>0</v>
      </c>
      <c r="X29" s="206"/>
      <c r="Y29" s="199">
        <v>0</v>
      </c>
      <c r="Z29" s="206"/>
      <c r="AA29" s="199">
        <v>0</v>
      </c>
      <c r="AB29" s="206"/>
      <c r="AC29" s="199">
        <v>0</v>
      </c>
      <c r="AD29" s="206"/>
      <c r="AE29" s="199">
        <v>0</v>
      </c>
      <c r="AF29" s="206"/>
      <c r="AG29" s="199">
        <v>0</v>
      </c>
      <c r="AI29" s="199">
        <v>0</v>
      </c>
      <c r="AK29" s="199">
        <f t="shared" si="5"/>
        <v>0</v>
      </c>
      <c r="AM29" s="206">
        <v>0</v>
      </c>
      <c r="AO29" s="199">
        <v>0</v>
      </c>
      <c r="AQ29" s="206">
        <v>0</v>
      </c>
      <c r="AS29" s="206">
        <v>0</v>
      </c>
      <c r="AU29" s="206">
        <v>0</v>
      </c>
      <c r="AW29" s="206">
        <v>0</v>
      </c>
      <c r="AY29" s="206">
        <v>0</v>
      </c>
      <c r="BA29" s="206">
        <v>0</v>
      </c>
      <c r="BC29" s="206">
        <v>0</v>
      </c>
      <c r="BE29" s="206">
        <v>0</v>
      </c>
      <c r="BG29" s="206">
        <v>0</v>
      </c>
      <c r="BI29" s="206">
        <v>0</v>
      </c>
      <c r="BK29" s="206">
        <v>0</v>
      </c>
      <c r="BM29" s="478">
        <f t="shared" si="7"/>
        <v>0</v>
      </c>
      <c r="BO29" s="199">
        <f t="shared" si="8"/>
        <v>0</v>
      </c>
      <c r="BQ29" s="199">
        <f t="shared" si="9"/>
        <v>0</v>
      </c>
      <c r="BS29" s="199">
        <f t="shared" si="10"/>
        <v>0</v>
      </c>
    </row>
    <row r="30" spans="1:71" hidden="1">
      <c r="A30" s="383"/>
      <c r="B30" s="197" t="s">
        <v>250</v>
      </c>
      <c r="C30" s="187"/>
      <c r="D30" s="187"/>
      <c r="E30" s="199">
        <v>0</v>
      </c>
      <c r="G30" s="200">
        <f t="shared" si="6"/>
        <v>0</v>
      </c>
      <c r="I30" s="199">
        <v>0</v>
      </c>
      <c r="K30" s="199">
        <v>0</v>
      </c>
      <c r="L30" s="206"/>
      <c r="M30" s="199">
        <v>0</v>
      </c>
      <c r="O30" s="199">
        <v>0</v>
      </c>
      <c r="Q30" s="199">
        <v>0</v>
      </c>
      <c r="S30" s="199">
        <v>0</v>
      </c>
      <c r="U30" s="199">
        <v>0</v>
      </c>
      <c r="V30" s="206"/>
      <c r="W30" s="199">
        <v>0</v>
      </c>
      <c r="X30" s="206"/>
      <c r="Y30" s="199">
        <v>0</v>
      </c>
      <c r="Z30" s="206"/>
      <c r="AA30" s="199">
        <v>0</v>
      </c>
      <c r="AB30" s="206"/>
      <c r="AC30" s="199">
        <v>0</v>
      </c>
      <c r="AD30" s="206"/>
      <c r="AE30" s="199">
        <v>0</v>
      </c>
      <c r="AF30" s="206"/>
      <c r="AG30" s="199">
        <v>0</v>
      </c>
      <c r="AI30" s="199">
        <v>0</v>
      </c>
      <c r="AK30" s="199">
        <f t="shared" si="5"/>
        <v>0</v>
      </c>
      <c r="AM30" s="206">
        <v>0</v>
      </c>
      <c r="AO30" s="199">
        <v>0</v>
      </c>
      <c r="AQ30" s="206">
        <v>0</v>
      </c>
      <c r="AS30" s="206">
        <v>0</v>
      </c>
      <c r="AU30" s="206">
        <v>0</v>
      </c>
      <c r="AW30" s="206">
        <v>0</v>
      </c>
      <c r="AY30" s="206">
        <v>0</v>
      </c>
      <c r="BA30" s="206">
        <v>0</v>
      </c>
      <c r="BC30" s="206">
        <v>0</v>
      </c>
      <c r="BE30" s="206">
        <v>0</v>
      </c>
      <c r="BG30" s="206">
        <v>0</v>
      </c>
      <c r="BI30" s="206">
        <v>0</v>
      </c>
      <c r="BK30" s="206">
        <v>0</v>
      </c>
      <c r="BM30" s="478">
        <f t="shared" si="7"/>
        <v>0</v>
      </c>
      <c r="BO30" s="199">
        <f t="shared" si="8"/>
        <v>0</v>
      </c>
      <c r="BQ30" s="199">
        <f t="shared" si="9"/>
        <v>0</v>
      </c>
      <c r="BS30" s="199">
        <f t="shared" si="10"/>
        <v>0</v>
      </c>
    </row>
    <row r="31" spans="1:71" hidden="1">
      <c r="A31" s="383"/>
      <c r="B31" s="197" t="s">
        <v>254</v>
      </c>
      <c r="C31" s="211"/>
      <c r="D31" s="211"/>
      <c r="E31" s="206">
        <v>0</v>
      </c>
      <c r="G31" s="200">
        <f t="shared" si="6"/>
        <v>0</v>
      </c>
      <c r="I31" s="206">
        <v>0</v>
      </c>
      <c r="K31" s="206">
        <v>0</v>
      </c>
      <c r="L31" s="206"/>
      <c r="M31" s="206">
        <v>0</v>
      </c>
      <c r="O31" s="206">
        <v>0</v>
      </c>
      <c r="Q31" s="206">
        <v>0</v>
      </c>
      <c r="S31" s="206">
        <v>0</v>
      </c>
      <c r="U31" s="206">
        <v>0</v>
      </c>
      <c r="V31" s="206"/>
      <c r="W31" s="206">
        <v>0</v>
      </c>
      <c r="X31" s="206"/>
      <c r="Y31" s="206">
        <v>0</v>
      </c>
      <c r="Z31" s="206"/>
      <c r="AA31" s="206">
        <v>0</v>
      </c>
      <c r="AB31" s="206"/>
      <c r="AC31" s="206">
        <v>0</v>
      </c>
      <c r="AD31" s="206"/>
      <c r="AE31" s="206">
        <v>0</v>
      </c>
      <c r="AF31" s="206"/>
      <c r="AG31" s="206">
        <v>0</v>
      </c>
      <c r="AI31" s="206">
        <v>0</v>
      </c>
      <c r="AK31" s="206">
        <f t="shared" si="5"/>
        <v>0</v>
      </c>
      <c r="AM31" s="206">
        <v>0</v>
      </c>
      <c r="AO31" s="206">
        <v>0</v>
      </c>
      <c r="AQ31" s="206">
        <v>0</v>
      </c>
      <c r="AS31" s="206">
        <v>0</v>
      </c>
      <c r="AU31" s="206">
        <v>0</v>
      </c>
      <c r="AW31" s="206">
        <v>0</v>
      </c>
      <c r="AY31" s="206">
        <v>0</v>
      </c>
      <c r="BA31" s="206">
        <v>0</v>
      </c>
      <c r="BC31" s="206">
        <v>0</v>
      </c>
      <c r="BE31" s="206">
        <v>0</v>
      </c>
      <c r="BG31" s="206">
        <v>0</v>
      </c>
      <c r="BI31" s="206">
        <v>0</v>
      </c>
      <c r="BK31" s="206">
        <v>0</v>
      </c>
      <c r="BM31" s="480">
        <f t="shared" si="7"/>
        <v>0</v>
      </c>
      <c r="BO31" s="199">
        <f t="shared" si="8"/>
        <v>0</v>
      </c>
      <c r="BQ31" s="199">
        <f t="shared" si="9"/>
        <v>0</v>
      </c>
      <c r="BS31" s="199">
        <f t="shared" si="10"/>
        <v>0</v>
      </c>
    </row>
    <row r="32" spans="1:71" hidden="1">
      <c r="A32" s="383"/>
      <c r="B32" s="212" t="s">
        <v>436</v>
      </c>
      <c r="C32" s="187"/>
      <c r="D32" s="187"/>
      <c r="E32" s="206"/>
      <c r="G32" s="200">
        <f t="shared" si="6"/>
        <v>0</v>
      </c>
      <c r="I32" s="206">
        <v>0</v>
      </c>
      <c r="K32" s="206">
        <v>0</v>
      </c>
      <c r="L32" s="206"/>
      <c r="M32" s="206">
        <v>0</v>
      </c>
      <c r="O32" s="206">
        <v>0</v>
      </c>
      <c r="Q32" s="206">
        <v>0</v>
      </c>
      <c r="S32" s="206">
        <v>0</v>
      </c>
      <c r="U32" s="206">
        <v>0</v>
      </c>
      <c r="V32" s="206"/>
      <c r="W32" s="206">
        <v>0</v>
      </c>
      <c r="X32" s="206"/>
      <c r="Y32" s="206">
        <v>0</v>
      </c>
      <c r="Z32" s="206"/>
      <c r="AA32" s="206">
        <v>0</v>
      </c>
      <c r="AB32" s="206"/>
      <c r="AC32" s="206">
        <v>0</v>
      </c>
      <c r="AD32" s="206"/>
      <c r="AE32" s="206">
        <v>0</v>
      </c>
      <c r="AF32" s="206"/>
      <c r="AG32" s="206">
        <v>0</v>
      </c>
      <c r="AI32" s="206">
        <v>0</v>
      </c>
      <c r="AK32" s="206">
        <f t="shared" si="5"/>
        <v>0</v>
      </c>
      <c r="AM32" s="206">
        <v>0</v>
      </c>
      <c r="AO32" s="206">
        <v>0</v>
      </c>
      <c r="AQ32" s="206">
        <v>0</v>
      </c>
      <c r="AS32" s="206">
        <v>0</v>
      </c>
      <c r="AU32" s="206">
        <v>0</v>
      </c>
      <c r="AW32" s="206">
        <v>0</v>
      </c>
      <c r="AY32" s="206">
        <v>0</v>
      </c>
      <c r="BA32" s="206">
        <v>0</v>
      </c>
      <c r="BC32" s="206">
        <v>0</v>
      </c>
      <c r="BE32" s="206">
        <v>0</v>
      </c>
      <c r="BG32" s="206">
        <v>0</v>
      </c>
      <c r="BI32" s="206">
        <v>0</v>
      </c>
      <c r="BK32" s="206">
        <v>0</v>
      </c>
      <c r="BM32" s="480">
        <f t="shared" si="7"/>
        <v>0</v>
      </c>
      <c r="BO32" s="199">
        <f t="shared" si="8"/>
        <v>0</v>
      </c>
      <c r="BQ32" s="199">
        <f t="shared" si="9"/>
        <v>0</v>
      </c>
      <c r="BS32" s="199">
        <f t="shared" si="10"/>
        <v>0</v>
      </c>
    </row>
    <row r="33" spans="1:72" hidden="1">
      <c r="A33" s="383"/>
      <c r="B33" s="197"/>
      <c r="C33" s="187"/>
      <c r="D33" s="187"/>
      <c r="E33" s="206"/>
      <c r="G33" s="217"/>
      <c r="I33" s="206"/>
      <c r="K33" s="206"/>
      <c r="L33" s="206"/>
      <c r="M33" s="206"/>
      <c r="O33" s="206"/>
      <c r="Q33" s="206"/>
      <c r="S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I33" s="206"/>
      <c r="AK33" s="206"/>
      <c r="AM33" s="206"/>
      <c r="AO33" s="206"/>
      <c r="BM33" s="480"/>
      <c r="BO33" s="199">
        <f t="shared" si="8"/>
        <v>0</v>
      </c>
      <c r="BQ33" s="206"/>
      <c r="BS33" s="206"/>
    </row>
    <row r="34" spans="1:72">
      <c r="A34" s="383"/>
      <c r="B34" s="197" t="s">
        <v>437</v>
      </c>
      <c r="C34" s="187"/>
      <c r="D34" s="187"/>
      <c r="E34" s="209">
        <f>SUM(E23:E33)</f>
        <v>252826</v>
      </c>
      <c r="G34" s="232">
        <f>SUM(G23:G33)</f>
        <v>240786</v>
      </c>
      <c r="I34" s="209">
        <f>SUM(I23:I33)</f>
        <v>-12040</v>
      </c>
      <c r="K34" s="209">
        <f>SUM(K23:K33)</f>
        <v>0</v>
      </c>
      <c r="L34" s="206"/>
      <c r="M34" s="209">
        <f>SUM(M23:M33)</f>
        <v>0</v>
      </c>
      <c r="O34" s="209">
        <f>SUM(O23:O33)</f>
        <v>0</v>
      </c>
      <c r="Q34" s="209">
        <f>SUM(Q23:Q33)</f>
        <v>0</v>
      </c>
      <c r="S34" s="209">
        <f>SUM(S23:S33)</f>
        <v>0</v>
      </c>
      <c r="U34" s="209">
        <f>SUM(U23:U33)</f>
        <v>0</v>
      </c>
      <c r="V34" s="206"/>
      <c r="W34" s="209">
        <f>SUM(W23:W33)</f>
        <v>0</v>
      </c>
      <c r="X34" s="206"/>
      <c r="Y34" s="209">
        <f>SUM(Y23:Y33)</f>
        <v>0</v>
      </c>
      <c r="Z34" s="206"/>
      <c r="AA34" s="209">
        <f>SUM(AA23:AA33)</f>
        <v>0</v>
      </c>
      <c r="AB34" s="206"/>
      <c r="AC34" s="209">
        <f>SUM(AC23:AC33)</f>
        <v>0</v>
      </c>
      <c r="AD34" s="206"/>
      <c r="AE34" s="209">
        <f>SUM(AE23:AE33)</f>
        <v>0</v>
      </c>
      <c r="AF34" s="206"/>
      <c r="AG34" s="209">
        <f>SUM(AG23:AG33)</f>
        <v>240786</v>
      </c>
      <c r="AI34" s="209">
        <f>SUM(AI23:AI33)</f>
        <v>0</v>
      </c>
      <c r="AK34" s="209">
        <f>SUM(AK23:AK33)</f>
        <v>240786</v>
      </c>
      <c r="AM34" s="206">
        <f>SUM(AM23:AM33)</f>
        <v>0</v>
      </c>
      <c r="AO34" s="209">
        <f>SUM(AO23:AO33)</f>
        <v>0</v>
      </c>
      <c r="AQ34" s="209">
        <f>SUM(AQ23:AQ33)</f>
        <v>0</v>
      </c>
      <c r="AS34" s="209">
        <f>SUM(AS23:AS33)</f>
        <v>0</v>
      </c>
      <c r="AU34" s="209">
        <f>SUM(AU23:AU33)</f>
        <v>0</v>
      </c>
      <c r="AW34" s="209">
        <f>SUM(AW23:AW33)</f>
        <v>0</v>
      </c>
      <c r="AY34" s="209">
        <f>SUM(AY23:AY33)</f>
        <v>0</v>
      </c>
      <c r="BA34" s="209">
        <f>SUM(BA23:BA33)</f>
        <v>0</v>
      </c>
      <c r="BC34" s="209">
        <f>SUM(BC23:BC33)</f>
        <v>0</v>
      </c>
      <c r="BE34" s="209">
        <f>SUM(BE23:BE33)</f>
        <v>0</v>
      </c>
      <c r="BG34" s="209">
        <f>SUM(BG23:BG33)</f>
        <v>0</v>
      </c>
      <c r="BI34" s="209">
        <f>SUM(BI23:BI33)</f>
        <v>0</v>
      </c>
      <c r="BK34" s="209">
        <f>SUM(BK23:BK33)</f>
        <v>0</v>
      </c>
      <c r="BM34" s="479">
        <f>SUM(BM23:BM33)</f>
        <v>240786</v>
      </c>
      <c r="BO34" s="209">
        <f>SUM(BO23:BO33)</f>
        <v>0</v>
      </c>
      <c r="BQ34" s="209">
        <f>SUM(BQ23:BQ33)</f>
        <v>240786</v>
      </c>
      <c r="BS34" s="209">
        <f>SUM(BS23:BS33)</f>
        <v>12040</v>
      </c>
    </row>
    <row r="35" spans="1:72">
      <c r="A35" s="383"/>
      <c r="B35" s="197"/>
      <c r="C35" s="187"/>
      <c r="D35" s="187"/>
      <c r="E35" s="206"/>
      <c r="G35" s="206"/>
      <c r="I35" s="206"/>
      <c r="K35" s="206"/>
      <c r="L35" s="206"/>
      <c r="M35" s="206"/>
      <c r="O35" s="206"/>
      <c r="Q35" s="206"/>
      <c r="S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I35" s="206"/>
      <c r="AK35" s="206"/>
      <c r="AM35" s="206"/>
      <c r="AO35" s="206"/>
      <c r="BM35" s="480"/>
      <c r="BO35" s="206"/>
      <c r="BQ35" s="206"/>
      <c r="BS35" s="206"/>
    </row>
    <row r="36" spans="1:72" s="214" customFormat="1">
      <c r="A36" s="219"/>
      <c r="B36" s="213" t="s">
        <v>255</v>
      </c>
      <c r="E36" s="214">
        <f>+E34+E22</f>
        <v>80400455.829999998</v>
      </c>
      <c r="F36" s="219"/>
      <c r="G36" s="214">
        <f>+G34+G22</f>
        <v>85813610.629999995</v>
      </c>
      <c r="H36" s="219"/>
      <c r="I36" s="214">
        <f>+I34+I22</f>
        <v>5413154.8000000007</v>
      </c>
      <c r="J36" s="219"/>
      <c r="K36" s="214">
        <f>+K34+K22</f>
        <v>21150000</v>
      </c>
      <c r="L36" s="219"/>
      <c r="M36" s="214">
        <f>+M34+M22</f>
        <v>4263906.4800000004</v>
      </c>
      <c r="N36" s="219"/>
      <c r="O36" s="214">
        <f>+O34+O22</f>
        <v>3055146.4</v>
      </c>
      <c r="P36" s="219"/>
      <c r="Q36" s="214">
        <f>+Q34+Q22</f>
        <v>1650000</v>
      </c>
      <c r="R36" s="219"/>
      <c r="S36" s="214">
        <f>+S34+S22</f>
        <v>2814117</v>
      </c>
      <c r="T36" s="223"/>
      <c r="U36" s="214">
        <f>+U34+U22</f>
        <v>4389866.41</v>
      </c>
      <c r="V36" s="219"/>
      <c r="W36" s="214">
        <f>+W34+W22</f>
        <v>2662213.1399999997</v>
      </c>
      <c r="X36" s="219"/>
      <c r="Y36" s="214">
        <f>+Y34+Y22</f>
        <v>167441.37000000011</v>
      </c>
      <c r="Z36" s="219"/>
      <c r="AA36" s="214">
        <f>+AA34+AA22</f>
        <v>3251216.99</v>
      </c>
      <c r="AB36" s="219"/>
      <c r="AC36" s="214">
        <f>+AC34+AC22</f>
        <v>3706870.16</v>
      </c>
      <c r="AD36" s="219"/>
      <c r="AE36" s="214">
        <f>+AE34+AE22</f>
        <v>5927496.9900000002</v>
      </c>
      <c r="AF36" s="219"/>
      <c r="AG36" s="214">
        <f>+AG34+AG22</f>
        <v>5678132</v>
      </c>
      <c r="AH36" s="219"/>
      <c r="AI36" s="214">
        <f>+AI34+AI22</f>
        <v>3562993.54</v>
      </c>
      <c r="AJ36" s="219"/>
      <c r="AK36" s="214">
        <f>+AK34+AK22</f>
        <v>62279400.480000004</v>
      </c>
      <c r="AL36" s="219"/>
      <c r="AM36" s="219">
        <f>+AM34+AM22</f>
        <v>0</v>
      </c>
      <c r="AN36" s="219"/>
      <c r="AO36" s="214">
        <f>+AO34+AO22</f>
        <v>3791912.0899999994</v>
      </c>
      <c r="AP36" s="219"/>
      <c r="AQ36" s="219">
        <f>+AQ34+AQ22</f>
        <v>2831574.4799999995</v>
      </c>
      <c r="AR36" s="219"/>
      <c r="AS36" s="219">
        <f>+AS34+AS22</f>
        <v>8834136.8800000008</v>
      </c>
      <c r="AT36" s="219"/>
      <c r="AU36" s="219">
        <f>+AU34+AU22</f>
        <v>1483779.08</v>
      </c>
      <c r="AV36" s="219"/>
      <c r="AW36" s="219">
        <f>+AW34+AW22</f>
        <v>1674319.82</v>
      </c>
      <c r="AX36" s="219"/>
      <c r="AY36" s="219">
        <f>+AY34+AY22</f>
        <v>156359.75</v>
      </c>
      <c r="AZ36" s="219"/>
      <c r="BA36" s="219">
        <f>+BA34+BA22</f>
        <v>3737733.76</v>
      </c>
      <c r="BB36" s="219"/>
      <c r="BC36" s="219">
        <f>+BC34+BC22</f>
        <v>3782927</v>
      </c>
      <c r="BD36" s="219"/>
      <c r="BE36" s="219">
        <f>+BE34+BE22</f>
        <v>404860</v>
      </c>
      <c r="BF36" s="219"/>
      <c r="BG36" s="219">
        <f>+BG34+BG22</f>
        <v>495834</v>
      </c>
      <c r="BH36" s="219"/>
      <c r="BI36" s="219">
        <f>+BI34+BI22</f>
        <v>1246306</v>
      </c>
      <c r="BJ36" s="219"/>
      <c r="BK36" s="219">
        <f>+BK34+BK22</f>
        <v>51404</v>
      </c>
      <c r="BL36" s="219"/>
      <c r="BM36" s="481">
        <f>+BM34+BM22</f>
        <v>90770547.340000004</v>
      </c>
      <c r="BN36" s="219"/>
      <c r="BO36" s="214">
        <f>+BO34+BO22</f>
        <v>-4857224.3899999997</v>
      </c>
      <c r="BP36" s="219"/>
      <c r="BQ36" s="214">
        <f>+BQ34+BQ22</f>
        <v>85913322.950000003</v>
      </c>
      <c r="BR36" s="219"/>
      <c r="BS36" s="214">
        <f>+BS34+BS22</f>
        <v>-5512867.1200000048</v>
      </c>
      <c r="BT36" s="219"/>
    </row>
    <row r="37" spans="1:72">
      <c r="A37" s="383"/>
      <c r="B37" s="197"/>
      <c r="C37" s="187"/>
      <c r="D37" s="187"/>
      <c r="G37" s="199">
        <f>ENA!BS164/1000</f>
        <v>-3950.7612400000007</v>
      </c>
      <c r="K37" s="199"/>
      <c r="L37" s="206"/>
      <c r="M37" s="199"/>
      <c r="O37" s="199"/>
      <c r="Q37" s="199"/>
      <c r="S37" s="199"/>
      <c r="U37" s="199"/>
      <c r="V37" s="206"/>
      <c r="W37" s="199"/>
      <c r="X37" s="206"/>
      <c r="Y37" s="199"/>
      <c r="Z37" s="206"/>
      <c r="AA37" s="199"/>
      <c r="AB37" s="206"/>
      <c r="AC37" s="199"/>
      <c r="AD37" s="206"/>
      <c r="AE37" s="199"/>
      <c r="AF37" s="206"/>
      <c r="AM37" s="206"/>
    </row>
    <row r="38" spans="1:72">
      <c r="A38" s="212" t="s">
        <v>256</v>
      </c>
      <c r="B38" s="206"/>
      <c r="C38" s="187"/>
      <c r="D38" s="187"/>
      <c r="K38" s="199"/>
      <c r="L38" s="206"/>
      <c r="M38" s="199"/>
      <c r="O38" s="199"/>
      <c r="Q38" s="199"/>
      <c r="S38" s="199"/>
      <c r="U38" s="199"/>
      <c r="V38" s="206"/>
      <c r="W38" s="199"/>
      <c r="X38" s="206"/>
      <c r="Y38" s="199"/>
      <c r="Z38" s="206"/>
      <c r="AA38" s="199"/>
      <c r="AB38" s="206"/>
      <c r="AC38" s="199"/>
      <c r="AD38" s="206"/>
      <c r="AE38" s="199"/>
      <c r="AF38" s="206"/>
      <c r="AM38" s="206"/>
      <c r="BS38" s="351"/>
    </row>
    <row r="39" spans="1:72">
      <c r="A39" s="197"/>
      <c r="B39" s="197" t="s">
        <v>1688</v>
      </c>
      <c r="C39" s="187"/>
      <c r="D39" s="187"/>
      <c r="E39" s="199">
        <v>896000</v>
      </c>
      <c r="G39" s="199">
        <v>881255</v>
      </c>
      <c r="I39" s="199">
        <f t="shared" ref="I39:I44" si="11">+G39-E39</f>
        <v>-14745</v>
      </c>
      <c r="K39" s="199">
        <v>0</v>
      </c>
      <c r="L39" s="217"/>
      <c r="M39" s="199">
        <v>0</v>
      </c>
      <c r="N39" s="217"/>
      <c r="O39" s="199">
        <v>0</v>
      </c>
      <c r="P39" s="217"/>
      <c r="Q39" s="199">
        <v>0</v>
      </c>
      <c r="R39" s="217"/>
      <c r="S39" s="199">
        <v>0</v>
      </c>
      <c r="U39" s="199">
        <v>0</v>
      </c>
      <c r="V39" s="206"/>
      <c r="W39" s="199">
        <v>0</v>
      </c>
      <c r="X39" s="206"/>
      <c r="Y39" s="199">
        <v>0</v>
      </c>
      <c r="Z39" s="206"/>
      <c r="AA39" s="199">
        <v>0</v>
      </c>
      <c r="AB39" s="206"/>
      <c r="AC39" s="199">
        <v>0</v>
      </c>
      <c r="AD39" s="206"/>
      <c r="AE39" s="199">
        <v>0</v>
      </c>
      <c r="AF39" s="206"/>
      <c r="AG39" s="199">
        <v>0</v>
      </c>
      <c r="AI39" s="199">
        <f>192000+40222.14</f>
        <v>232222.14</v>
      </c>
      <c r="AK39" s="199">
        <f t="shared" ref="AK39:AK44" si="12">SUM(K39:AJ39)</f>
        <v>232222.14</v>
      </c>
      <c r="AM39" s="206">
        <v>0</v>
      </c>
      <c r="AO39" s="199">
        <v>0</v>
      </c>
      <c r="AQ39" s="206">
        <f>64000+64000+12449.27+8383.51</f>
        <v>148832.78</v>
      </c>
      <c r="AS39" s="206">
        <f>88371.43+10677.58</f>
        <v>99049.01</v>
      </c>
      <c r="AU39" s="217">
        <f>88371.43+88371.43+6880.61</f>
        <v>183623.46999999997</v>
      </c>
      <c r="AW39" s="206">
        <f>4851.98+88371.43+5789.49</f>
        <v>99012.9</v>
      </c>
      <c r="AY39" s="206">
        <f>88371.43+4265.95+25877.58</f>
        <v>118514.95999999999</v>
      </c>
      <c r="BC39" s="206">
        <v>0</v>
      </c>
      <c r="BE39" s="206">
        <v>0</v>
      </c>
      <c r="BG39" s="206">
        <v>0</v>
      </c>
      <c r="BI39" s="206">
        <v>0</v>
      </c>
      <c r="BK39" s="206">
        <v>0</v>
      </c>
      <c r="BM39" s="478">
        <f>SUM(AK39:BL39)</f>
        <v>881255.26</v>
      </c>
      <c r="BO39" s="199">
        <v>0</v>
      </c>
      <c r="BQ39" s="199">
        <f>SUM(BM39:BO39)</f>
        <v>881255.26</v>
      </c>
      <c r="BS39" s="351">
        <f>+E39-BQ39</f>
        <v>14744.739999999991</v>
      </c>
    </row>
    <row r="40" spans="1:72">
      <c r="A40" s="197"/>
      <c r="B40" s="197" t="s">
        <v>1660</v>
      </c>
      <c r="C40" s="187"/>
      <c r="D40" s="187"/>
      <c r="E40" s="199">
        <f>255400+341200</f>
        <v>596600</v>
      </c>
      <c r="G40" s="199">
        <v>766932</v>
      </c>
      <c r="I40" s="199">
        <f t="shared" si="11"/>
        <v>170332</v>
      </c>
      <c r="K40" s="199">
        <v>0</v>
      </c>
      <c r="L40" s="217"/>
      <c r="M40" s="199">
        <v>0</v>
      </c>
      <c r="N40" s="217"/>
      <c r="O40" s="199">
        <v>0</v>
      </c>
      <c r="P40" s="217"/>
      <c r="Q40" s="199">
        <v>0</v>
      </c>
      <c r="R40" s="217"/>
      <c r="S40" s="199">
        <v>0</v>
      </c>
      <c r="U40" s="199">
        <v>0</v>
      </c>
      <c r="V40" s="206"/>
      <c r="W40" s="199">
        <v>0</v>
      </c>
      <c r="X40" s="206"/>
      <c r="Y40" s="199">
        <v>0</v>
      </c>
      <c r="Z40" s="206"/>
      <c r="AA40" s="199">
        <v>0</v>
      </c>
      <c r="AB40" s="206"/>
      <c r="AC40" s="199">
        <v>0</v>
      </c>
      <c r="AD40" s="206"/>
      <c r="AE40" s="199">
        <v>0</v>
      </c>
      <c r="AF40" s="206"/>
      <c r="AG40" s="199">
        <v>0</v>
      </c>
      <c r="AI40" s="199">
        <f>73114.29+49353.76</f>
        <v>122468.04999999999</v>
      </c>
      <c r="AK40" s="199">
        <f t="shared" si="12"/>
        <v>122468.04999999999</v>
      </c>
      <c r="AM40" s="206">
        <v>0</v>
      </c>
      <c r="AO40" s="199">
        <v>0</v>
      </c>
      <c r="AQ40" s="206">
        <f>26674.32+24371.43+24371.43+104388.35</f>
        <v>179805.53</v>
      </c>
      <c r="AS40" s="206">
        <v>-25877.58</v>
      </c>
      <c r="AU40" s="217">
        <v>-13990.39</v>
      </c>
      <c r="AW40" s="206">
        <f>50693.68+9859.71</f>
        <v>60553.39</v>
      </c>
      <c r="AY40" s="206">
        <f>21614.99</f>
        <v>21614.99</v>
      </c>
      <c r="BA40" s="206">
        <f>24597+88371+22015+191</f>
        <v>135174</v>
      </c>
      <c r="BC40" s="206">
        <f>88371+20886</f>
        <v>109257</v>
      </c>
      <c r="BE40" s="206">
        <f>88371</f>
        <v>88371</v>
      </c>
      <c r="BG40" s="206">
        <f>88371+1185</f>
        <v>89556</v>
      </c>
      <c r="BI40" s="206">
        <v>0</v>
      </c>
      <c r="BK40" s="206">
        <v>0</v>
      </c>
      <c r="BM40" s="478">
        <f>SUM(AK40:BL40)</f>
        <v>766931.99</v>
      </c>
      <c r="BO40" s="199">
        <f>+MAX(0,G40-BM40+AM40)</f>
        <v>1.0000000009313226E-2</v>
      </c>
      <c r="BQ40" s="199">
        <f>SUM(BM40:BO40)</f>
        <v>766932</v>
      </c>
      <c r="BS40" s="351">
        <f>+E40-BQ40</f>
        <v>-170332</v>
      </c>
    </row>
    <row r="41" spans="1:72">
      <c r="A41" s="197"/>
      <c r="B41" s="197" t="s">
        <v>1661</v>
      </c>
      <c r="C41" s="187"/>
      <c r="D41" s="187"/>
      <c r="E41" s="199">
        <f>136622-47066</f>
        <v>89556</v>
      </c>
      <c r="G41" s="199">
        <v>136622</v>
      </c>
      <c r="I41" s="199">
        <f t="shared" si="11"/>
        <v>47066</v>
      </c>
      <c r="K41" s="199">
        <v>0</v>
      </c>
      <c r="L41" s="217"/>
      <c r="M41" s="199">
        <v>0</v>
      </c>
      <c r="N41" s="217"/>
      <c r="O41" s="199">
        <v>0</v>
      </c>
      <c r="P41" s="217"/>
      <c r="Q41" s="199">
        <v>0</v>
      </c>
      <c r="R41" s="217"/>
      <c r="S41" s="199">
        <v>0</v>
      </c>
      <c r="U41" s="199">
        <v>0</v>
      </c>
      <c r="V41" s="206"/>
      <c r="W41" s="199">
        <v>0</v>
      </c>
      <c r="X41" s="206"/>
      <c r="Y41" s="199">
        <v>0</v>
      </c>
      <c r="Z41" s="206"/>
      <c r="AA41" s="199">
        <v>0</v>
      </c>
      <c r="AB41" s="206"/>
      <c r="AC41" s="199">
        <v>0</v>
      </c>
      <c r="AD41" s="206"/>
      <c r="AE41" s="199">
        <v>0</v>
      </c>
      <c r="AF41" s="206"/>
      <c r="AG41" s="199">
        <v>0</v>
      </c>
      <c r="AI41" s="199">
        <v>0</v>
      </c>
      <c r="AK41" s="199">
        <f t="shared" si="12"/>
        <v>0</v>
      </c>
      <c r="AM41" s="206">
        <v>0</v>
      </c>
      <c r="AO41" s="199">
        <v>0</v>
      </c>
      <c r="AQ41" s="206">
        <v>136622.32999999999</v>
      </c>
      <c r="AS41" s="206">
        <v>0</v>
      </c>
      <c r="AU41" s="206">
        <v>0</v>
      </c>
      <c r="AW41" s="206">
        <v>0</v>
      </c>
      <c r="AY41" s="206">
        <v>0</v>
      </c>
      <c r="BA41" s="206">
        <v>0</v>
      </c>
      <c r="BC41" s="206">
        <v>0</v>
      </c>
      <c r="BE41" s="206">
        <v>0</v>
      </c>
      <c r="BG41" s="206">
        <v>0</v>
      </c>
      <c r="BI41" s="206">
        <v>0</v>
      </c>
      <c r="BK41" s="206">
        <v>0</v>
      </c>
      <c r="BM41" s="478">
        <f>SUM(AK41:BL41)</f>
        <v>136622.32999999999</v>
      </c>
      <c r="BO41" s="199">
        <f>+MAX(0,G41-BM41+AM41)</f>
        <v>0</v>
      </c>
      <c r="BQ41" s="199">
        <f>SUM(BM41:BO41)</f>
        <v>136622.32999999999</v>
      </c>
      <c r="BS41" s="351">
        <f>+E41-BQ41</f>
        <v>-47066.329999999987</v>
      </c>
    </row>
    <row r="42" spans="1:72">
      <c r="A42" s="197"/>
      <c r="B42" s="197" t="s">
        <v>1662</v>
      </c>
      <c r="C42" s="187"/>
      <c r="D42" s="187"/>
      <c r="E42" s="206">
        <v>0</v>
      </c>
      <c r="G42" s="200">
        <v>754056</v>
      </c>
      <c r="I42" s="206">
        <f t="shared" si="11"/>
        <v>754056</v>
      </c>
      <c r="K42" s="206">
        <v>0</v>
      </c>
      <c r="L42" s="217"/>
      <c r="M42" s="206">
        <v>0</v>
      </c>
      <c r="N42" s="217"/>
      <c r="O42" s="206">
        <v>0</v>
      </c>
      <c r="P42" s="217"/>
      <c r="Q42" s="206">
        <v>0</v>
      </c>
      <c r="R42" s="217"/>
      <c r="S42" s="206">
        <v>0</v>
      </c>
      <c r="U42" s="206">
        <v>0</v>
      </c>
      <c r="V42" s="206"/>
      <c r="W42" s="206">
        <v>0</v>
      </c>
      <c r="X42" s="206"/>
      <c r="Y42" s="206">
        <v>0</v>
      </c>
      <c r="Z42" s="206"/>
      <c r="AA42" s="206">
        <v>0</v>
      </c>
      <c r="AB42" s="206"/>
      <c r="AC42" s="206">
        <v>0</v>
      </c>
      <c r="AD42" s="206"/>
      <c r="AE42" s="206">
        <v>0</v>
      </c>
      <c r="AF42" s="206"/>
      <c r="AG42" s="206">
        <v>0</v>
      </c>
      <c r="AI42" s="206">
        <v>0</v>
      </c>
      <c r="AK42" s="206">
        <f t="shared" si="12"/>
        <v>0</v>
      </c>
      <c r="AM42" s="206">
        <v>0</v>
      </c>
      <c r="AO42" s="206">
        <v>0</v>
      </c>
      <c r="AQ42" s="206">
        <v>0</v>
      </c>
      <c r="AS42" s="206">
        <v>0</v>
      </c>
      <c r="AU42" s="206">
        <v>0</v>
      </c>
      <c r="AW42" s="206">
        <v>0</v>
      </c>
      <c r="AY42" s="206">
        <v>0</v>
      </c>
      <c r="BA42" s="206">
        <f>226216.8+150811.2+301622</f>
        <v>678650</v>
      </c>
      <c r="BC42" s="206">
        <v>0</v>
      </c>
      <c r="BE42" s="206">
        <v>75406</v>
      </c>
      <c r="BG42" s="206">
        <v>0</v>
      </c>
      <c r="BI42" s="206">
        <v>0</v>
      </c>
      <c r="BK42" s="206">
        <v>0</v>
      </c>
      <c r="BM42" s="478">
        <f>SUM(AK42:BL42)</f>
        <v>754056</v>
      </c>
      <c r="BO42" s="199">
        <f>+MAX(0,G42-BM42+AM42)</f>
        <v>0</v>
      </c>
      <c r="BQ42" s="199">
        <f>SUM(BM42:BO42)</f>
        <v>754056</v>
      </c>
      <c r="BS42" s="405">
        <f>+E42-BQ42</f>
        <v>-754056</v>
      </c>
    </row>
    <row r="43" spans="1:72" s="206" customFormat="1" hidden="1">
      <c r="A43" s="197"/>
      <c r="B43" s="197"/>
      <c r="C43" s="211"/>
      <c r="D43" s="211"/>
      <c r="E43" s="206">
        <v>0</v>
      </c>
      <c r="G43" s="199">
        <v>0</v>
      </c>
      <c r="I43" s="206">
        <f t="shared" si="11"/>
        <v>0</v>
      </c>
      <c r="K43" s="206">
        <v>0</v>
      </c>
      <c r="L43" s="217"/>
      <c r="M43" s="206">
        <v>0</v>
      </c>
      <c r="N43" s="217"/>
      <c r="O43" s="206">
        <v>0</v>
      </c>
      <c r="P43" s="217"/>
      <c r="Q43" s="206">
        <v>0</v>
      </c>
      <c r="R43" s="217"/>
      <c r="S43" s="206">
        <v>0</v>
      </c>
      <c r="T43" s="217"/>
      <c r="U43" s="206">
        <v>0</v>
      </c>
      <c r="W43" s="206">
        <v>0</v>
      </c>
      <c r="Y43" s="206">
        <v>0</v>
      </c>
      <c r="AA43" s="206">
        <v>0</v>
      </c>
      <c r="AC43" s="206">
        <v>0</v>
      </c>
      <c r="AE43" s="206">
        <v>0</v>
      </c>
      <c r="AG43" s="206">
        <v>0</v>
      </c>
      <c r="AI43" s="206">
        <v>0</v>
      </c>
      <c r="AK43" s="206">
        <f t="shared" si="12"/>
        <v>0</v>
      </c>
      <c r="AM43" s="206">
        <v>0</v>
      </c>
      <c r="AO43" s="206">
        <v>0</v>
      </c>
      <c r="AQ43" s="206">
        <v>0</v>
      </c>
      <c r="AS43" s="206">
        <v>0</v>
      </c>
      <c r="AU43" s="206">
        <v>0</v>
      </c>
      <c r="AW43" s="206">
        <v>0</v>
      </c>
      <c r="AY43" s="206">
        <v>0</v>
      </c>
      <c r="BA43" s="206">
        <v>0</v>
      </c>
      <c r="BC43" s="206">
        <v>0</v>
      </c>
      <c r="BE43" s="206">
        <v>0</v>
      </c>
      <c r="BG43" s="206">
        <v>0</v>
      </c>
      <c r="BI43" s="206">
        <v>0</v>
      </c>
      <c r="BK43" s="206">
        <v>0</v>
      </c>
      <c r="BM43" s="480">
        <f>SUM(AC43:AT43)</f>
        <v>0</v>
      </c>
      <c r="BO43" s="206">
        <f>+MAX(0,G43-AK43+AM43)</f>
        <v>0</v>
      </c>
      <c r="BQ43" s="199">
        <f>+AK43+BO43</f>
        <v>0</v>
      </c>
      <c r="BS43" s="351">
        <f>+G43-BQ43</f>
        <v>0</v>
      </c>
    </row>
    <row r="44" spans="1:72" ht="14.25" hidden="1" customHeight="1">
      <c r="A44" s="197"/>
      <c r="B44" s="197"/>
      <c r="C44" s="187"/>
      <c r="D44" s="187"/>
      <c r="E44" s="218">
        <v>0</v>
      </c>
      <c r="G44" s="199">
        <v>0</v>
      </c>
      <c r="I44" s="206">
        <f t="shared" si="11"/>
        <v>0</v>
      </c>
      <c r="K44" s="206">
        <v>0</v>
      </c>
      <c r="L44" s="217"/>
      <c r="M44" s="206">
        <v>0</v>
      </c>
      <c r="N44" s="217"/>
      <c r="O44" s="206">
        <v>0</v>
      </c>
      <c r="P44" s="217"/>
      <c r="Q44" s="206">
        <v>0</v>
      </c>
      <c r="R44" s="217"/>
      <c r="S44" s="206">
        <v>0</v>
      </c>
      <c r="U44" s="206">
        <v>0</v>
      </c>
      <c r="V44" s="206"/>
      <c r="W44" s="206">
        <v>0</v>
      </c>
      <c r="X44" s="206"/>
      <c r="Y44" s="206">
        <v>0</v>
      </c>
      <c r="Z44" s="206"/>
      <c r="AA44" s="206">
        <v>0</v>
      </c>
      <c r="AB44" s="206"/>
      <c r="AC44" s="206">
        <v>0</v>
      </c>
      <c r="AD44" s="206"/>
      <c r="AE44" s="206">
        <v>0</v>
      </c>
      <c r="AF44" s="206"/>
      <c r="AG44" s="206">
        <v>0</v>
      </c>
      <c r="AI44" s="206"/>
      <c r="AK44" s="206">
        <f t="shared" si="12"/>
        <v>0</v>
      </c>
      <c r="AM44" s="206">
        <v>0</v>
      </c>
      <c r="AO44" s="206"/>
      <c r="BM44" s="480">
        <f>SUM(AC44:AT44)</f>
        <v>0</v>
      </c>
      <c r="BO44" s="206">
        <f>+MAX(0,G44-AK44+AM44)</f>
        <v>0</v>
      </c>
      <c r="BQ44" s="199">
        <f>+AK44+BO44</f>
        <v>0</v>
      </c>
      <c r="BS44" s="351">
        <f>+G44-BQ44</f>
        <v>0</v>
      </c>
    </row>
    <row r="45" spans="1:72">
      <c r="A45" s="197"/>
      <c r="B45" s="197"/>
      <c r="C45" s="187"/>
      <c r="D45" s="187"/>
      <c r="E45" s="206"/>
      <c r="G45" s="206"/>
      <c r="I45" s="206"/>
      <c r="K45" s="206"/>
      <c r="L45" s="217"/>
      <c r="M45" s="206"/>
      <c r="N45" s="217"/>
      <c r="O45" s="206"/>
      <c r="P45" s="217"/>
      <c r="Q45" s="206"/>
      <c r="R45" s="217"/>
      <c r="S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I45" s="206"/>
      <c r="AK45" s="206"/>
      <c r="AM45" s="206"/>
      <c r="AO45" s="206"/>
      <c r="BM45" s="480"/>
      <c r="BO45" s="206"/>
      <c r="BQ45" s="206"/>
      <c r="BS45" s="351"/>
    </row>
    <row r="46" spans="1:72" s="214" customFormat="1">
      <c r="A46" s="219"/>
      <c r="B46" s="213" t="s">
        <v>257</v>
      </c>
      <c r="E46" s="214">
        <f>SUM(E39:E45)</f>
        <v>1582156</v>
      </c>
      <c r="F46" s="219"/>
      <c r="G46" s="214">
        <f>SUM(G39:G45)</f>
        <v>2538865</v>
      </c>
      <c r="H46" s="219"/>
      <c r="I46" s="214">
        <f>SUM(I39:I45)</f>
        <v>956709</v>
      </c>
      <c r="J46" s="219"/>
      <c r="K46" s="214">
        <f>SUM(K39:K45)</f>
        <v>0</v>
      </c>
      <c r="L46" s="219"/>
      <c r="M46" s="214">
        <f>SUM(M39:M45)</f>
        <v>0</v>
      </c>
      <c r="N46" s="219"/>
      <c r="O46" s="214">
        <f>SUM(O39:O45)</f>
        <v>0</v>
      </c>
      <c r="P46" s="219"/>
      <c r="Q46" s="214">
        <f>SUM(Q39:Q45)</f>
        <v>0</v>
      </c>
      <c r="R46" s="219"/>
      <c r="S46" s="214">
        <f>SUM(S39:S45)</f>
        <v>0</v>
      </c>
      <c r="T46" s="223"/>
      <c r="U46" s="214">
        <f>SUM(U39:U45)</f>
        <v>0</v>
      </c>
      <c r="V46" s="219"/>
      <c r="W46" s="214">
        <f>SUM(W39:W45)</f>
        <v>0</v>
      </c>
      <c r="X46" s="219"/>
      <c r="Y46" s="214">
        <f>SUM(Y39:Y45)</f>
        <v>0</v>
      </c>
      <c r="Z46" s="219"/>
      <c r="AA46" s="214">
        <f>SUM(AA39:AA45)</f>
        <v>0</v>
      </c>
      <c r="AB46" s="219"/>
      <c r="AC46" s="214">
        <f>SUM(AC39:AC45)</f>
        <v>0</v>
      </c>
      <c r="AD46" s="219"/>
      <c r="AE46" s="214">
        <f>SUM(AE39:AE45)</f>
        <v>0</v>
      </c>
      <c r="AF46" s="219"/>
      <c r="AG46" s="214">
        <f>SUM(AG39:AG45)</f>
        <v>0</v>
      </c>
      <c r="AH46" s="219"/>
      <c r="AI46" s="214">
        <f>SUM(AI39:AI45)</f>
        <v>354690.19</v>
      </c>
      <c r="AJ46" s="219"/>
      <c r="AK46" s="214">
        <f>SUM(AK39:AK45)</f>
        <v>354690.19</v>
      </c>
      <c r="AL46" s="219"/>
      <c r="AM46" s="219">
        <f>SUM(AM39:AM45)</f>
        <v>0</v>
      </c>
      <c r="AN46" s="219"/>
      <c r="AO46" s="214">
        <f>SUM(AO39:AO45)</f>
        <v>0</v>
      </c>
      <c r="AP46" s="219"/>
      <c r="AQ46" s="219">
        <f>SUM(AQ39:AQ45)</f>
        <v>465260.64</v>
      </c>
      <c r="AR46" s="219"/>
      <c r="AS46" s="219">
        <f>SUM(AS39:AS45)</f>
        <v>73171.429999999993</v>
      </c>
      <c r="AT46" s="219"/>
      <c r="AU46" s="219">
        <f>SUM(AU39:AU45)</f>
        <v>169633.07999999996</v>
      </c>
      <c r="AV46" s="219"/>
      <c r="AW46" s="219">
        <f>SUM(AW39:AW45)</f>
        <v>159566.28999999998</v>
      </c>
      <c r="AX46" s="219"/>
      <c r="AY46" s="219">
        <f>SUM(AY39:AY45)</f>
        <v>140129.94999999998</v>
      </c>
      <c r="AZ46" s="219"/>
      <c r="BA46" s="219">
        <f>SUM(BA39:BA45)</f>
        <v>813824</v>
      </c>
      <c r="BB46" s="219"/>
      <c r="BC46" s="219">
        <f>SUM(BC39:BC45)</f>
        <v>109257</v>
      </c>
      <c r="BD46" s="219"/>
      <c r="BE46" s="219">
        <f>SUM(BE39:BE45)</f>
        <v>163777</v>
      </c>
      <c r="BF46" s="219"/>
      <c r="BG46" s="219">
        <f>SUM(BG39:BG45)</f>
        <v>89556</v>
      </c>
      <c r="BH46" s="219"/>
      <c r="BI46" s="219">
        <f>SUM(BI39:BI45)</f>
        <v>0</v>
      </c>
      <c r="BJ46" s="219"/>
      <c r="BK46" s="219">
        <f>SUM(BK39:BK45)</f>
        <v>0</v>
      </c>
      <c r="BL46" s="219"/>
      <c r="BM46" s="481">
        <f>SUM(BM39:BM45)</f>
        <v>2538865.58</v>
      </c>
      <c r="BN46" s="219"/>
      <c r="BO46" s="214">
        <f>SUM(BO39:BO45)</f>
        <v>1.0000000009313226E-2</v>
      </c>
      <c r="BP46" s="219"/>
      <c r="BQ46" s="214">
        <f>SUM(BQ39:BQ45)</f>
        <v>2538865.59</v>
      </c>
      <c r="BR46" s="219"/>
      <c r="BS46" s="504">
        <f>SUM(BS39:BS45)</f>
        <v>-956709.59</v>
      </c>
      <c r="BT46" s="219"/>
    </row>
    <row r="47" spans="1:72">
      <c r="A47" s="197"/>
      <c r="B47" s="197"/>
      <c r="C47" s="187"/>
      <c r="D47" s="187"/>
      <c r="K47" s="199"/>
      <c r="L47" s="206"/>
      <c r="M47" s="199"/>
      <c r="O47" s="199"/>
      <c r="Q47" s="199"/>
      <c r="S47" s="199"/>
      <c r="U47" s="199"/>
      <c r="V47" s="206"/>
      <c r="W47" s="199"/>
      <c r="X47" s="206"/>
      <c r="Y47" s="199"/>
      <c r="Z47" s="206"/>
      <c r="AA47" s="199"/>
      <c r="AB47" s="206"/>
      <c r="AC47" s="199"/>
      <c r="AD47" s="206"/>
      <c r="AE47" s="199"/>
      <c r="AF47" s="206"/>
      <c r="AM47" s="206"/>
    </row>
    <row r="48" spans="1:72" s="221" customFormat="1">
      <c r="A48" s="340" t="s">
        <v>1032</v>
      </c>
      <c r="E48" s="350">
        <v>1253748</v>
      </c>
      <c r="F48" s="225"/>
      <c r="G48" s="350">
        <v>1195767</v>
      </c>
      <c r="H48" s="225"/>
      <c r="I48" s="350">
        <f>G48-E48</f>
        <v>-57981</v>
      </c>
      <c r="J48" s="350">
        <f>H48-F48</f>
        <v>0</v>
      </c>
      <c r="K48" s="350">
        <v>0</v>
      </c>
      <c r="L48" s="350">
        <v>0</v>
      </c>
      <c r="M48" s="350">
        <v>0</v>
      </c>
      <c r="N48" s="350">
        <v>0</v>
      </c>
      <c r="O48" s="350">
        <v>0</v>
      </c>
      <c r="P48" s="350">
        <v>0</v>
      </c>
      <c r="Q48" s="350">
        <v>0</v>
      </c>
      <c r="R48" s="350">
        <v>0</v>
      </c>
      <c r="S48" s="350">
        <v>0</v>
      </c>
      <c r="T48" s="350">
        <v>0</v>
      </c>
      <c r="U48" s="350">
        <v>0</v>
      </c>
      <c r="V48" s="350">
        <v>0</v>
      </c>
      <c r="W48" s="350">
        <v>0</v>
      </c>
      <c r="X48" s="350">
        <v>0</v>
      </c>
      <c r="Y48" s="350">
        <v>0</v>
      </c>
      <c r="Z48" s="350">
        <v>0</v>
      </c>
      <c r="AA48" s="350">
        <v>0</v>
      </c>
      <c r="AB48" s="350"/>
      <c r="AC48" s="350">
        <v>0</v>
      </c>
      <c r="AD48" s="350"/>
      <c r="AE48" s="350">
        <v>0</v>
      </c>
      <c r="AF48" s="350"/>
      <c r="AG48" s="350">
        <f>37866+52268</f>
        <v>90134</v>
      </c>
      <c r="AH48" s="350"/>
      <c r="AI48" s="350">
        <f>22737+64981</f>
        <v>87718</v>
      </c>
      <c r="AJ48" s="350"/>
      <c r="AK48" s="350">
        <f>SUM(K48:AI48)</f>
        <v>177852</v>
      </c>
      <c r="AL48" s="350"/>
      <c r="AM48" s="350"/>
      <c r="AN48" s="350"/>
      <c r="AO48" s="350">
        <f>31040+190587</f>
        <v>221627</v>
      </c>
      <c r="AP48" s="350"/>
      <c r="AQ48" s="350">
        <f>641628-307836-91643</f>
        <v>242149</v>
      </c>
      <c r="AR48" s="350"/>
      <c r="AS48" s="350">
        <f>628773.13-641628</f>
        <v>-12854.869999999995</v>
      </c>
      <c r="AT48" s="350"/>
      <c r="AU48" s="350">
        <f>778659-628773.13</f>
        <v>149885.87</v>
      </c>
      <c r="AV48" s="350"/>
      <c r="AW48" s="350">
        <f>1007235.91-778659</f>
        <v>228576.91000000003</v>
      </c>
      <c r="AX48" s="350"/>
      <c r="AY48" s="350">
        <f>1123413.59-1007235.91</f>
        <v>116177.68000000005</v>
      </c>
      <c r="AZ48" s="350"/>
      <c r="BA48" s="350">
        <v>0</v>
      </c>
      <c r="BB48" s="350"/>
      <c r="BC48" s="350">
        <v>0</v>
      </c>
      <c r="BD48" s="350"/>
      <c r="BE48" s="350">
        <f>1211955-1123414</f>
        <v>88541</v>
      </c>
      <c r="BF48" s="350"/>
      <c r="BG48" s="350">
        <f>1227238-1211955</f>
        <v>15283</v>
      </c>
      <c r="BH48" s="350"/>
      <c r="BI48" s="350">
        <f>1191367-1227238</f>
        <v>-35871</v>
      </c>
      <c r="BJ48" s="350"/>
      <c r="BK48" s="350">
        <v>0</v>
      </c>
      <c r="BL48" s="350"/>
      <c r="BM48" s="440">
        <f>SUM(AK48:BL48)</f>
        <v>1191366.5900000001</v>
      </c>
      <c r="BN48" s="350"/>
      <c r="BO48" s="221">
        <f>+MAX(0,G48-BM48+AM48)</f>
        <v>4400.4099999999162</v>
      </c>
      <c r="BP48" s="350"/>
      <c r="BQ48" s="221">
        <f>SUM(BM48:BO48)</f>
        <v>1195767</v>
      </c>
      <c r="BR48" s="350"/>
      <c r="BS48" s="350">
        <f>E48-BQ48</f>
        <v>57981</v>
      </c>
      <c r="BT48" s="225"/>
    </row>
    <row r="49" spans="1:71">
      <c r="A49" s="197"/>
      <c r="B49" s="197"/>
      <c r="C49" s="187"/>
      <c r="D49" s="187"/>
      <c r="K49" s="199"/>
      <c r="L49" s="206"/>
      <c r="M49" s="199"/>
      <c r="O49" s="199"/>
      <c r="Q49" s="199"/>
      <c r="S49" s="199"/>
      <c r="U49" s="199"/>
      <c r="V49" s="206"/>
      <c r="W49" s="199"/>
      <c r="X49" s="206"/>
      <c r="Y49" s="199"/>
      <c r="Z49" s="206"/>
      <c r="AA49" s="199"/>
      <c r="AB49" s="206"/>
      <c r="AC49" s="199"/>
      <c r="AD49" s="206"/>
      <c r="AE49" s="199"/>
      <c r="AF49" s="206"/>
      <c r="AM49" s="206"/>
      <c r="BM49" s="482"/>
    </row>
    <row r="50" spans="1:71">
      <c r="A50" s="340" t="s">
        <v>1036</v>
      </c>
      <c r="C50" s="187"/>
      <c r="D50" s="187"/>
      <c r="E50" s="352"/>
      <c r="G50" s="352"/>
      <c r="I50" s="352"/>
      <c r="K50" s="352"/>
      <c r="L50" s="352"/>
      <c r="M50" s="352"/>
      <c r="N50" s="352"/>
      <c r="O50" s="352"/>
      <c r="P50" s="352"/>
      <c r="Q50" s="352"/>
      <c r="R50" s="352"/>
      <c r="S50" s="352"/>
      <c r="T50" s="362"/>
      <c r="U50" s="352"/>
      <c r="V50" s="352"/>
      <c r="W50" s="352"/>
      <c r="X50" s="352"/>
      <c r="Y50" s="352"/>
      <c r="Z50" s="352"/>
      <c r="AA50" s="352"/>
      <c r="AB50" s="352"/>
      <c r="AC50" s="352"/>
      <c r="AD50" s="352"/>
      <c r="AE50" s="352"/>
      <c r="AF50" s="352"/>
      <c r="AG50" s="352"/>
      <c r="AH50" s="352"/>
      <c r="AI50" s="352"/>
      <c r="AJ50" s="352"/>
      <c r="AK50" s="352"/>
      <c r="AL50" s="352"/>
      <c r="AM50" s="352"/>
      <c r="AN50" s="352"/>
      <c r="AO50" s="352"/>
      <c r="AP50" s="352"/>
      <c r="AQ50" s="352"/>
      <c r="AR50" s="352"/>
      <c r="AS50" s="352"/>
      <c r="AT50" s="352"/>
      <c r="AU50" s="352"/>
      <c r="AV50" s="352"/>
      <c r="AW50" s="352"/>
      <c r="AX50" s="352"/>
      <c r="AY50" s="352"/>
      <c r="AZ50" s="352"/>
      <c r="BA50" s="352"/>
      <c r="BB50" s="352"/>
      <c r="BC50" s="352"/>
      <c r="BD50" s="352"/>
      <c r="BE50" s="352"/>
      <c r="BF50" s="352"/>
      <c r="BG50" s="352"/>
      <c r="BH50" s="352"/>
      <c r="BI50" s="352"/>
      <c r="BJ50" s="352"/>
      <c r="BK50" s="352"/>
      <c r="BL50" s="352"/>
      <c r="BM50" s="482"/>
      <c r="BN50" s="352"/>
      <c r="BO50" s="352"/>
      <c r="BP50" s="352"/>
      <c r="BQ50" s="352"/>
      <c r="BR50" s="352"/>
      <c r="BS50" s="352"/>
    </row>
    <row r="51" spans="1:71">
      <c r="A51" s="197"/>
      <c r="B51" s="197" t="s">
        <v>1037</v>
      </c>
      <c r="C51" s="187"/>
      <c r="D51" s="187"/>
      <c r="E51" s="351">
        <v>1321189</v>
      </c>
      <c r="G51" s="351">
        <v>854518</v>
      </c>
      <c r="I51" s="351">
        <f>G51-E51</f>
        <v>-466671</v>
      </c>
      <c r="K51" s="351">
        <v>0</v>
      </c>
      <c r="L51" s="351">
        <v>0</v>
      </c>
      <c r="M51" s="351">
        <v>0</v>
      </c>
      <c r="N51" s="351">
        <v>0</v>
      </c>
      <c r="O51" s="351">
        <v>0</v>
      </c>
      <c r="P51" s="351">
        <v>0</v>
      </c>
      <c r="Q51" s="351">
        <v>0</v>
      </c>
      <c r="R51" s="351">
        <v>0</v>
      </c>
      <c r="S51" s="351">
        <v>0</v>
      </c>
      <c r="T51" s="351">
        <v>0</v>
      </c>
      <c r="U51" s="351">
        <v>0</v>
      </c>
      <c r="V51" s="351">
        <v>0</v>
      </c>
      <c r="W51" s="351">
        <v>0</v>
      </c>
      <c r="X51" s="351">
        <v>0</v>
      </c>
      <c r="Y51" s="351">
        <v>0</v>
      </c>
      <c r="Z51" s="351">
        <v>0</v>
      </c>
      <c r="AA51" s="351">
        <v>0</v>
      </c>
      <c r="AB51" s="351"/>
      <c r="AC51" s="351">
        <v>0</v>
      </c>
      <c r="AD51" s="351"/>
      <c r="AE51" s="351">
        <v>0</v>
      </c>
      <c r="AF51" s="351"/>
      <c r="AG51" s="347">
        <v>1975</v>
      </c>
      <c r="AH51" s="351"/>
      <c r="AI51" s="351">
        <v>5425</v>
      </c>
      <c r="AJ51" s="351"/>
      <c r="AK51" s="347">
        <f>SUM(K51:AI51)</f>
        <v>7400</v>
      </c>
      <c r="AL51" s="351"/>
      <c r="AM51" s="351"/>
      <c r="AN51" s="351"/>
      <c r="AO51" s="351">
        <v>113798</v>
      </c>
      <c r="AP51" s="351"/>
      <c r="AQ51" s="351">
        <f>191228-121198</f>
        <v>70030</v>
      </c>
      <c r="AR51" s="351"/>
      <c r="AS51" s="351">
        <f>312268.7-191228</f>
        <v>121040.70000000001</v>
      </c>
      <c r="AT51" s="351"/>
      <c r="AU51" s="351">
        <f>359729.64-312268.7</f>
        <v>47460.94</v>
      </c>
      <c r="AV51" s="351"/>
      <c r="AW51" s="351">
        <f>501694.34-359729.64</f>
        <v>141964.70000000001</v>
      </c>
      <c r="AX51" s="351"/>
      <c r="AY51" s="351">
        <f>605071.39-501694.34</f>
        <v>103377.04999999999</v>
      </c>
      <c r="AZ51" s="351"/>
      <c r="BA51" s="351">
        <v>0</v>
      </c>
      <c r="BB51" s="351"/>
      <c r="BC51" s="351">
        <v>0</v>
      </c>
      <c r="BD51" s="351"/>
      <c r="BE51" s="351">
        <f>823579-605071</f>
        <v>218508</v>
      </c>
      <c r="BF51" s="351"/>
      <c r="BG51" s="351">
        <f>828178-823579</f>
        <v>4599</v>
      </c>
      <c r="BH51" s="351"/>
      <c r="BI51" s="351">
        <f>854518-828178</f>
        <v>26340</v>
      </c>
      <c r="BJ51" s="351"/>
      <c r="BK51" s="351">
        <v>0</v>
      </c>
      <c r="BL51" s="351"/>
      <c r="BM51" s="478">
        <f>SUM(AK51:BL51)</f>
        <v>854518.39</v>
      </c>
      <c r="BN51" s="351"/>
      <c r="BO51" s="199">
        <f>+MAX(0,G51-BM51+AM51)</f>
        <v>0</v>
      </c>
      <c r="BP51" s="347"/>
      <c r="BQ51" s="199">
        <f>SUM(BM51:BO51)</f>
        <v>854518.39</v>
      </c>
      <c r="BR51" s="347"/>
      <c r="BS51" s="351">
        <f>E51-BQ51</f>
        <v>466670.61</v>
      </c>
    </row>
    <row r="52" spans="1:71">
      <c r="A52" s="197"/>
      <c r="B52" s="197" t="s">
        <v>1038</v>
      </c>
      <c r="C52" s="187"/>
      <c r="D52" s="187"/>
      <c r="E52" s="351">
        <v>4671455</v>
      </c>
      <c r="G52" s="351">
        <v>2835497</v>
      </c>
      <c r="I52" s="351">
        <f>G52-E52</f>
        <v>-1835958</v>
      </c>
      <c r="K52" s="351">
        <v>0</v>
      </c>
      <c r="L52" s="351">
        <v>0</v>
      </c>
      <c r="M52" s="351">
        <v>0</v>
      </c>
      <c r="N52" s="351">
        <v>0</v>
      </c>
      <c r="O52" s="351">
        <v>0</v>
      </c>
      <c r="P52" s="351">
        <v>0</v>
      </c>
      <c r="Q52" s="351">
        <v>0</v>
      </c>
      <c r="R52" s="351">
        <v>0</v>
      </c>
      <c r="S52" s="351">
        <v>0</v>
      </c>
      <c r="T52" s="351">
        <v>0</v>
      </c>
      <c r="U52" s="351">
        <v>0</v>
      </c>
      <c r="V52" s="351">
        <v>0</v>
      </c>
      <c r="W52" s="351">
        <v>0</v>
      </c>
      <c r="X52" s="351">
        <v>0</v>
      </c>
      <c r="Y52" s="351">
        <v>0</v>
      </c>
      <c r="Z52" s="351">
        <v>0</v>
      </c>
      <c r="AA52" s="351">
        <v>0</v>
      </c>
      <c r="AB52" s="351"/>
      <c r="AC52" s="351">
        <v>0</v>
      </c>
      <c r="AD52" s="351"/>
      <c r="AE52" s="351">
        <v>0</v>
      </c>
      <c r="AF52" s="351"/>
      <c r="AG52" s="347">
        <f>3551+8394+61847+68325+18554</f>
        <v>160671</v>
      </c>
      <c r="AH52" s="351"/>
      <c r="AI52" s="351">
        <f>22528+8588+179051+51552+12304</f>
        <v>274023</v>
      </c>
      <c r="AJ52" s="351"/>
      <c r="AK52" s="347">
        <f>SUM(K52:AI52)</f>
        <v>434694</v>
      </c>
      <c r="AL52" s="351"/>
      <c r="AM52" s="351"/>
      <c r="AN52" s="351"/>
      <c r="AO52" s="351">
        <f>144496+91156+472898+72378+31267.2</f>
        <v>812195.2</v>
      </c>
      <c r="AP52" s="351"/>
      <c r="AQ52" s="351">
        <f>1504285-1306301+59411</f>
        <v>257395</v>
      </c>
      <c r="AR52" s="351"/>
      <c r="AS52" s="351">
        <f>1612815.67-1504284</f>
        <v>108531.66999999993</v>
      </c>
      <c r="AT52" s="351"/>
      <c r="AU52" s="351">
        <f>1750277.16-1612815.87</f>
        <v>137461.2899999998</v>
      </c>
      <c r="AV52" s="351"/>
      <c r="AW52" s="351">
        <f>2002064.1-1750277.16</f>
        <v>251786.94000000018</v>
      </c>
      <c r="AX52" s="351"/>
      <c r="AY52" s="351">
        <f>2218193.35-2002064.1</f>
        <v>216129.25</v>
      </c>
      <c r="AZ52" s="351"/>
      <c r="BA52" s="351">
        <v>0</v>
      </c>
      <c r="BB52" s="351"/>
      <c r="BC52" s="351">
        <v>0</v>
      </c>
      <c r="BD52" s="351"/>
      <c r="BE52" s="351">
        <f>2673101-2218193</f>
        <v>454908</v>
      </c>
      <c r="BF52" s="351"/>
      <c r="BG52" s="351">
        <f>2751016-2673101</f>
        <v>77915</v>
      </c>
      <c r="BH52" s="351"/>
      <c r="BI52" s="351">
        <f>2813744-2751016</f>
        <v>62728</v>
      </c>
      <c r="BJ52" s="351"/>
      <c r="BK52" s="351">
        <v>0</v>
      </c>
      <c r="BL52" s="351"/>
      <c r="BM52" s="478">
        <f>SUM(AK52:BL52)</f>
        <v>2813744.3499999996</v>
      </c>
      <c r="BN52" s="351"/>
      <c r="BO52" s="199">
        <f>+MAX(0,G52-BM52+AM52)</f>
        <v>21752.650000000373</v>
      </c>
      <c r="BP52" s="347"/>
      <c r="BQ52" s="199">
        <f>SUM(BM52:BO52)</f>
        <v>2835497</v>
      </c>
      <c r="BR52" s="347"/>
      <c r="BS52" s="351">
        <f>E52-BQ52</f>
        <v>1835958</v>
      </c>
    </row>
    <row r="53" spans="1:71">
      <c r="A53" s="197"/>
      <c r="B53" s="212" t="s">
        <v>1039</v>
      </c>
      <c r="C53" s="187"/>
      <c r="D53" s="187"/>
      <c r="E53" s="349">
        <f>SUM(E51:E52)</f>
        <v>5992644</v>
      </c>
      <c r="G53" s="349">
        <f>SUBTOTAL(9,G51:G52)</f>
        <v>3690015</v>
      </c>
      <c r="I53" s="349">
        <f t="shared" ref="I53:AE53" si="13">SUM(I51:I52)</f>
        <v>-2302629</v>
      </c>
      <c r="J53" s="348">
        <f t="shared" si="13"/>
        <v>0</v>
      </c>
      <c r="K53" s="349">
        <f t="shared" si="13"/>
        <v>0</v>
      </c>
      <c r="L53" s="348">
        <f t="shared" si="13"/>
        <v>0</v>
      </c>
      <c r="M53" s="349">
        <f t="shared" si="13"/>
        <v>0</v>
      </c>
      <c r="N53" s="348">
        <f t="shared" si="13"/>
        <v>0</v>
      </c>
      <c r="O53" s="349">
        <f t="shared" si="13"/>
        <v>0</v>
      </c>
      <c r="P53" s="348">
        <f t="shared" si="13"/>
        <v>0</v>
      </c>
      <c r="Q53" s="349">
        <f t="shared" si="13"/>
        <v>0</v>
      </c>
      <c r="R53" s="348">
        <f t="shared" si="13"/>
        <v>0</v>
      </c>
      <c r="S53" s="349">
        <f t="shared" si="13"/>
        <v>0</v>
      </c>
      <c r="T53" s="348">
        <f t="shared" si="13"/>
        <v>0</v>
      </c>
      <c r="U53" s="349">
        <f t="shared" si="13"/>
        <v>0</v>
      </c>
      <c r="V53" s="348">
        <f t="shared" si="13"/>
        <v>0</v>
      </c>
      <c r="W53" s="349">
        <f t="shared" si="13"/>
        <v>0</v>
      </c>
      <c r="X53" s="348">
        <f t="shared" si="13"/>
        <v>0</v>
      </c>
      <c r="Y53" s="349">
        <f t="shared" si="13"/>
        <v>0</v>
      </c>
      <c r="Z53" s="348">
        <f t="shared" si="13"/>
        <v>0</v>
      </c>
      <c r="AA53" s="349">
        <f t="shared" si="13"/>
        <v>0</v>
      </c>
      <c r="AB53" s="348">
        <f t="shared" si="13"/>
        <v>0</v>
      </c>
      <c r="AC53" s="349">
        <f t="shared" si="13"/>
        <v>0</v>
      </c>
      <c r="AD53" s="348">
        <f t="shared" si="13"/>
        <v>0</v>
      </c>
      <c r="AE53" s="349">
        <f t="shared" si="13"/>
        <v>0</v>
      </c>
      <c r="AF53" s="348"/>
      <c r="AG53" s="349">
        <f>SUM(AG51:AG52)</f>
        <v>162646</v>
      </c>
      <c r="AH53" s="348">
        <f>SUM(AH51:AH52)</f>
        <v>0</v>
      </c>
      <c r="AI53" s="349">
        <f>SUM(AI51:AI52)</f>
        <v>279448</v>
      </c>
      <c r="AJ53" s="348"/>
      <c r="AK53" s="349">
        <f>SUM(AK51:AK52)</f>
        <v>442094</v>
      </c>
      <c r="AL53" s="348">
        <f>SUM(AL51:AL52)</f>
        <v>0</v>
      </c>
      <c r="AM53" s="348">
        <f>SUM(AM51:AM52)</f>
        <v>0</v>
      </c>
      <c r="AN53" s="348">
        <f>SUM(AN51:AN52)</f>
        <v>0</v>
      </c>
      <c r="AO53" s="349">
        <f>SUM(AO51:AO52)</f>
        <v>925993.2</v>
      </c>
      <c r="AP53" s="348"/>
      <c r="AQ53" s="349">
        <f>SUM(AQ51:AQ52)</f>
        <v>327425</v>
      </c>
      <c r="AR53" s="348"/>
      <c r="AS53" s="349">
        <f>SUM(AS51:AS52)</f>
        <v>229572.36999999994</v>
      </c>
      <c r="AT53" s="348"/>
      <c r="AU53" s="349">
        <f>SUM(AU51:AU52)</f>
        <v>184922.22999999981</v>
      </c>
      <c r="AV53" s="348"/>
      <c r="AW53" s="349">
        <f>SUM(AW51:AW52)</f>
        <v>393751.64000000019</v>
      </c>
      <c r="AX53" s="348"/>
      <c r="AY53" s="349">
        <f>SUM(AY51:AY52)</f>
        <v>319506.3</v>
      </c>
      <c r="AZ53" s="348"/>
      <c r="BA53" s="349">
        <f>SUM(BA51:BA52)</f>
        <v>0</v>
      </c>
      <c r="BB53" s="348"/>
      <c r="BC53" s="349">
        <f>SUM(BC51:BC52)</f>
        <v>0</v>
      </c>
      <c r="BD53" s="348"/>
      <c r="BE53" s="349">
        <f>SUM(BE51:BE52)</f>
        <v>673416</v>
      </c>
      <c r="BF53" s="348"/>
      <c r="BG53" s="349">
        <f>SUM(BG51:BG52)</f>
        <v>82514</v>
      </c>
      <c r="BH53" s="348"/>
      <c r="BI53" s="349">
        <f>SUM(BI51:BI52)</f>
        <v>89068</v>
      </c>
      <c r="BJ53" s="348"/>
      <c r="BK53" s="349">
        <f>SUM(BK51:BK52)</f>
        <v>0</v>
      </c>
      <c r="BL53" s="348"/>
      <c r="BM53" s="483">
        <f>SUM(BM51:BM52)</f>
        <v>3668262.7399999998</v>
      </c>
      <c r="BN53" s="348"/>
      <c r="BO53" s="349">
        <f>SUM(BO51:BO52)</f>
        <v>21752.650000000373</v>
      </c>
      <c r="BP53" s="348">
        <f>SUM(BP51:BP52)</f>
        <v>0</v>
      </c>
      <c r="BQ53" s="349">
        <f>SUM(BQ51:BQ52)</f>
        <v>3690015.39</v>
      </c>
      <c r="BR53" s="348">
        <f>SUM(BR51:BR52)</f>
        <v>0</v>
      </c>
      <c r="BS53" s="349">
        <f>SUM(BS51:BS52)</f>
        <v>2302628.61</v>
      </c>
    </row>
    <row r="54" spans="1:71">
      <c r="A54" s="197" t="s">
        <v>1265</v>
      </c>
      <c r="B54" s="197"/>
      <c r="C54" s="187"/>
      <c r="D54" s="187"/>
      <c r="K54" s="199"/>
      <c r="L54" s="206"/>
      <c r="M54" s="199"/>
      <c r="O54" s="199"/>
      <c r="Q54" s="199"/>
      <c r="S54" s="199"/>
      <c r="U54" s="199"/>
      <c r="V54" s="206"/>
      <c r="W54" s="199"/>
      <c r="X54" s="206"/>
      <c r="Y54" s="199"/>
      <c r="Z54" s="206"/>
      <c r="AA54" s="199"/>
      <c r="AB54" s="206"/>
      <c r="AC54" s="199"/>
      <c r="AD54" s="206"/>
      <c r="AE54" s="199"/>
      <c r="AF54" s="206"/>
      <c r="AM54" s="206"/>
    </row>
    <row r="55" spans="1:71">
      <c r="A55" s="212"/>
      <c r="B55" s="197"/>
      <c r="C55" s="187"/>
      <c r="D55" s="187"/>
      <c r="E55" s="341"/>
      <c r="G55" s="341"/>
      <c r="I55" s="341"/>
      <c r="K55" s="199"/>
      <c r="L55" s="206"/>
      <c r="M55" s="199"/>
      <c r="O55" s="199"/>
      <c r="Q55" s="199"/>
      <c r="S55" s="199"/>
      <c r="U55" s="199"/>
      <c r="V55" s="206"/>
      <c r="W55" s="199"/>
      <c r="X55" s="206"/>
      <c r="Y55" s="199"/>
      <c r="Z55" s="206"/>
      <c r="AA55" s="199"/>
      <c r="AB55" s="206"/>
      <c r="AC55" s="199"/>
      <c r="AD55" s="206"/>
      <c r="AE55" s="199"/>
      <c r="AF55" s="206"/>
      <c r="AM55" s="206"/>
    </row>
    <row r="56" spans="1:71">
      <c r="A56" s="197"/>
      <c r="B56" s="197" t="s">
        <v>1005</v>
      </c>
      <c r="C56" s="187"/>
      <c r="D56" s="187"/>
      <c r="E56" s="344">
        <v>120323</v>
      </c>
      <c r="G56" s="344">
        <v>242008</v>
      </c>
      <c r="I56" s="344">
        <f>G56-E56</f>
        <v>121685</v>
      </c>
      <c r="K56" s="344">
        <v>0</v>
      </c>
      <c r="L56" s="344">
        <v>0</v>
      </c>
      <c r="M56" s="344">
        <v>0</v>
      </c>
      <c r="N56" s="344">
        <v>0</v>
      </c>
      <c r="O56" s="344">
        <v>0</v>
      </c>
      <c r="P56" s="344">
        <v>0</v>
      </c>
      <c r="Q56" s="344">
        <v>0</v>
      </c>
      <c r="R56" s="344">
        <v>0</v>
      </c>
      <c r="S56" s="344">
        <v>0</v>
      </c>
      <c r="T56" s="344">
        <v>0</v>
      </c>
      <c r="U56" s="344">
        <v>0</v>
      </c>
      <c r="V56" s="344">
        <v>0</v>
      </c>
      <c r="W56" s="344">
        <v>0</v>
      </c>
      <c r="X56" s="344">
        <v>0</v>
      </c>
      <c r="Y56" s="344">
        <v>0</v>
      </c>
      <c r="Z56" s="344">
        <v>0</v>
      </c>
      <c r="AA56" s="344">
        <v>0</v>
      </c>
      <c r="AB56" s="344"/>
      <c r="AC56" s="344">
        <v>0</v>
      </c>
      <c r="AD56" s="344"/>
      <c r="AE56" s="344">
        <v>0</v>
      </c>
      <c r="AF56" s="344"/>
      <c r="AG56" s="347">
        <v>4681</v>
      </c>
      <c r="AH56" s="344"/>
      <c r="AI56" s="344">
        <v>71981</v>
      </c>
      <c r="AJ56" s="344"/>
      <c r="AK56" s="347">
        <f>SUM(K56:AI56)</f>
        <v>76662</v>
      </c>
      <c r="AL56" s="344"/>
      <c r="AM56" s="344"/>
      <c r="AN56" s="344"/>
      <c r="AO56" s="344">
        <v>22504</v>
      </c>
      <c r="AP56" s="344"/>
      <c r="AQ56" s="344">
        <f>111558-99166</f>
        <v>12392</v>
      </c>
      <c r="AR56" s="344"/>
      <c r="AS56" s="344">
        <f>123213.04-111558</f>
        <v>11655.039999999994</v>
      </c>
      <c r="AT56" s="344"/>
      <c r="AU56" s="344">
        <f>128376.53-123213.04</f>
        <v>5163.4900000000052</v>
      </c>
      <c r="AV56" s="344"/>
      <c r="AW56" s="344">
        <f>142778.61-128376.53</f>
        <v>14402.079999999987</v>
      </c>
      <c r="AX56" s="344"/>
      <c r="AY56" s="344">
        <f>148783.33-142778.61</f>
        <v>6004.7200000000012</v>
      </c>
      <c r="AZ56" s="344"/>
      <c r="BA56" s="344">
        <v>0</v>
      </c>
      <c r="BB56" s="344"/>
      <c r="BC56" s="344">
        <v>0</v>
      </c>
      <c r="BD56" s="344"/>
      <c r="BE56" s="344">
        <f>229556-148783</f>
        <v>80773</v>
      </c>
      <c r="BF56" s="344"/>
      <c r="BG56" s="344">
        <f>229783-229556</f>
        <v>227</v>
      </c>
      <c r="BH56" s="344"/>
      <c r="BI56" s="344">
        <f>233042-229783</f>
        <v>3259</v>
      </c>
      <c r="BJ56" s="344"/>
      <c r="BK56" s="344">
        <v>0</v>
      </c>
      <c r="BL56" s="344"/>
      <c r="BM56" s="478">
        <f t="shared" ref="BM56:BM65" si="14">SUM(AK56:BL56)</f>
        <v>233042.33</v>
      </c>
      <c r="BN56" s="344"/>
      <c r="BO56" s="199">
        <f t="shared" ref="BO56:BO65" si="15">+MAX(0,G56-BM56+AM56)</f>
        <v>8965.6700000000128</v>
      </c>
      <c r="BP56" s="347"/>
      <c r="BQ56" s="199">
        <f t="shared" ref="BQ56:BQ65" si="16">SUM(BM56:BO56)</f>
        <v>242008</v>
      </c>
      <c r="BR56" s="347"/>
      <c r="BS56" s="351">
        <f>E56-BQ56</f>
        <v>-121685</v>
      </c>
    </row>
    <row r="57" spans="1:71">
      <c r="A57" s="197"/>
      <c r="B57" s="197" t="s">
        <v>1006</v>
      </c>
      <c r="C57" s="187"/>
      <c r="D57" s="187"/>
      <c r="E57" s="344">
        <v>7367</v>
      </c>
      <c r="G57" s="344">
        <v>5061</v>
      </c>
      <c r="I57" s="344">
        <f t="shared" ref="I57:I65" si="17">G57-E57</f>
        <v>-2306</v>
      </c>
      <c r="K57" s="344">
        <v>0</v>
      </c>
      <c r="L57" s="344">
        <v>0</v>
      </c>
      <c r="M57" s="344">
        <v>0</v>
      </c>
      <c r="N57" s="344">
        <v>0</v>
      </c>
      <c r="O57" s="344">
        <v>0</v>
      </c>
      <c r="P57" s="344">
        <v>0</v>
      </c>
      <c r="Q57" s="344">
        <v>0</v>
      </c>
      <c r="R57" s="344">
        <v>0</v>
      </c>
      <c r="S57" s="344">
        <v>0</v>
      </c>
      <c r="T57" s="344">
        <v>0</v>
      </c>
      <c r="U57" s="344">
        <v>0</v>
      </c>
      <c r="V57" s="344">
        <v>0</v>
      </c>
      <c r="W57" s="344">
        <v>0</v>
      </c>
      <c r="X57" s="344">
        <v>0</v>
      </c>
      <c r="Y57" s="344">
        <v>0</v>
      </c>
      <c r="Z57" s="344">
        <v>0</v>
      </c>
      <c r="AA57" s="344">
        <v>0</v>
      </c>
      <c r="AB57" s="344"/>
      <c r="AC57" s="344">
        <v>0</v>
      </c>
      <c r="AD57" s="344"/>
      <c r="AE57" s="344">
        <v>0</v>
      </c>
      <c r="AF57" s="344"/>
      <c r="AG57" s="347"/>
      <c r="AH57" s="344"/>
      <c r="AI57" s="344"/>
      <c r="AJ57" s="344"/>
      <c r="AK57" s="347">
        <f t="shared" ref="AK57:AK97" si="18">SUM(K57:AI57)</f>
        <v>0</v>
      </c>
      <c r="AL57" s="344"/>
      <c r="AM57" s="344"/>
      <c r="AN57" s="344"/>
      <c r="AO57" s="344">
        <v>1652</v>
      </c>
      <c r="AP57" s="344"/>
      <c r="AQ57" s="344">
        <v>0</v>
      </c>
      <c r="AR57" s="344"/>
      <c r="AS57" s="344">
        <f>2293.53-1652</f>
        <v>641.5300000000002</v>
      </c>
      <c r="AT57" s="344"/>
      <c r="AU57" s="344">
        <f>2646.99-2293.53</f>
        <v>353.45999999999958</v>
      </c>
      <c r="AV57" s="344"/>
      <c r="AW57" s="344">
        <v>0</v>
      </c>
      <c r="AX57" s="344"/>
      <c r="AY57" s="344">
        <f>2647.03-2646.99</f>
        <v>4.0000000000418368E-2</v>
      </c>
      <c r="AZ57" s="344"/>
      <c r="BA57" s="344">
        <v>0</v>
      </c>
      <c r="BB57" s="344"/>
      <c r="BC57" s="344">
        <v>0</v>
      </c>
      <c r="BD57" s="344"/>
      <c r="BE57" s="344">
        <v>0</v>
      </c>
      <c r="BF57" s="344"/>
      <c r="BG57" s="344">
        <f>5025-2647</f>
        <v>2378</v>
      </c>
      <c r="BH57" s="344"/>
      <c r="BI57" s="344">
        <f>5025-5025</f>
        <v>0</v>
      </c>
      <c r="BJ57" s="344"/>
      <c r="BK57" s="344">
        <f>5025-5025</f>
        <v>0</v>
      </c>
      <c r="BL57" s="344"/>
      <c r="BM57" s="478">
        <f t="shared" si="14"/>
        <v>5025.0300000000007</v>
      </c>
      <c r="BN57" s="344"/>
      <c r="BO57" s="199">
        <f t="shared" si="15"/>
        <v>35.969999999999345</v>
      </c>
      <c r="BP57" s="347"/>
      <c r="BQ57" s="199">
        <f t="shared" si="16"/>
        <v>5061</v>
      </c>
      <c r="BR57" s="347"/>
      <c r="BS57" s="351">
        <f t="shared" ref="BS57:BS65" si="19">E57-BQ57</f>
        <v>2306</v>
      </c>
    </row>
    <row r="58" spans="1:71">
      <c r="A58" s="197"/>
      <c r="B58" s="197" t="s">
        <v>1007</v>
      </c>
      <c r="C58" s="187"/>
      <c r="D58" s="187"/>
      <c r="E58" s="344">
        <v>26973</v>
      </c>
      <c r="G58" s="344">
        <v>24636</v>
      </c>
      <c r="I58" s="344">
        <f t="shared" si="17"/>
        <v>-2337</v>
      </c>
      <c r="K58" s="344">
        <v>0</v>
      </c>
      <c r="L58" s="344">
        <v>0</v>
      </c>
      <c r="M58" s="344">
        <v>0</v>
      </c>
      <c r="N58" s="344">
        <v>0</v>
      </c>
      <c r="O58" s="344">
        <v>0</v>
      </c>
      <c r="P58" s="344">
        <v>0</v>
      </c>
      <c r="Q58" s="344">
        <v>0</v>
      </c>
      <c r="R58" s="344">
        <v>0</v>
      </c>
      <c r="S58" s="344">
        <v>0</v>
      </c>
      <c r="T58" s="344">
        <v>0</v>
      </c>
      <c r="U58" s="344">
        <v>0</v>
      </c>
      <c r="V58" s="344">
        <v>0</v>
      </c>
      <c r="W58" s="344">
        <v>0</v>
      </c>
      <c r="X58" s="344">
        <v>0</v>
      </c>
      <c r="Y58" s="344">
        <v>0</v>
      </c>
      <c r="Z58" s="344">
        <v>0</v>
      </c>
      <c r="AA58" s="344">
        <v>0</v>
      </c>
      <c r="AB58" s="344"/>
      <c r="AC58" s="344">
        <v>0</v>
      </c>
      <c r="AD58" s="344"/>
      <c r="AE58" s="344">
        <v>0</v>
      </c>
      <c r="AF58" s="344"/>
      <c r="AG58" s="347">
        <v>0</v>
      </c>
      <c r="AH58" s="344"/>
      <c r="AI58" s="344">
        <v>0</v>
      </c>
      <c r="AJ58" s="344"/>
      <c r="AK58" s="347">
        <f t="shared" si="18"/>
        <v>0</v>
      </c>
      <c r="AL58" s="344"/>
      <c r="AM58" s="344"/>
      <c r="AN58" s="344"/>
      <c r="AO58" s="344">
        <v>14689</v>
      </c>
      <c r="AP58" s="344"/>
      <c r="AQ58" s="344">
        <f>16894-14689</f>
        <v>2205</v>
      </c>
      <c r="AR58" s="344"/>
      <c r="AS58" s="344">
        <f>24088.77-16894</f>
        <v>7194.77</v>
      </c>
      <c r="AT58" s="344"/>
      <c r="AU58" s="344">
        <f>24610.77-24088.77</f>
        <v>522</v>
      </c>
      <c r="AV58" s="344"/>
      <c r="AW58" s="344">
        <v>0</v>
      </c>
      <c r="AX58" s="344"/>
      <c r="AY58" s="344">
        <f>24618.33-24610.77</f>
        <v>7.5600000000013097</v>
      </c>
      <c r="AZ58" s="344"/>
      <c r="BA58" s="344">
        <v>0</v>
      </c>
      <c r="BB58" s="344"/>
      <c r="BC58" s="344">
        <v>0</v>
      </c>
      <c r="BD58" s="344"/>
      <c r="BE58" s="344">
        <v>0</v>
      </c>
      <c r="BF58" s="344"/>
      <c r="BG58" s="344">
        <v>0</v>
      </c>
      <c r="BH58" s="344"/>
      <c r="BI58" s="344">
        <f>24618-24618</f>
        <v>0</v>
      </c>
      <c r="BJ58" s="344"/>
      <c r="BK58" s="344">
        <f>24618-24618</f>
        <v>0</v>
      </c>
      <c r="BL58" s="344"/>
      <c r="BM58" s="478">
        <f t="shared" si="14"/>
        <v>24618.33</v>
      </c>
      <c r="BN58" s="344"/>
      <c r="BO58" s="199">
        <f t="shared" si="15"/>
        <v>17.669999999998254</v>
      </c>
      <c r="BP58" s="347"/>
      <c r="BQ58" s="199">
        <f t="shared" si="16"/>
        <v>24636</v>
      </c>
      <c r="BR58" s="347"/>
      <c r="BS58" s="351">
        <f t="shared" si="19"/>
        <v>2337</v>
      </c>
    </row>
    <row r="59" spans="1:71">
      <c r="A59" s="197"/>
      <c r="B59" s="197" t="s">
        <v>1008</v>
      </c>
      <c r="C59" s="187"/>
      <c r="D59" s="187"/>
      <c r="E59" s="344">
        <v>0</v>
      </c>
      <c r="G59" s="344">
        <v>1294</v>
      </c>
      <c r="I59" s="344">
        <f t="shared" si="17"/>
        <v>1294</v>
      </c>
      <c r="K59" s="344">
        <v>0</v>
      </c>
      <c r="L59" s="344">
        <v>0</v>
      </c>
      <c r="M59" s="344">
        <v>0</v>
      </c>
      <c r="N59" s="344">
        <v>0</v>
      </c>
      <c r="O59" s="344">
        <v>0</v>
      </c>
      <c r="P59" s="344">
        <v>0</v>
      </c>
      <c r="Q59" s="344">
        <v>0</v>
      </c>
      <c r="R59" s="344">
        <v>0</v>
      </c>
      <c r="S59" s="344">
        <v>0</v>
      </c>
      <c r="T59" s="344">
        <v>0</v>
      </c>
      <c r="U59" s="344">
        <v>0</v>
      </c>
      <c r="V59" s="344">
        <v>0</v>
      </c>
      <c r="W59" s="344">
        <v>0</v>
      </c>
      <c r="X59" s="344">
        <v>0</v>
      </c>
      <c r="Y59" s="344">
        <v>0</v>
      </c>
      <c r="Z59" s="344">
        <v>0</v>
      </c>
      <c r="AA59" s="344">
        <v>0</v>
      </c>
      <c r="AB59" s="344"/>
      <c r="AC59" s="344">
        <v>0</v>
      </c>
      <c r="AD59" s="344"/>
      <c r="AE59" s="344">
        <v>0</v>
      </c>
      <c r="AF59" s="344"/>
      <c r="AG59" s="347">
        <v>0</v>
      </c>
      <c r="AH59" s="344"/>
      <c r="AI59" s="344">
        <v>0</v>
      </c>
      <c r="AJ59" s="344"/>
      <c r="AK59" s="347">
        <f t="shared" si="18"/>
        <v>0</v>
      </c>
      <c r="AL59" s="344"/>
      <c r="AM59" s="344"/>
      <c r="AN59" s="344"/>
      <c r="AO59" s="344">
        <v>842</v>
      </c>
      <c r="AP59" s="344"/>
      <c r="AQ59" s="344">
        <f>842-842</f>
        <v>0</v>
      </c>
      <c r="AR59" s="344"/>
      <c r="AS59" s="344">
        <f>1239.45-842</f>
        <v>397.45000000000005</v>
      </c>
      <c r="AT59" s="344"/>
      <c r="AU59" s="344">
        <f>1239.45-1239.45</f>
        <v>0</v>
      </c>
      <c r="AV59" s="344"/>
      <c r="AW59" s="344">
        <v>0</v>
      </c>
      <c r="AX59" s="344"/>
      <c r="AY59" s="344">
        <v>0</v>
      </c>
      <c r="AZ59" s="344"/>
      <c r="BA59" s="344">
        <v>0</v>
      </c>
      <c r="BB59" s="344"/>
      <c r="BC59" s="344">
        <v>0</v>
      </c>
      <c r="BD59" s="344"/>
      <c r="BE59" s="344">
        <v>1</v>
      </c>
      <c r="BF59" s="344"/>
      <c r="BG59" s="344">
        <v>0</v>
      </c>
      <c r="BH59" s="344"/>
      <c r="BI59" s="344">
        <f>1240-1240</f>
        <v>0</v>
      </c>
      <c r="BJ59" s="344"/>
      <c r="BK59" s="344">
        <f>1240-1240</f>
        <v>0</v>
      </c>
      <c r="BL59" s="344"/>
      <c r="BM59" s="478">
        <f t="shared" si="14"/>
        <v>1240.45</v>
      </c>
      <c r="BN59" s="344"/>
      <c r="BO59" s="199">
        <f t="shared" si="15"/>
        <v>53.549999999999955</v>
      </c>
      <c r="BP59" s="347"/>
      <c r="BQ59" s="199">
        <f t="shared" si="16"/>
        <v>1294</v>
      </c>
      <c r="BR59" s="347"/>
      <c r="BS59" s="351">
        <f t="shared" si="19"/>
        <v>-1294</v>
      </c>
    </row>
    <row r="60" spans="1:71">
      <c r="A60" s="197"/>
      <c r="B60" s="197" t="s">
        <v>1009</v>
      </c>
      <c r="C60" s="187"/>
      <c r="D60" s="187"/>
      <c r="E60" s="344">
        <v>8302</v>
      </c>
      <c r="G60" s="344">
        <v>96.96</v>
      </c>
      <c r="I60" s="344">
        <f t="shared" si="17"/>
        <v>-8205.0400000000009</v>
      </c>
      <c r="K60" s="344">
        <v>0</v>
      </c>
      <c r="L60" s="344">
        <v>0</v>
      </c>
      <c r="M60" s="344">
        <v>0</v>
      </c>
      <c r="N60" s="344">
        <v>0</v>
      </c>
      <c r="O60" s="344">
        <v>0</v>
      </c>
      <c r="P60" s="344">
        <v>0</v>
      </c>
      <c r="Q60" s="344">
        <v>0</v>
      </c>
      <c r="R60" s="344">
        <v>0</v>
      </c>
      <c r="S60" s="344">
        <v>0</v>
      </c>
      <c r="T60" s="344">
        <v>0</v>
      </c>
      <c r="U60" s="344">
        <v>0</v>
      </c>
      <c r="V60" s="344">
        <v>0</v>
      </c>
      <c r="W60" s="344">
        <v>0</v>
      </c>
      <c r="X60" s="344">
        <v>0</v>
      </c>
      <c r="Y60" s="344">
        <v>0</v>
      </c>
      <c r="Z60" s="344">
        <v>0</v>
      </c>
      <c r="AA60" s="344">
        <v>0</v>
      </c>
      <c r="AB60" s="344"/>
      <c r="AC60" s="344">
        <v>0</v>
      </c>
      <c r="AD60" s="344"/>
      <c r="AE60" s="344">
        <v>0</v>
      </c>
      <c r="AF60" s="344"/>
      <c r="AG60" s="347">
        <v>0</v>
      </c>
      <c r="AH60" s="344"/>
      <c r="AI60" s="344">
        <v>0</v>
      </c>
      <c r="AJ60" s="344"/>
      <c r="AK60" s="347">
        <f t="shared" si="18"/>
        <v>0</v>
      </c>
      <c r="AL60" s="344"/>
      <c r="AM60" s="344"/>
      <c r="AN60" s="344"/>
      <c r="AO60" s="344">
        <v>97</v>
      </c>
      <c r="AP60" s="344"/>
      <c r="AQ60" s="344">
        <v>0</v>
      </c>
      <c r="AR60" s="344"/>
      <c r="AS60" s="344">
        <v>0</v>
      </c>
      <c r="AT60" s="344"/>
      <c r="AU60" s="344">
        <v>0</v>
      </c>
      <c r="AV60" s="344"/>
      <c r="AW60" s="344">
        <v>0</v>
      </c>
      <c r="AX60" s="344"/>
      <c r="AY60" s="344">
        <v>0</v>
      </c>
      <c r="AZ60" s="344"/>
      <c r="BA60" s="344">
        <v>0</v>
      </c>
      <c r="BB60" s="344"/>
      <c r="BC60" s="344">
        <v>0</v>
      </c>
      <c r="BD60" s="344"/>
      <c r="BE60" s="344">
        <v>0</v>
      </c>
      <c r="BF60" s="344"/>
      <c r="BG60" s="344">
        <v>0</v>
      </c>
      <c r="BH60" s="344"/>
      <c r="BI60" s="344">
        <f>97-97</f>
        <v>0</v>
      </c>
      <c r="BJ60" s="344"/>
      <c r="BK60" s="344">
        <f>97-97</f>
        <v>0</v>
      </c>
      <c r="BL60" s="344"/>
      <c r="BM60" s="478">
        <f t="shared" si="14"/>
        <v>97</v>
      </c>
      <c r="BN60" s="344"/>
      <c r="BO60" s="199">
        <f t="shared" si="15"/>
        <v>0</v>
      </c>
      <c r="BP60" s="347"/>
      <c r="BQ60" s="199">
        <f t="shared" si="16"/>
        <v>97</v>
      </c>
      <c r="BR60" s="347"/>
      <c r="BS60" s="351">
        <f t="shared" si="19"/>
        <v>8205</v>
      </c>
    </row>
    <row r="61" spans="1:71">
      <c r="A61" s="197"/>
      <c r="B61" s="197" t="s">
        <v>1011</v>
      </c>
      <c r="C61" s="187"/>
      <c r="D61" s="187"/>
      <c r="E61" s="344">
        <v>60328</v>
      </c>
      <c r="G61" s="344">
        <v>181581</v>
      </c>
      <c r="I61" s="344">
        <f t="shared" si="17"/>
        <v>121253</v>
      </c>
      <c r="K61" s="344">
        <v>0</v>
      </c>
      <c r="L61" s="344">
        <v>0</v>
      </c>
      <c r="M61" s="344">
        <v>0</v>
      </c>
      <c r="N61" s="344">
        <v>0</v>
      </c>
      <c r="O61" s="344">
        <v>0</v>
      </c>
      <c r="P61" s="344">
        <v>0</v>
      </c>
      <c r="Q61" s="344">
        <v>0</v>
      </c>
      <c r="R61" s="344">
        <v>0</v>
      </c>
      <c r="S61" s="344">
        <v>0</v>
      </c>
      <c r="T61" s="344">
        <v>0</v>
      </c>
      <c r="U61" s="344">
        <v>0</v>
      </c>
      <c r="V61" s="344">
        <v>0</v>
      </c>
      <c r="W61" s="344">
        <v>0</v>
      </c>
      <c r="X61" s="344">
        <v>0</v>
      </c>
      <c r="Y61" s="344">
        <v>0</v>
      </c>
      <c r="Z61" s="344">
        <v>0</v>
      </c>
      <c r="AA61" s="344">
        <v>0</v>
      </c>
      <c r="AB61" s="344"/>
      <c r="AC61" s="344">
        <v>0</v>
      </c>
      <c r="AD61" s="344"/>
      <c r="AE61" s="344">
        <v>0</v>
      </c>
      <c r="AF61" s="344"/>
      <c r="AG61" s="347">
        <v>0</v>
      </c>
      <c r="AH61" s="344"/>
      <c r="AI61" s="344">
        <v>0</v>
      </c>
      <c r="AJ61" s="344"/>
      <c r="AK61" s="347">
        <f t="shared" si="18"/>
        <v>0</v>
      </c>
      <c r="AL61" s="344"/>
      <c r="AM61" s="344"/>
      <c r="AN61" s="344"/>
      <c r="AO61" s="344">
        <v>64017</v>
      </c>
      <c r="AP61" s="344"/>
      <c r="AQ61" s="344">
        <f>81089-64017</f>
        <v>17072</v>
      </c>
      <c r="AR61" s="344"/>
      <c r="AS61" s="344">
        <f>172261.15-81089</f>
        <v>91172.15</v>
      </c>
      <c r="AT61" s="344"/>
      <c r="AU61" s="344">
        <f>172951.63-172261.15</f>
        <v>690.48000000001048</v>
      </c>
      <c r="AV61" s="344"/>
      <c r="AW61" s="344">
        <f>181542.28-172951.63</f>
        <v>8590.6499999999942</v>
      </c>
      <c r="AX61" s="344"/>
      <c r="AY61" s="344">
        <f>181567.82-181542.28</f>
        <v>25.540000000008149</v>
      </c>
      <c r="AZ61" s="344"/>
      <c r="BA61" s="344">
        <v>0</v>
      </c>
      <c r="BB61" s="344"/>
      <c r="BC61" s="344">
        <v>0</v>
      </c>
      <c r="BD61" s="344"/>
      <c r="BE61" s="344">
        <v>0</v>
      </c>
      <c r="BF61" s="344"/>
      <c r="BG61" s="344">
        <v>0</v>
      </c>
      <c r="BH61" s="344"/>
      <c r="BI61" s="344">
        <f>181568-181568</f>
        <v>0</v>
      </c>
      <c r="BJ61" s="344"/>
      <c r="BK61" s="344">
        <f>181568-181568</f>
        <v>0</v>
      </c>
      <c r="BL61" s="344"/>
      <c r="BM61" s="478">
        <f t="shared" si="14"/>
        <v>181567.82</v>
      </c>
      <c r="BN61" s="344"/>
      <c r="BO61" s="199">
        <f t="shared" si="15"/>
        <v>13.179999999993015</v>
      </c>
      <c r="BP61" s="347"/>
      <c r="BQ61" s="199">
        <f t="shared" si="16"/>
        <v>181581</v>
      </c>
      <c r="BR61" s="347"/>
      <c r="BS61" s="351">
        <f t="shared" si="19"/>
        <v>-121253</v>
      </c>
    </row>
    <row r="62" spans="1:71">
      <c r="A62" s="197"/>
      <c r="B62" s="197" t="s">
        <v>1012</v>
      </c>
      <c r="C62" s="187"/>
      <c r="D62" s="187"/>
      <c r="E62" s="344">
        <v>123231.3</v>
      </c>
      <c r="G62" s="344">
        <v>366044</v>
      </c>
      <c r="I62" s="344">
        <f t="shared" si="17"/>
        <v>242812.7</v>
      </c>
      <c r="K62" s="344">
        <v>0</v>
      </c>
      <c r="L62" s="344">
        <v>0</v>
      </c>
      <c r="M62" s="344">
        <v>0</v>
      </c>
      <c r="N62" s="344">
        <v>0</v>
      </c>
      <c r="O62" s="344">
        <v>0</v>
      </c>
      <c r="P62" s="344">
        <v>0</v>
      </c>
      <c r="Q62" s="344">
        <v>0</v>
      </c>
      <c r="R62" s="344">
        <v>0</v>
      </c>
      <c r="S62" s="344">
        <v>0</v>
      </c>
      <c r="T62" s="344">
        <v>0</v>
      </c>
      <c r="U62" s="344">
        <v>0</v>
      </c>
      <c r="V62" s="344">
        <v>0</v>
      </c>
      <c r="W62" s="344">
        <v>0</v>
      </c>
      <c r="X62" s="344">
        <v>0</v>
      </c>
      <c r="Y62" s="344">
        <v>0</v>
      </c>
      <c r="Z62" s="344">
        <v>0</v>
      </c>
      <c r="AA62" s="344">
        <v>0</v>
      </c>
      <c r="AB62" s="344"/>
      <c r="AC62" s="344">
        <v>0</v>
      </c>
      <c r="AD62" s="344"/>
      <c r="AE62" s="344">
        <v>0</v>
      </c>
      <c r="AF62" s="344"/>
      <c r="AG62" s="347">
        <v>0</v>
      </c>
      <c r="AH62" s="344"/>
      <c r="AI62" s="344">
        <v>0</v>
      </c>
      <c r="AJ62" s="344"/>
      <c r="AK62" s="347">
        <f t="shared" si="18"/>
        <v>0</v>
      </c>
      <c r="AL62" s="344"/>
      <c r="AM62" s="344"/>
      <c r="AN62" s="344"/>
      <c r="AO62" s="344">
        <v>141342</v>
      </c>
      <c r="AP62" s="344"/>
      <c r="AQ62" s="344">
        <f>187672-141342</f>
        <v>46330</v>
      </c>
      <c r="AR62" s="344"/>
      <c r="AS62" s="344">
        <f>272249.12-187672</f>
        <v>84577.12</v>
      </c>
      <c r="AT62" s="344"/>
      <c r="AU62" s="344">
        <f>311294.55-272249.12</f>
        <v>39045.429999999993</v>
      </c>
      <c r="AV62" s="344"/>
      <c r="AW62" s="344">
        <f>358241.68-311294.55</f>
        <v>46947.130000000005</v>
      </c>
      <c r="AX62" s="344"/>
      <c r="AY62" s="344">
        <f>360091.31-358241.68</f>
        <v>1849.6300000000047</v>
      </c>
      <c r="AZ62" s="344"/>
      <c r="BA62" s="344">
        <v>0</v>
      </c>
      <c r="BB62" s="344"/>
      <c r="BC62" s="344">
        <v>0</v>
      </c>
      <c r="BD62" s="344"/>
      <c r="BE62" s="344">
        <f>364170-360091</f>
        <v>4079</v>
      </c>
      <c r="BF62" s="344"/>
      <c r="BG62" s="344">
        <f>365963-364170</f>
        <v>1793</v>
      </c>
      <c r="BH62" s="344"/>
      <c r="BI62" s="344">
        <f>365963-365963</f>
        <v>0</v>
      </c>
      <c r="BJ62" s="344"/>
      <c r="BK62" s="344">
        <f>365963-365963</f>
        <v>0</v>
      </c>
      <c r="BL62" s="344"/>
      <c r="BM62" s="478">
        <f t="shared" si="14"/>
        <v>365963.31</v>
      </c>
      <c r="BN62" s="344"/>
      <c r="BO62" s="199">
        <f t="shared" si="15"/>
        <v>80.690000000002328</v>
      </c>
      <c r="BP62" s="347"/>
      <c r="BQ62" s="199">
        <f t="shared" si="16"/>
        <v>366044</v>
      </c>
      <c r="BR62" s="347"/>
      <c r="BS62" s="351">
        <f t="shared" si="19"/>
        <v>-242812.7</v>
      </c>
    </row>
    <row r="63" spans="1:71">
      <c r="A63" s="197"/>
      <c r="B63" s="197" t="s">
        <v>1013</v>
      </c>
      <c r="C63" s="187"/>
      <c r="D63" s="187"/>
      <c r="E63" s="344">
        <v>65501.3</v>
      </c>
      <c r="G63" s="344">
        <v>131207</v>
      </c>
      <c r="I63" s="344">
        <f t="shared" si="17"/>
        <v>65705.7</v>
      </c>
      <c r="K63" s="344">
        <v>0</v>
      </c>
      <c r="L63" s="344">
        <v>0</v>
      </c>
      <c r="M63" s="344">
        <v>0</v>
      </c>
      <c r="N63" s="344">
        <v>0</v>
      </c>
      <c r="O63" s="344">
        <v>0</v>
      </c>
      <c r="P63" s="344">
        <v>0</v>
      </c>
      <c r="Q63" s="344">
        <v>0</v>
      </c>
      <c r="R63" s="344">
        <v>0</v>
      </c>
      <c r="S63" s="344">
        <v>0</v>
      </c>
      <c r="T63" s="344">
        <v>0</v>
      </c>
      <c r="U63" s="344">
        <v>0</v>
      </c>
      <c r="V63" s="344">
        <v>0</v>
      </c>
      <c r="W63" s="344">
        <v>0</v>
      </c>
      <c r="X63" s="344">
        <v>0</v>
      </c>
      <c r="Y63" s="344">
        <v>0</v>
      </c>
      <c r="Z63" s="344">
        <v>0</v>
      </c>
      <c r="AA63" s="344">
        <v>0</v>
      </c>
      <c r="AB63" s="344"/>
      <c r="AC63" s="344">
        <v>0</v>
      </c>
      <c r="AD63" s="344"/>
      <c r="AE63" s="344">
        <v>0</v>
      </c>
      <c r="AF63" s="344"/>
      <c r="AG63" s="347">
        <v>0</v>
      </c>
      <c r="AH63" s="344"/>
      <c r="AI63" s="344">
        <v>0</v>
      </c>
      <c r="AJ63" s="344"/>
      <c r="AK63" s="347">
        <f t="shared" si="18"/>
        <v>0</v>
      </c>
      <c r="AL63" s="344"/>
      <c r="AM63" s="344"/>
      <c r="AN63" s="344"/>
      <c r="AO63" s="344">
        <v>50196</v>
      </c>
      <c r="AP63" s="344"/>
      <c r="AQ63" s="344">
        <f>64730-50196</f>
        <v>14534</v>
      </c>
      <c r="AR63" s="344"/>
      <c r="AS63" s="344">
        <f>73311.87-64730</f>
        <v>8581.8699999999953</v>
      </c>
      <c r="AT63" s="344"/>
      <c r="AU63" s="344">
        <f>85916.67-73311.87</f>
        <v>12604.800000000003</v>
      </c>
      <c r="AV63" s="344"/>
      <c r="AW63" s="344">
        <f>104499.69-85916.67</f>
        <v>18583.020000000004</v>
      </c>
      <c r="AX63" s="344"/>
      <c r="AY63" s="344">
        <f>115753.01-104499.69</f>
        <v>11253.319999999992</v>
      </c>
      <c r="AZ63" s="344"/>
      <c r="BA63" s="344">
        <v>0</v>
      </c>
      <c r="BB63" s="344"/>
      <c r="BC63" s="344">
        <v>0</v>
      </c>
      <c r="BD63" s="344"/>
      <c r="BE63" s="344">
        <f>124934-115753</f>
        <v>9181</v>
      </c>
      <c r="BF63" s="344"/>
      <c r="BG63" s="344">
        <f>131166-124934</f>
        <v>6232</v>
      </c>
      <c r="BH63" s="344"/>
      <c r="BI63" s="344">
        <f>131166-131166</f>
        <v>0</v>
      </c>
      <c r="BJ63" s="344"/>
      <c r="BK63" s="344">
        <f>131166-131166</f>
        <v>0</v>
      </c>
      <c r="BL63" s="344"/>
      <c r="BM63" s="478">
        <f t="shared" si="14"/>
        <v>131166.01</v>
      </c>
      <c r="BN63" s="344"/>
      <c r="BO63" s="199">
        <f t="shared" si="15"/>
        <v>40.989999999990687</v>
      </c>
      <c r="BP63" s="347"/>
      <c r="BQ63" s="199">
        <f t="shared" si="16"/>
        <v>131207</v>
      </c>
      <c r="BR63" s="347"/>
      <c r="BS63" s="351">
        <f t="shared" si="19"/>
        <v>-65705.7</v>
      </c>
    </row>
    <row r="64" spans="1:71">
      <c r="A64" s="197"/>
      <c r="B64" s="197" t="s">
        <v>1014</v>
      </c>
      <c r="C64" s="187"/>
      <c r="D64" s="187"/>
      <c r="E64" s="344">
        <v>69399</v>
      </c>
      <c r="G64" s="344">
        <v>100709</v>
      </c>
      <c r="I64" s="344">
        <f t="shared" si="17"/>
        <v>31310</v>
      </c>
      <c r="K64" s="344">
        <v>0</v>
      </c>
      <c r="L64" s="344">
        <v>0</v>
      </c>
      <c r="M64" s="344">
        <v>0</v>
      </c>
      <c r="N64" s="344">
        <v>0</v>
      </c>
      <c r="O64" s="344">
        <v>0</v>
      </c>
      <c r="P64" s="344">
        <v>0</v>
      </c>
      <c r="Q64" s="344">
        <v>0</v>
      </c>
      <c r="R64" s="344">
        <v>0</v>
      </c>
      <c r="S64" s="344">
        <v>0</v>
      </c>
      <c r="T64" s="344">
        <v>0</v>
      </c>
      <c r="U64" s="344">
        <v>0</v>
      </c>
      <c r="V64" s="344">
        <v>0</v>
      </c>
      <c r="W64" s="344">
        <v>0</v>
      </c>
      <c r="X64" s="344">
        <v>0</v>
      </c>
      <c r="Y64" s="344">
        <v>0</v>
      </c>
      <c r="Z64" s="344">
        <v>0</v>
      </c>
      <c r="AA64" s="344">
        <v>0</v>
      </c>
      <c r="AB64" s="344"/>
      <c r="AC64" s="344">
        <v>0</v>
      </c>
      <c r="AD64" s="344"/>
      <c r="AE64" s="344">
        <v>0</v>
      </c>
      <c r="AF64" s="344"/>
      <c r="AG64" s="347">
        <v>0</v>
      </c>
      <c r="AH64" s="344"/>
      <c r="AI64" s="344">
        <v>0</v>
      </c>
      <c r="AJ64" s="344"/>
      <c r="AK64" s="347">
        <f t="shared" si="18"/>
        <v>0</v>
      </c>
      <c r="AL64" s="344"/>
      <c r="AM64" s="344"/>
      <c r="AN64" s="344"/>
      <c r="AO64" s="344">
        <v>44338</v>
      </c>
      <c r="AP64" s="344"/>
      <c r="AQ64" s="344">
        <f>63935-44338</f>
        <v>19597</v>
      </c>
      <c r="AR64" s="344"/>
      <c r="AS64" s="344">
        <f>75482.92-63935</f>
        <v>11547.919999999998</v>
      </c>
      <c r="AT64" s="344"/>
      <c r="AU64" s="344">
        <f>80665.02-75482.92</f>
        <v>5182.1000000000058</v>
      </c>
      <c r="AV64" s="344"/>
      <c r="AW64" s="344">
        <f>89663.11-80665.02</f>
        <v>8998.0899999999965</v>
      </c>
      <c r="AX64" s="344"/>
      <c r="AY64" s="344">
        <f>91137.26-89663.11</f>
        <v>1474.1499999999942</v>
      </c>
      <c r="AZ64" s="344"/>
      <c r="BA64" s="344">
        <v>0</v>
      </c>
      <c r="BB64" s="344"/>
      <c r="BC64" s="344">
        <v>0</v>
      </c>
      <c r="BD64" s="344"/>
      <c r="BE64" s="344">
        <f>94288-91137</f>
        <v>3151</v>
      </c>
      <c r="BF64" s="344"/>
      <c r="BG64" s="344">
        <f>100541-94288</f>
        <v>6253</v>
      </c>
      <c r="BH64" s="344"/>
      <c r="BI64" s="344">
        <f>100603-100541</f>
        <v>62</v>
      </c>
      <c r="BJ64" s="344"/>
      <c r="BK64" s="344">
        <v>0</v>
      </c>
      <c r="BL64" s="344"/>
      <c r="BM64" s="478">
        <f t="shared" si="14"/>
        <v>100603.26</v>
      </c>
      <c r="BN64" s="344"/>
      <c r="BO64" s="199">
        <f t="shared" si="15"/>
        <v>105.74000000000524</v>
      </c>
      <c r="BP64" s="347"/>
      <c r="BQ64" s="199">
        <f t="shared" si="16"/>
        <v>100709</v>
      </c>
      <c r="BR64" s="347"/>
      <c r="BS64" s="351">
        <f t="shared" si="19"/>
        <v>-31310</v>
      </c>
    </row>
    <row r="65" spans="1:72">
      <c r="A65" s="197"/>
      <c r="B65" s="197" t="s">
        <v>1015</v>
      </c>
      <c r="C65" s="187"/>
      <c r="D65" s="187"/>
      <c r="E65" s="344">
        <v>93993</v>
      </c>
      <c r="G65" s="344">
        <v>0</v>
      </c>
      <c r="I65" s="344">
        <f t="shared" si="17"/>
        <v>-93993</v>
      </c>
      <c r="K65" s="344">
        <v>0</v>
      </c>
      <c r="L65" s="344">
        <v>0</v>
      </c>
      <c r="M65" s="344">
        <v>0</v>
      </c>
      <c r="N65" s="344">
        <v>0</v>
      </c>
      <c r="O65" s="344">
        <v>0</v>
      </c>
      <c r="P65" s="344">
        <v>0</v>
      </c>
      <c r="Q65" s="344">
        <v>0</v>
      </c>
      <c r="R65" s="344">
        <v>0</v>
      </c>
      <c r="S65" s="344">
        <v>0</v>
      </c>
      <c r="T65" s="344">
        <v>0</v>
      </c>
      <c r="U65" s="344">
        <v>0</v>
      </c>
      <c r="V65" s="344">
        <v>0</v>
      </c>
      <c r="W65" s="344">
        <v>0</v>
      </c>
      <c r="X65" s="344">
        <v>0</v>
      </c>
      <c r="Y65" s="344">
        <v>0</v>
      </c>
      <c r="Z65" s="344">
        <v>0</v>
      </c>
      <c r="AA65" s="344">
        <v>0</v>
      </c>
      <c r="AB65" s="344"/>
      <c r="AC65" s="344">
        <v>0</v>
      </c>
      <c r="AD65" s="344"/>
      <c r="AE65" s="344">
        <v>0</v>
      </c>
      <c r="AF65" s="344"/>
      <c r="AG65" s="347">
        <v>0</v>
      </c>
      <c r="AH65" s="344"/>
      <c r="AI65" s="344">
        <v>0</v>
      </c>
      <c r="AJ65" s="344"/>
      <c r="AK65" s="347">
        <f t="shared" si="18"/>
        <v>0</v>
      </c>
      <c r="AL65" s="344"/>
      <c r="AM65" s="344"/>
      <c r="AN65" s="344"/>
      <c r="AO65" s="344">
        <v>0</v>
      </c>
      <c r="AP65" s="344"/>
      <c r="AQ65" s="344">
        <v>0</v>
      </c>
      <c r="AR65" s="344"/>
      <c r="AS65" s="344">
        <v>0</v>
      </c>
      <c r="AT65" s="344"/>
      <c r="AU65" s="344">
        <v>0</v>
      </c>
      <c r="AV65" s="344"/>
      <c r="AW65" s="344">
        <v>0</v>
      </c>
      <c r="AX65" s="344"/>
      <c r="AY65" s="344">
        <v>0</v>
      </c>
      <c r="AZ65" s="344"/>
      <c r="BA65" s="344">
        <v>0</v>
      </c>
      <c r="BB65" s="344"/>
      <c r="BC65" s="344">
        <v>0</v>
      </c>
      <c r="BD65" s="344"/>
      <c r="BE65" s="344">
        <v>0</v>
      </c>
      <c r="BF65" s="344"/>
      <c r="BG65" s="344">
        <v>0</v>
      </c>
      <c r="BH65" s="344"/>
      <c r="BI65" s="344">
        <v>0</v>
      </c>
      <c r="BJ65" s="344"/>
      <c r="BK65" s="344">
        <v>0</v>
      </c>
      <c r="BL65" s="344"/>
      <c r="BM65" s="478">
        <f t="shared" si="14"/>
        <v>0</v>
      </c>
      <c r="BN65" s="344"/>
      <c r="BO65" s="199">
        <f t="shared" si="15"/>
        <v>0</v>
      </c>
      <c r="BP65" s="347"/>
      <c r="BQ65" s="199">
        <f t="shared" si="16"/>
        <v>0</v>
      </c>
      <c r="BR65" s="347"/>
      <c r="BS65" s="351">
        <f t="shared" si="19"/>
        <v>93993</v>
      </c>
    </row>
    <row r="66" spans="1:72">
      <c r="A66" s="197"/>
      <c r="B66" s="212" t="s">
        <v>1506</v>
      </c>
      <c r="C66" s="187"/>
      <c r="D66" s="187"/>
      <c r="E66" s="346">
        <f>SUM(E56:E65)</f>
        <v>575417.59999999998</v>
      </c>
      <c r="G66" s="346">
        <f>SUBTOTAL(9,G56:G65)</f>
        <v>1052636.96</v>
      </c>
      <c r="I66" s="346">
        <f t="shared" ref="I66:AE66" si="20">SUM(I56:I65)</f>
        <v>477219.36</v>
      </c>
      <c r="J66" s="345">
        <f t="shared" si="20"/>
        <v>0</v>
      </c>
      <c r="K66" s="346">
        <f t="shared" si="20"/>
        <v>0</v>
      </c>
      <c r="L66" s="345">
        <f t="shared" si="20"/>
        <v>0</v>
      </c>
      <c r="M66" s="346">
        <f t="shared" si="20"/>
        <v>0</v>
      </c>
      <c r="N66" s="345">
        <f t="shared" si="20"/>
        <v>0</v>
      </c>
      <c r="O66" s="346">
        <f t="shared" si="20"/>
        <v>0</v>
      </c>
      <c r="P66" s="345">
        <f t="shared" si="20"/>
        <v>0</v>
      </c>
      <c r="Q66" s="346">
        <f t="shared" si="20"/>
        <v>0</v>
      </c>
      <c r="R66" s="345">
        <f t="shared" si="20"/>
        <v>0</v>
      </c>
      <c r="S66" s="346">
        <f t="shared" si="20"/>
        <v>0</v>
      </c>
      <c r="T66" s="345">
        <f t="shared" si="20"/>
        <v>0</v>
      </c>
      <c r="U66" s="346">
        <f t="shared" si="20"/>
        <v>0</v>
      </c>
      <c r="V66" s="345">
        <f t="shared" si="20"/>
        <v>0</v>
      </c>
      <c r="W66" s="346">
        <f t="shared" si="20"/>
        <v>0</v>
      </c>
      <c r="X66" s="345">
        <f t="shared" si="20"/>
        <v>0</v>
      </c>
      <c r="Y66" s="346">
        <f t="shared" si="20"/>
        <v>0</v>
      </c>
      <c r="Z66" s="345">
        <f t="shared" si="20"/>
        <v>0</v>
      </c>
      <c r="AA66" s="346">
        <f t="shared" si="20"/>
        <v>0</v>
      </c>
      <c r="AB66" s="345">
        <f t="shared" si="20"/>
        <v>0</v>
      </c>
      <c r="AC66" s="346">
        <f t="shared" si="20"/>
        <v>0</v>
      </c>
      <c r="AD66" s="345">
        <f t="shared" si="20"/>
        <v>0</v>
      </c>
      <c r="AE66" s="346">
        <f t="shared" si="20"/>
        <v>0</v>
      </c>
      <c r="AF66" s="345"/>
      <c r="AG66" s="349">
        <f>SUM(AG56:AG65)</f>
        <v>4681</v>
      </c>
      <c r="AH66" s="345">
        <f>SUM(AC66:AG66)</f>
        <v>4681</v>
      </c>
      <c r="AI66" s="346">
        <f>SUM(AI56:AI65)</f>
        <v>71981</v>
      </c>
      <c r="AJ66" s="345"/>
      <c r="AK66" s="349">
        <f>SUM(AK56:AK65)</f>
        <v>76662</v>
      </c>
      <c r="AL66" s="345">
        <f>SUM(AL56:AL65)</f>
        <v>0</v>
      </c>
      <c r="AM66" s="345">
        <f>SUM(AM56:AM65)</f>
        <v>0</v>
      </c>
      <c r="AN66" s="345">
        <f>SUM(AN56:AN65)</f>
        <v>0</v>
      </c>
      <c r="AO66" s="346">
        <f>SUM(AO56:AO65)</f>
        <v>339677</v>
      </c>
      <c r="AP66" s="345"/>
      <c r="AQ66" s="346">
        <f>SUM(AQ56:AQ65)</f>
        <v>112130</v>
      </c>
      <c r="AR66" s="345"/>
      <c r="AS66" s="346">
        <f>SUM(AS56:AS65)</f>
        <v>215767.84999999998</v>
      </c>
      <c r="AT66" s="345"/>
      <c r="AU66" s="346">
        <f>SUM(AU56:AU65)</f>
        <v>63561.760000000017</v>
      </c>
      <c r="AV66" s="345"/>
      <c r="AW66" s="346">
        <f>SUM(AW56:AW65)</f>
        <v>97520.969999999987</v>
      </c>
      <c r="AX66" s="345"/>
      <c r="AY66" s="346">
        <f>SUM(AY56:AY65)</f>
        <v>20614.960000000003</v>
      </c>
      <c r="AZ66" s="345"/>
      <c r="BA66" s="346">
        <f>SUM(BA56:BA65)</f>
        <v>0</v>
      </c>
      <c r="BB66" s="345"/>
      <c r="BC66" s="346">
        <f>SUM(BC56:BC65)</f>
        <v>0</v>
      </c>
      <c r="BD66" s="345"/>
      <c r="BE66" s="346">
        <f>SUM(BE56:BE65)</f>
        <v>97185</v>
      </c>
      <c r="BF66" s="345"/>
      <c r="BG66" s="346">
        <f>SUM(BG56:BG65)</f>
        <v>16883</v>
      </c>
      <c r="BH66" s="345"/>
      <c r="BI66" s="346">
        <f>SUM(BI56:BI65)</f>
        <v>3321</v>
      </c>
      <c r="BJ66" s="345"/>
      <c r="BK66" s="346">
        <f>SUM(BK56:BK65)</f>
        <v>0</v>
      </c>
      <c r="BL66" s="345"/>
      <c r="BM66" s="483">
        <f>SUM(BM56:BM65)</f>
        <v>1043323.54</v>
      </c>
      <c r="BN66" s="345"/>
      <c r="BO66" s="349">
        <f t="shared" ref="BO66:BT66" si="21">SUM(BO56:BO65)</f>
        <v>9313.4600000000009</v>
      </c>
      <c r="BP66" s="348">
        <f t="shared" si="21"/>
        <v>0</v>
      </c>
      <c r="BQ66" s="349">
        <f t="shared" si="21"/>
        <v>1052637</v>
      </c>
      <c r="BR66" s="348">
        <f t="shared" si="21"/>
        <v>0</v>
      </c>
      <c r="BS66" s="349">
        <f t="shared" si="21"/>
        <v>-477219.4</v>
      </c>
      <c r="BT66" s="345">
        <f t="shared" si="21"/>
        <v>0</v>
      </c>
    </row>
    <row r="67" spans="1:72">
      <c r="A67" s="197"/>
      <c r="B67" s="197"/>
      <c r="C67" s="187"/>
      <c r="D67" s="187"/>
      <c r="E67" s="342"/>
      <c r="G67" s="342"/>
      <c r="I67" s="342"/>
      <c r="K67" s="342"/>
      <c r="L67" s="342"/>
      <c r="M67" s="342"/>
      <c r="N67" s="342"/>
      <c r="O67" s="342"/>
      <c r="P67" s="342"/>
      <c r="Q67" s="342"/>
      <c r="R67" s="342"/>
      <c r="S67" s="342"/>
      <c r="T67" s="357"/>
      <c r="U67" s="342"/>
      <c r="V67" s="342"/>
      <c r="W67" s="342"/>
      <c r="X67" s="342"/>
      <c r="Y67" s="342"/>
      <c r="Z67" s="342"/>
      <c r="AA67" s="342"/>
      <c r="AB67" s="342"/>
      <c r="AC67" s="342"/>
      <c r="AD67" s="342"/>
      <c r="AE67" s="342"/>
      <c r="AF67" s="342"/>
      <c r="AG67" s="348"/>
      <c r="AH67" s="342"/>
      <c r="AI67" s="342"/>
      <c r="AJ67" s="342"/>
      <c r="AK67" s="348"/>
      <c r="AL67" s="342"/>
      <c r="AM67" s="342"/>
      <c r="AN67" s="342"/>
      <c r="AO67" s="342"/>
      <c r="AP67" s="342"/>
      <c r="AQ67" s="342"/>
      <c r="AR67" s="342"/>
      <c r="AS67" s="342"/>
      <c r="AT67" s="342"/>
      <c r="AU67" s="342"/>
      <c r="AV67" s="342"/>
      <c r="AW67" s="342"/>
      <c r="AX67" s="342"/>
      <c r="AY67" s="342"/>
      <c r="AZ67" s="342"/>
      <c r="BA67" s="342"/>
      <c r="BB67" s="342"/>
      <c r="BC67" s="342"/>
      <c r="BD67" s="342"/>
      <c r="BE67" s="342"/>
      <c r="BF67" s="342"/>
      <c r="BG67" s="342"/>
      <c r="BH67" s="342"/>
      <c r="BI67" s="342"/>
      <c r="BJ67" s="342"/>
      <c r="BK67" s="342"/>
      <c r="BL67" s="342"/>
      <c r="BM67" s="482"/>
      <c r="BN67" s="342"/>
      <c r="BO67" s="348"/>
      <c r="BP67" s="348"/>
      <c r="BQ67" s="348"/>
      <c r="BR67" s="348"/>
      <c r="BS67" s="348"/>
    </row>
    <row r="68" spans="1:72">
      <c r="A68" s="212" t="s">
        <v>1503</v>
      </c>
      <c r="C68" s="187"/>
      <c r="D68" s="187"/>
      <c r="E68" s="343"/>
      <c r="G68" s="343"/>
      <c r="I68" s="343"/>
      <c r="K68" s="343"/>
      <c r="L68" s="343"/>
      <c r="M68" s="343"/>
      <c r="N68" s="343"/>
      <c r="O68" s="343"/>
      <c r="P68" s="343"/>
      <c r="Q68" s="343"/>
      <c r="R68" s="343"/>
      <c r="S68" s="343"/>
      <c r="T68" s="358"/>
      <c r="U68" s="343"/>
      <c r="V68" s="343"/>
      <c r="W68" s="343"/>
      <c r="X68" s="343"/>
      <c r="Y68" s="343"/>
      <c r="Z68" s="343"/>
      <c r="AA68" s="343"/>
      <c r="AB68" s="343"/>
      <c r="AC68" s="343"/>
      <c r="AD68" s="343"/>
      <c r="AE68" s="343"/>
      <c r="AF68" s="343"/>
      <c r="AG68" s="352"/>
      <c r="AH68" s="343"/>
      <c r="AI68" s="343"/>
      <c r="AJ68" s="343"/>
      <c r="AK68" s="352"/>
      <c r="AL68" s="343"/>
      <c r="AM68" s="343"/>
      <c r="AN68" s="343"/>
      <c r="AO68" s="343"/>
      <c r="AP68" s="343"/>
      <c r="AQ68" s="343"/>
      <c r="AR68" s="343"/>
      <c r="AS68" s="343"/>
      <c r="AT68" s="343"/>
      <c r="AU68" s="343"/>
      <c r="AV68" s="343"/>
      <c r="AW68" s="343"/>
      <c r="AX68" s="343"/>
      <c r="AY68" s="343"/>
      <c r="AZ68" s="343"/>
      <c r="BA68" s="343"/>
      <c r="BB68" s="343"/>
      <c r="BC68" s="343"/>
      <c r="BD68" s="343"/>
      <c r="BE68" s="343"/>
      <c r="BF68" s="343"/>
      <c r="BG68" s="343"/>
      <c r="BH68" s="343"/>
      <c r="BI68" s="343"/>
      <c r="BJ68" s="343"/>
      <c r="BK68" s="343"/>
      <c r="BL68" s="343"/>
      <c r="BM68" s="482"/>
      <c r="BN68" s="343"/>
      <c r="BO68" s="352"/>
      <c r="BP68" s="352"/>
      <c r="BQ68" s="352"/>
      <c r="BR68" s="352"/>
      <c r="BS68" s="352"/>
    </row>
    <row r="69" spans="1:72">
      <c r="A69" s="197"/>
      <c r="B69" s="197" t="s">
        <v>1016</v>
      </c>
      <c r="C69" s="187"/>
      <c r="D69" s="187"/>
      <c r="E69" s="347">
        <v>55000</v>
      </c>
      <c r="G69" s="347">
        <v>162107</v>
      </c>
      <c r="I69" s="347">
        <f>G69-E69</f>
        <v>107107</v>
      </c>
      <c r="K69" s="347">
        <v>0</v>
      </c>
      <c r="L69" s="347">
        <v>0</v>
      </c>
      <c r="M69" s="347">
        <v>0</v>
      </c>
      <c r="N69" s="347">
        <v>0</v>
      </c>
      <c r="O69" s="347">
        <v>0</v>
      </c>
      <c r="P69" s="347">
        <v>0</v>
      </c>
      <c r="Q69" s="347">
        <v>0</v>
      </c>
      <c r="R69" s="347">
        <v>0</v>
      </c>
      <c r="S69" s="347">
        <v>0</v>
      </c>
      <c r="T69" s="347">
        <v>0</v>
      </c>
      <c r="U69" s="347">
        <v>0</v>
      </c>
      <c r="V69" s="347">
        <v>0</v>
      </c>
      <c r="W69" s="347">
        <v>0</v>
      </c>
      <c r="X69" s="347">
        <v>0</v>
      </c>
      <c r="Y69" s="347">
        <v>0</v>
      </c>
      <c r="Z69" s="347">
        <v>0</v>
      </c>
      <c r="AA69" s="347">
        <v>0</v>
      </c>
      <c r="AB69" s="347"/>
      <c r="AC69" s="347">
        <v>0</v>
      </c>
      <c r="AD69" s="347"/>
      <c r="AE69" s="347">
        <v>0</v>
      </c>
      <c r="AF69" s="347"/>
      <c r="AG69" s="347">
        <v>0</v>
      </c>
      <c r="AH69" s="347"/>
      <c r="AI69" s="347">
        <v>0</v>
      </c>
      <c r="AJ69" s="347"/>
      <c r="AK69" s="347">
        <f t="shared" si="18"/>
        <v>0</v>
      </c>
      <c r="AL69" s="347"/>
      <c r="AM69" s="347"/>
      <c r="AN69" s="347"/>
      <c r="AO69" s="347">
        <v>16782</v>
      </c>
      <c r="AP69" s="347"/>
      <c r="AQ69" s="347">
        <f>19522-16782</f>
        <v>2740</v>
      </c>
      <c r="AR69" s="347"/>
      <c r="AS69" s="347">
        <f>24029.89-19522</f>
        <v>4507.8899999999994</v>
      </c>
      <c r="AT69" s="347"/>
      <c r="AU69" s="347">
        <f>26981.72-24029.89</f>
        <v>2951.8300000000017</v>
      </c>
      <c r="AV69" s="347"/>
      <c r="AW69" s="347">
        <f>101004.87-26981.72</f>
        <v>74023.149999999994</v>
      </c>
      <c r="AX69" s="347"/>
      <c r="AY69" s="347">
        <f>123757.93-101004.87</f>
        <v>22753.059999999998</v>
      </c>
      <c r="AZ69" s="347"/>
      <c r="BA69" s="347">
        <v>0</v>
      </c>
      <c r="BB69" s="347"/>
      <c r="BC69" s="347">
        <v>0</v>
      </c>
      <c r="BD69" s="347"/>
      <c r="BE69" s="347">
        <f>148428-123758</f>
        <v>24670</v>
      </c>
      <c r="BF69" s="347"/>
      <c r="BG69" s="347">
        <f>148965-148428</f>
        <v>537</v>
      </c>
      <c r="BH69" s="347"/>
      <c r="BI69" s="347">
        <f>161427-148965</f>
        <v>12462</v>
      </c>
      <c r="BJ69" s="347"/>
      <c r="BK69" s="347">
        <v>0</v>
      </c>
      <c r="BL69" s="347"/>
      <c r="BM69" s="478">
        <f t="shared" ref="BM69:BM80" si="22">SUM(AK69:BL69)</f>
        <v>161426.93</v>
      </c>
      <c r="BN69" s="347"/>
      <c r="BO69" s="199">
        <f t="shared" ref="BO69:BO80" si="23">+MAX(0,G69-BM69+AM69)</f>
        <v>680.07000000000698</v>
      </c>
      <c r="BP69" s="347"/>
      <c r="BQ69" s="199">
        <f t="shared" ref="BQ69:BQ80" si="24">SUM(BM69:BO69)</f>
        <v>162107</v>
      </c>
      <c r="BR69" s="347"/>
      <c r="BS69" s="351">
        <f>E69-BQ69</f>
        <v>-107107</v>
      </c>
    </row>
    <row r="70" spans="1:72">
      <c r="A70" s="197"/>
      <c r="B70" s="197" t="s">
        <v>1017</v>
      </c>
      <c r="C70" s="187"/>
      <c r="D70" s="187"/>
      <c r="E70" s="347">
        <v>1125</v>
      </c>
      <c r="G70" s="347">
        <v>0</v>
      </c>
      <c r="I70" s="347">
        <f t="shared" ref="I70:I80" si="25">G70-E70</f>
        <v>-1125</v>
      </c>
      <c r="K70" s="347">
        <v>0</v>
      </c>
      <c r="L70" s="347">
        <v>0</v>
      </c>
      <c r="M70" s="347">
        <v>0</v>
      </c>
      <c r="N70" s="347">
        <v>0</v>
      </c>
      <c r="O70" s="347">
        <v>0</v>
      </c>
      <c r="P70" s="347">
        <v>0</v>
      </c>
      <c r="Q70" s="347">
        <v>0</v>
      </c>
      <c r="R70" s="347">
        <v>0</v>
      </c>
      <c r="S70" s="347">
        <v>0</v>
      </c>
      <c r="T70" s="347">
        <v>0</v>
      </c>
      <c r="U70" s="347">
        <v>0</v>
      </c>
      <c r="V70" s="347">
        <v>0</v>
      </c>
      <c r="W70" s="347">
        <v>0</v>
      </c>
      <c r="X70" s="347">
        <v>0</v>
      </c>
      <c r="Y70" s="347">
        <v>0</v>
      </c>
      <c r="Z70" s="347">
        <v>0</v>
      </c>
      <c r="AA70" s="347">
        <v>0</v>
      </c>
      <c r="AB70" s="347"/>
      <c r="AC70" s="347">
        <v>0</v>
      </c>
      <c r="AD70" s="347"/>
      <c r="AE70" s="347">
        <v>0</v>
      </c>
      <c r="AF70" s="347"/>
      <c r="AG70" s="347">
        <v>0</v>
      </c>
      <c r="AH70" s="347"/>
      <c r="AI70" s="347">
        <v>0</v>
      </c>
      <c r="AJ70" s="347"/>
      <c r="AK70" s="347">
        <f t="shared" si="18"/>
        <v>0</v>
      </c>
      <c r="AL70" s="347"/>
      <c r="AM70" s="347"/>
      <c r="AN70" s="347"/>
      <c r="AO70" s="347">
        <v>0</v>
      </c>
      <c r="AP70" s="347"/>
      <c r="AQ70" s="347">
        <v>0</v>
      </c>
      <c r="AR70" s="347"/>
      <c r="AS70" s="347">
        <v>0</v>
      </c>
      <c r="AT70" s="347"/>
      <c r="AU70" s="347">
        <v>0</v>
      </c>
      <c r="AV70" s="347"/>
      <c r="AW70" s="347">
        <v>0</v>
      </c>
      <c r="AX70" s="347"/>
      <c r="AY70" s="347">
        <f>0</f>
        <v>0</v>
      </c>
      <c r="AZ70" s="347"/>
      <c r="BA70" s="347">
        <f>0</f>
        <v>0</v>
      </c>
      <c r="BB70" s="347"/>
      <c r="BC70" s="347">
        <f>0</f>
        <v>0</v>
      </c>
      <c r="BD70" s="347"/>
      <c r="BE70" s="347">
        <f>0</f>
        <v>0</v>
      </c>
      <c r="BF70" s="347"/>
      <c r="BG70" s="347">
        <f>0</f>
        <v>0</v>
      </c>
      <c r="BH70" s="347"/>
      <c r="BI70" s="347">
        <f>0-0</f>
        <v>0</v>
      </c>
      <c r="BJ70" s="347"/>
      <c r="BK70" s="347">
        <f>0-0</f>
        <v>0</v>
      </c>
      <c r="BL70" s="347"/>
      <c r="BM70" s="478">
        <f t="shared" si="22"/>
        <v>0</v>
      </c>
      <c r="BN70" s="347"/>
      <c r="BO70" s="199">
        <f t="shared" si="23"/>
        <v>0</v>
      </c>
      <c r="BP70" s="347"/>
      <c r="BQ70" s="199">
        <f t="shared" si="24"/>
        <v>0</v>
      </c>
      <c r="BR70" s="347"/>
      <c r="BS70" s="351">
        <f t="shared" ref="BS70:BS80" si="26">E70-BQ70</f>
        <v>1125</v>
      </c>
    </row>
    <row r="71" spans="1:72">
      <c r="A71" s="197"/>
      <c r="B71" s="197" t="s">
        <v>1018</v>
      </c>
      <c r="C71" s="187"/>
      <c r="D71" s="187"/>
      <c r="E71" s="347">
        <v>385611</v>
      </c>
      <c r="G71" s="347">
        <v>135998</v>
      </c>
      <c r="I71" s="347">
        <f t="shared" si="25"/>
        <v>-249613</v>
      </c>
      <c r="K71" s="347">
        <v>0</v>
      </c>
      <c r="L71" s="347">
        <v>0</v>
      </c>
      <c r="M71" s="347">
        <v>0</v>
      </c>
      <c r="N71" s="347">
        <v>0</v>
      </c>
      <c r="O71" s="347">
        <v>0</v>
      </c>
      <c r="P71" s="347">
        <v>0</v>
      </c>
      <c r="Q71" s="347">
        <v>0</v>
      </c>
      <c r="R71" s="347">
        <v>0</v>
      </c>
      <c r="S71" s="347">
        <v>0</v>
      </c>
      <c r="T71" s="347">
        <v>0</v>
      </c>
      <c r="U71" s="347">
        <v>0</v>
      </c>
      <c r="V71" s="347">
        <v>0</v>
      </c>
      <c r="W71" s="347">
        <v>0</v>
      </c>
      <c r="X71" s="347">
        <v>0</v>
      </c>
      <c r="Y71" s="347">
        <v>0</v>
      </c>
      <c r="Z71" s="347">
        <v>0</v>
      </c>
      <c r="AA71" s="347">
        <v>0</v>
      </c>
      <c r="AB71" s="347"/>
      <c r="AC71" s="347">
        <v>0</v>
      </c>
      <c r="AD71" s="347"/>
      <c r="AE71" s="347">
        <v>0</v>
      </c>
      <c r="AF71" s="347"/>
      <c r="AG71" s="347">
        <v>0</v>
      </c>
      <c r="AH71" s="347"/>
      <c r="AI71" s="347">
        <v>0</v>
      </c>
      <c r="AJ71" s="347"/>
      <c r="AK71" s="347">
        <f t="shared" si="18"/>
        <v>0</v>
      </c>
      <c r="AL71" s="347"/>
      <c r="AM71" s="347"/>
      <c r="AN71" s="347"/>
      <c r="AO71" s="347">
        <v>83801</v>
      </c>
      <c r="AP71" s="347"/>
      <c r="AQ71" s="347">
        <f>90147-83801</f>
        <v>6346</v>
      </c>
      <c r="AR71" s="347"/>
      <c r="AS71" s="347">
        <f>109284.88-90147</f>
        <v>19137.880000000005</v>
      </c>
      <c r="AT71" s="347"/>
      <c r="AU71" s="347">
        <f>109953.13-109284.88</f>
        <v>668.25</v>
      </c>
      <c r="AV71" s="347"/>
      <c r="AW71" s="347">
        <f>123316-109953.13</f>
        <v>13362.869999999995</v>
      </c>
      <c r="AX71" s="347"/>
      <c r="AY71" s="347">
        <f>128303.71-123316</f>
        <v>4987.7100000000064</v>
      </c>
      <c r="AZ71" s="347"/>
      <c r="BA71" s="347">
        <v>0</v>
      </c>
      <c r="BB71" s="347"/>
      <c r="BC71" s="347">
        <v>0</v>
      </c>
      <c r="BD71" s="347"/>
      <c r="BE71" s="347">
        <f>132741-128304</f>
        <v>4437</v>
      </c>
      <c r="BF71" s="347"/>
      <c r="BG71" s="347">
        <f>132617-132741</f>
        <v>-124</v>
      </c>
      <c r="BH71" s="347"/>
      <c r="BI71" s="347">
        <f>132617-132617</f>
        <v>0</v>
      </c>
      <c r="BJ71" s="347"/>
      <c r="BK71" s="347">
        <f>132617-132617</f>
        <v>0</v>
      </c>
      <c r="BL71" s="347"/>
      <c r="BM71" s="478">
        <f t="shared" si="22"/>
        <v>132616.71000000002</v>
      </c>
      <c r="BN71" s="347"/>
      <c r="BO71" s="199">
        <f t="shared" si="23"/>
        <v>3381.289999999979</v>
      </c>
      <c r="BP71" s="347"/>
      <c r="BQ71" s="199">
        <f t="shared" si="24"/>
        <v>135998</v>
      </c>
      <c r="BR71" s="347"/>
      <c r="BS71" s="351">
        <f t="shared" si="26"/>
        <v>249613</v>
      </c>
    </row>
    <row r="72" spans="1:72">
      <c r="A72" s="197"/>
      <c r="B72" s="197" t="s">
        <v>1019</v>
      </c>
      <c r="C72" s="187"/>
      <c r="D72" s="187"/>
      <c r="E72" s="347">
        <v>221748</v>
      </c>
      <c r="G72" s="347">
        <v>59508</v>
      </c>
      <c r="I72" s="347">
        <f t="shared" si="25"/>
        <v>-162240</v>
      </c>
      <c r="K72" s="347">
        <v>0</v>
      </c>
      <c r="L72" s="347">
        <v>0</v>
      </c>
      <c r="M72" s="347">
        <v>0</v>
      </c>
      <c r="N72" s="347">
        <v>0</v>
      </c>
      <c r="O72" s="347">
        <v>0</v>
      </c>
      <c r="P72" s="347">
        <v>0</v>
      </c>
      <c r="Q72" s="347">
        <v>0</v>
      </c>
      <c r="R72" s="347">
        <v>0</v>
      </c>
      <c r="S72" s="347">
        <v>0</v>
      </c>
      <c r="T72" s="347">
        <v>0</v>
      </c>
      <c r="U72" s="347">
        <v>0</v>
      </c>
      <c r="V72" s="347">
        <v>0</v>
      </c>
      <c r="W72" s="347">
        <v>0</v>
      </c>
      <c r="X72" s="347">
        <v>0</v>
      </c>
      <c r="Y72" s="347">
        <v>0</v>
      </c>
      <c r="Z72" s="347">
        <v>0</v>
      </c>
      <c r="AA72" s="347">
        <v>0</v>
      </c>
      <c r="AB72" s="347"/>
      <c r="AC72" s="347">
        <v>0</v>
      </c>
      <c r="AD72" s="347"/>
      <c r="AE72" s="347">
        <v>0</v>
      </c>
      <c r="AF72" s="347"/>
      <c r="AG72" s="347">
        <v>0</v>
      </c>
      <c r="AH72" s="347"/>
      <c r="AI72" s="347">
        <v>0</v>
      </c>
      <c r="AJ72" s="347"/>
      <c r="AK72" s="347">
        <f t="shared" si="18"/>
        <v>0</v>
      </c>
      <c r="AL72" s="347"/>
      <c r="AM72" s="347"/>
      <c r="AN72" s="347"/>
      <c r="AO72" s="347">
        <v>21780</v>
      </c>
      <c r="AP72" s="347"/>
      <c r="AQ72" s="347">
        <f>21988-21780</f>
        <v>208</v>
      </c>
      <c r="AR72" s="347"/>
      <c r="AS72" s="347">
        <v>0</v>
      </c>
      <c r="AT72" s="347"/>
      <c r="AU72" s="347">
        <f>54066.24-21988</f>
        <v>32078.239999999998</v>
      </c>
      <c r="AV72" s="347"/>
      <c r="AW72" s="347">
        <v>0</v>
      </c>
      <c r="AX72" s="347"/>
      <c r="AY72" s="347">
        <f>58576.24-54066.24</f>
        <v>4510</v>
      </c>
      <c r="AZ72" s="347"/>
      <c r="BA72" s="347">
        <v>0</v>
      </c>
      <c r="BB72" s="347"/>
      <c r="BC72" s="347">
        <v>0</v>
      </c>
      <c r="BD72" s="347"/>
      <c r="BE72" s="347">
        <f>58712-58576</f>
        <v>136</v>
      </c>
      <c r="BF72" s="347"/>
      <c r="BG72" s="347">
        <v>0</v>
      </c>
      <c r="BH72" s="347"/>
      <c r="BI72" s="347">
        <f>59508-58712</f>
        <v>796</v>
      </c>
      <c r="BJ72" s="347"/>
      <c r="BK72" s="347">
        <v>0</v>
      </c>
      <c r="BL72" s="347"/>
      <c r="BM72" s="478">
        <f t="shared" si="22"/>
        <v>59508.24</v>
      </c>
      <c r="BN72" s="347"/>
      <c r="BO72" s="199">
        <f t="shared" si="23"/>
        <v>0</v>
      </c>
      <c r="BP72" s="347"/>
      <c r="BQ72" s="199">
        <f t="shared" si="24"/>
        <v>59508.24</v>
      </c>
      <c r="BR72" s="347"/>
      <c r="BS72" s="351">
        <f t="shared" si="26"/>
        <v>162239.76</v>
      </c>
    </row>
    <row r="73" spans="1:72">
      <c r="A73" s="197"/>
      <c r="B73" s="197" t="s">
        <v>1488</v>
      </c>
      <c r="C73" s="187"/>
      <c r="D73" s="187"/>
      <c r="E73" s="347">
        <v>520255</v>
      </c>
      <c r="G73" s="347">
        <v>582784</v>
      </c>
      <c r="I73" s="347">
        <f t="shared" si="25"/>
        <v>62529</v>
      </c>
      <c r="K73" s="347">
        <v>0</v>
      </c>
      <c r="L73" s="347">
        <v>0</v>
      </c>
      <c r="M73" s="347">
        <v>0</v>
      </c>
      <c r="N73" s="347">
        <v>0</v>
      </c>
      <c r="O73" s="347">
        <v>0</v>
      </c>
      <c r="P73" s="347">
        <v>0</v>
      </c>
      <c r="Q73" s="347">
        <v>0</v>
      </c>
      <c r="R73" s="347">
        <v>0</v>
      </c>
      <c r="S73" s="347">
        <v>0</v>
      </c>
      <c r="T73" s="347">
        <v>0</v>
      </c>
      <c r="U73" s="347">
        <v>0</v>
      </c>
      <c r="V73" s="347">
        <v>0</v>
      </c>
      <c r="W73" s="347">
        <v>0</v>
      </c>
      <c r="X73" s="347">
        <v>0</v>
      </c>
      <c r="Y73" s="347">
        <v>0</v>
      </c>
      <c r="Z73" s="347">
        <v>0</v>
      </c>
      <c r="AA73" s="347">
        <v>0</v>
      </c>
      <c r="AB73" s="347"/>
      <c r="AC73" s="347">
        <v>0</v>
      </c>
      <c r="AD73" s="347"/>
      <c r="AE73" s="347">
        <v>0</v>
      </c>
      <c r="AF73" s="347"/>
      <c r="AG73" s="347">
        <v>0</v>
      </c>
      <c r="AH73" s="347"/>
      <c r="AI73" s="347">
        <v>0</v>
      </c>
      <c r="AJ73" s="347"/>
      <c r="AK73" s="347">
        <f t="shared" si="18"/>
        <v>0</v>
      </c>
      <c r="AL73" s="347"/>
      <c r="AM73" s="347"/>
      <c r="AN73" s="347"/>
      <c r="AO73" s="347">
        <v>284484</v>
      </c>
      <c r="AP73" s="347"/>
      <c r="AQ73" s="347">
        <f>402605-284484</f>
        <v>118121</v>
      </c>
      <c r="AR73" s="347"/>
      <c r="AS73" s="347">
        <f>445520.77-402605</f>
        <v>42915.770000000019</v>
      </c>
      <c r="AT73" s="347"/>
      <c r="AU73" s="347">
        <f>497707.56-445520.77</f>
        <v>52186.789999999979</v>
      </c>
      <c r="AV73" s="347"/>
      <c r="AW73" s="347">
        <f>538308.47-497707.56</f>
        <v>40600.909999999974</v>
      </c>
      <c r="AX73" s="347"/>
      <c r="AY73" s="347">
        <f>563739.27-538308.47</f>
        <v>25430.800000000047</v>
      </c>
      <c r="AZ73" s="347"/>
      <c r="BA73" s="347">
        <v>0</v>
      </c>
      <c r="BB73" s="347"/>
      <c r="BC73" s="347">
        <v>0</v>
      </c>
      <c r="BD73" s="347"/>
      <c r="BE73" s="347">
        <f>576710-563739</f>
        <v>12971</v>
      </c>
      <c r="BF73" s="347"/>
      <c r="BG73" s="347">
        <f>576117-576710</f>
        <v>-593</v>
      </c>
      <c r="BH73" s="347"/>
      <c r="BI73" s="347">
        <f>581555-576117</f>
        <v>5438</v>
      </c>
      <c r="BJ73" s="347"/>
      <c r="BK73" s="347">
        <v>0</v>
      </c>
      <c r="BL73" s="347"/>
      <c r="BM73" s="478">
        <f t="shared" si="22"/>
        <v>581555.27</v>
      </c>
      <c r="BN73" s="347"/>
      <c r="BO73" s="199">
        <f t="shared" si="23"/>
        <v>1228.7299999999814</v>
      </c>
      <c r="BP73" s="347"/>
      <c r="BQ73" s="199">
        <f t="shared" si="24"/>
        <v>582784</v>
      </c>
      <c r="BR73" s="347"/>
      <c r="BS73" s="351">
        <f t="shared" si="26"/>
        <v>-62529</v>
      </c>
    </row>
    <row r="74" spans="1:72">
      <c r="A74" s="197"/>
      <c r="B74" s="197" t="s">
        <v>1020</v>
      </c>
      <c r="C74" s="187"/>
      <c r="D74" s="187"/>
      <c r="E74" s="347">
        <v>28687</v>
      </c>
      <c r="G74" s="347">
        <v>15419</v>
      </c>
      <c r="I74" s="347">
        <f t="shared" si="25"/>
        <v>-13268</v>
      </c>
      <c r="K74" s="347">
        <v>0</v>
      </c>
      <c r="L74" s="347">
        <v>0</v>
      </c>
      <c r="M74" s="347">
        <v>0</v>
      </c>
      <c r="N74" s="347">
        <v>0</v>
      </c>
      <c r="O74" s="347">
        <v>0</v>
      </c>
      <c r="P74" s="347">
        <v>0</v>
      </c>
      <c r="Q74" s="347">
        <v>0</v>
      </c>
      <c r="R74" s="347">
        <v>0</v>
      </c>
      <c r="S74" s="347">
        <v>0</v>
      </c>
      <c r="T74" s="347">
        <v>0</v>
      </c>
      <c r="U74" s="347">
        <v>0</v>
      </c>
      <c r="V74" s="347">
        <v>0</v>
      </c>
      <c r="W74" s="347">
        <v>0</v>
      </c>
      <c r="X74" s="347">
        <v>0</v>
      </c>
      <c r="Y74" s="347">
        <v>0</v>
      </c>
      <c r="Z74" s="347">
        <v>0</v>
      </c>
      <c r="AA74" s="347">
        <v>0</v>
      </c>
      <c r="AB74" s="347"/>
      <c r="AC74" s="347">
        <v>0</v>
      </c>
      <c r="AD74" s="347"/>
      <c r="AE74" s="347">
        <v>0</v>
      </c>
      <c r="AF74" s="347"/>
      <c r="AG74" s="347">
        <v>0</v>
      </c>
      <c r="AH74" s="347"/>
      <c r="AI74" s="347">
        <v>0</v>
      </c>
      <c r="AJ74" s="347"/>
      <c r="AK74" s="347">
        <f t="shared" si="18"/>
        <v>0</v>
      </c>
      <c r="AL74" s="347"/>
      <c r="AM74" s="347"/>
      <c r="AN74" s="347"/>
      <c r="AO74" s="347">
        <v>1980</v>
      </c>
      <c r="AP74" s="347"/>
      <c r="AQ74" s="347">
        <v>0</v>
      </c>
      <c r="AR74" s="347"/>
      <c r="AS74" s="347">
        <f>4460.4-1980</f>
        <v>2480.3999999999996</v>
      </c>
      <c r="AT74" s="347"/>
      <c r="AU74" s="347">
        <v>0</v>
      </c>
      <c r="AV74" s="347"/>
      <c r="AW74" s="347">
        <f>11298.22-4460.4</f>
        <v>6837.82</v>
      </c>
      <c r="AX74" s="347"/>
      <c r="AY74" s="347">
        <f>0</f>
        <v>0</v>
      </c>
      <c r="AZ74" s="347"/>
      <c r="BA74" s="347">
        <f>0</f>
        <v>0</v>
      </c>
      <c r="BB74" s="347"/>
      <c r="BC74" s="347">
        <f>0</f>
        <v>0</v>
      </c>
      <c r="BD74" s="347"/>
      <c r="BE74" s="347">
        <f>15419-11298</f>
        <v>4121</v>
      </c>
      <c r="BF74" s="347"/>
      <c r="BG74" s="347">
        <v>0</v>
      </c>
      <c r="BH74" s="347"/>
      <c r="BI74" s="347">
        <f>15419-15419</f>
        <v>0</v>
      </c>
      <c r="BJ74" s="347"/>
      <c r="BK74" s="347">
        <f>15419-15419</f>
        <v>0</v>
      </c>
      <c r="BL74" s="347"/>
      <c r="BM74" s="478">
        <f t="shared" si="22"/>
        <v>15419.22</v>
      </c>
      <c r="BN74" s="347"/>
      <c r="BO74" s="199">
        <f t="shared" si="23"/>
        <v>0</v>
      </c>
      <c r="BP74" s="347"/>
      <c r="BQ74" s="199">
        <f t="shared" si="24"/>
        <v>15419.22</v>
      </c>
      <c r="BR74" s="347"/>
      <c r="BS74" s="351">
        <f t="shared" si="26"/>
        <v>13267.78</v>
      </c>
    </row>
    <row r="75" spans="1:72">
      <c r="A75" s="197"/>
      <c r="B75" s="197" t="s">
        <v>1490</v>
      </c>
      <c r="C75" s="187"/>
      <c r="D75" s="187"/>
      <c r="E75" s="347">
        <v>25200</v>
      </c>
      <c r="G75" s="347">
        <v>201462</v>
      </c>
      <c r="I75" s="347">
        <f t="shared" si="25"/>
        <v>176262</v>
      </c>
      <c r="K75" s="347">
        <v>0</v>
      </c>
      <c r="L75" s="347">
        <v>0</v>
      </c>
      <c r="M75" s="347">
        <v>0</v>
      </c>
      <c r="N75" s="347">
        <v>0</v>
      </c>
      <c r="O75" s="347">
        <v>0</v>
      </c>
      <c r="P75" s="347">
        <v>0</v>
      </c>
      <c r="Q75" s="347">
        <v>0</v>
      </c>
      <c r="R75" s="347">
        <v>0</v>
      </c>
      <c r="S75" s="347">
        <v>0</v>
      </c>
      <c r="T75" s="347">
        <v>0</v>
      </c>
      <c r="U75" s="347">
        <v>0</v>
      </c>
      <c r="V75" s="347">
        <v>0</v>
      </c>
      <c r="W75" s="347">
        <v>0</v>
      </c>
      <c r="X75" s="347">
        <v>0</v>
      </c>
      <c r="Y75" s="347">
        <v>0</v>
      </c>
      <c r="Z75" s="347">
        <v>0</v>
      </c>
      <c r="AA75" s="347">
        <v>0</v>
      </c>
      <c r="AB75" s="347"/>
      <c r="AC75" s="347">
        <v>0</v>
      </c>
      <c r="AD75" s="347"/>
      <c r="AE75" s="347">
        <v>0</v>
      </c>
      <c r="AF75" s="347"/>
      <c r="AG75" s="347">
        <v>0</v>
      </c>
      <c r="AH75" s="347"/>
      <c r="AI75" s="347">
        <v>0</v>
      </c>
      <c r="AJ75" s="347"/>
      <c r="AK75" s="347">
        <f t="shared" si="18"/>
        <v>0</v>
      </c>
      <c r="AL75" s="347"/>
      <c r="AM75" s="347"/>
      <c r="AN75" s="347"/>
      <c r="AO75" s="347">
        <v>0</v>
      </c>
      <c r="AP75" s="347"/>
      <c r="AQ75" s="347">
        <v>1298</v>
      </c>
      <c r="AR75" s="347"/>
      <c r="AS75" s="347">
        <f>4190.77-1298</f>
        <v>2892.7700000000004</v>
      </c>
      <c r="AT75" s="347"/>
      <c r="AU75" s="347">
        <f>108091.71-4190.77</f>
        <v>103900.94</v>
      </c>
      <c r="AV75" s="347"/>
      <c r="AW75" s="347">
        <f>117122.71-108091.71</f>
        <v>9031</v>
      </c>
      <c r="AX75" s="347"/>
      <c r="AY75" s="347">
        <f>194353.73-117122.71</f>
        <v>77231.02</v>
      </c>
      <c r="AZ75" s="347"/>
      <c r="BA75" s="347">
        <v>0</v>
      </c>
      <c r="BB75" s="347"/>
      <c r="BC75" s="347">
        <v>0</v>
      </c>
      <c r="BD75" s="347"/>
      <c r="BE75" s="347">
        <f>201292-194354</f>
        <v>6938</v>
      </c>
      <c r="BF75" s="347"/>
      <c r="BG75" s="347">
        <v>0</v>
      </c>
      <c r="BH75" s="347"/>
      <c r="BI75" s="347">
        <f>201462-201292</f>
        <v>170</v>
      </c>
      <c r="BJ75" s="347"/>
      <c r="BK75" s="347">
        <v>0</v>
      </c>
      <c r="BL75" s="347"/>
      <c r="BM75" s="478">
        <f t="shared" si="22"/>
        <v>201461.73</v>
      </c>
      <c r="BN75" s="347"/>
      <c r="BO75" s="199">
        <f t="shared" si="23"/>
        <v>0.26999999998952262</v>
      </c>
      <c r="BP75" s="347"/>
      <c r="BQ75" s="199">
        <f t="shared" si="24"/>
        <v>201462</v>
      </c>
      <c r="BR75" s="347"/>
      <c r="BS75" s="351">
        <f t="shared" si="26"/>
        <v>-176262</v>
      </c>
    </row>
    <row r="76" spans="1:72">
      <c r="A76" s="197"/>
      <c r="B76" s="197" t="s">
        <v>1021</v>
      </c>
      <c r="C76" s="187"/>
      <c r="D76" s="187"/>
      <c r="E76" s="347">
        <v>235231</v>
      </c>
      <c r="G76" s="347">
        <v>578334</v>
      </c>
      <c r="I76" s="347">
        <f t="shared" si="25"/>
        <v>343103</v>
      </c>
      <c r="K76" s="347">
        <v>0</v>
      </c>
      <c r="L76" s="347">
        <v>0</v>
      </c>
      <c r="M76" s="347">
        <v>0</v>
      </c>
      <c r="N76" s="347">
        <v>0</v>
      </c>
      <c r="O76" s="347">
        <v>0</v>
      </c>
      <c r="P76" s="347">
        <v>0</v>
      </c>
      <c r="Q76" s="347">
        <v>0</v>
      </c>
      <c r="R76" s="347">
        <v>0</v>
      </c>
      <c r="S76" s="347">
        <v>0</v>
      </c>
      <c r="T76" s="347">
        <v>0</v>
      </c>
      <c r="U76" s="347">
        <v>0</v>
      </c>
      <c r="V76" s="347">
        <v>0</v>
      </c>
      <c r="W76" s="347">
        <v>0</v>
      </c>
      <c r="X76" s="347">
        <v>0</v>
      </c>
      <c r="Y76" s="347">
        <v>0</v>
      </c>
      <c r="Z76" s="347">
        <v>0</v>
      </c>
      <c r="AA76" s="347">
        <v>0</v>
      </c>
      <c r="AB76" s="347"/>
      <c r="AC76" s="347">
        <v>0</v>
      </c>
      <c r="AD76" s="347"/>
      <c r="AE76" s="347">
        <v>0</v>
      </c>
      <c r="AF76" s="347"/>
      <c r="AG76" s="347">
        <v>0</v>
      </c>
      <c r="AH76" s="347"/>
      <c r="AI76" s="347">
        <v>0</v>
      </c>
      <c r="AJ76" s="347"/>
      <c r="AK76" s="347">
        <f t="shared" si="18"/>
        <v>0</v>
      </c>
      <c r="AL76" s="347"/>
      <c r="AM76" s="347"/>
      <c r="AN76" s="347"/>
      <c r="AO76" s="347">
        <v>75709</v>
      </c>
      <c r="AP76" s="347"/>
      <c r="AQ76" s="347">
        <f>88262-75709</f>
        <v>12553</v>
      </c>
      <c r="AR76" s="347"/>
      <c r="AS76" s="347">
        <f>214576.12-88262</f>
        <v>126314.12</v>
      </c>
      <c r="AT76" s="347"/>
      <c r="AU76" s="347">
        <f>285216.11-214576.12</f>
        <v>70639.989999999991</v>
      </c>
      <c r="AV76" s="347"/>
      <c r="AW76" s="347">
        <f>391232.33-285216.11</f>
        <v>106016.22000000003</v>
      </c>
      <c r="AX76" s="347"/>
      <c r="AY76" s="347">
        <f>495451.19-391232.33</f>
        <v>104218.85999999999</v>
      </c>
      <c r="AZ76" s="347"/>
      <c r="BA76" s="347">
        <v>0</v>
      </c>
      <c r="BB76" s="347"/>
      <c r="BC76" s="347">
        <v>0</v>
      </c>
      <c r="BD76" s="347"/>
      <c r="BE76" s="347">
        <f>567009-495451</f>
        <v>71558</v>
      </c>
      <c r="BF76" s="347"/>
      <c r="BG76" s="347">
        <f>563295-567009</f>
        <v>-3714</v>
      </c>
      <c r="BH76" s="347"/>
      <c r="BI76" s="347">
        <f>565878-563295</f>
        <v>2583</v>
      </c>
      <c r="BJ76" s="347"/>
      <c r="BK76" s="347">
        <v>0</v>
      </c>
      <c r="BL76" s="347"/>
      <c r="BM76" s="478">
        <f t="shared" si="22"/>
        <v>565878.18999999994</v>
      </c>
      <c r="BN76" s="347"/>
      <c r="BO76" s="199">
        <f t="shared" si="23"/>
        <v>12455.810000000056</v>
      </c>
      <c r="BP76" s="347"/>
      <c r="BQ76" s="199">
        <f t="shared" si="24"/>
        <v>578334</v>
      </c>
      <c r="BR76" s="347"/>
      <c r="BS76" s="351">
        <f t="shared" si="26"/>
        <v>-343103</v>
      </c>
    </row>
    <row r="77" spans="1:72">
      <c r="A77" s="197"/>
      <c r="B77" s="197" t="s">
        <v>1022</v>
      </c>
      <c r="C77" s="187"/>
      <c r="D77" s="187"/>
      <c r="E77" s="347">
        <v>1465168</v>
      </c>
      <c r="G77" s="347">
        <v>1856975</v>
      </c>
      <c r="I77" s="347">
        <f t="shared" si="25"/>
        <v>391807</v>
      </c>
      <c r="K77" s="347">
        <v>0</v>
      </c>
      <c r="L77" s="347">
        <v>0</v>
      </c>
      <c r="M77" s="347">
        <v>0</v>
      </c>
      <c r="N77" s="347">
        <v>0</v>
      </c>
      <c r="O77" s="347">
        <v>0</v>
      </c>
      <c r="P77" s="347">
        <v>0</v>
      </c>
      <c r="Q77" s="347">
        <v>0</v>
      </c>
      <c r="R77" s="347">
        <v>0</v>
      </c>
      <c r="S77" s="347">
        <v>0</v>
      </c>
      <c r="T77" s="347">
        <v>0</v>
      </c>
      <c r="U77" s="347">
        <v>0</v>
      </c>
      <c r="V77" s="347">
        <v>0</v>
      </c>
      <c r="W77" s="347">
        <v>0</v>
      </c>
      <c r="X77" s="347">
        <v>0</v>
      </c>
      <c r="Y77" s="347">
        <v>0</v>
      </c>
      <c r="Z77" s="347">
        <v>0</v>
      </c>
      <c r="AA77" s="347">
        <v>0</v>
      </c>
      <c r="AB77" s="347"/>
      <c r="AC77" s="347">
        <v>0</v>
      </c>
      <c r="AD77" s="347"/>
      <c r="AE77" s="347">
        <v>0</v>
      </c>
      <c r="AF77" s="347"/>
      <c r="AG77" s="347">
        <v>0</v>
      </c>
      <c r="AH77" s="347"/>
      <c r="AI77" s="347">
        <v>0</v>
      </c>
      <c r="AJ77" s="347"/>
      <c r="AK77" s="347">
        <f t="shared" si="18"/>
        <v>0</v>
      </c>
      <c r="AL77" s="347"/>
      <c r="AM77" s="347"/>
      <c r="AN77" s="347"/>
      <c r="AO77" s="347">
        <v>78626</v>
      </c>
      <c r="AP77" s="347"/>
      <c r="AQ77" s="347">
        <f>149224-78626</f>
        <v>70598</v>
      </c>
      <c r="AR77" s="347"/>
      <c r="AS77" s="347">
        <f>327033.74-149224</f>
        <v>177809.74</v>
      </c>
      <c r="AT77" s="347"/>
      <c r="AU77" s="347">
        <f>475583.16-327033.74</f>
        <v>148549.41999999998</v>
      </c>
      <c r="AV77" s="347"/>
      <c r="AW77" s="347">
        <f>1485068.32-475583.16</f>
        <v>1009485.1600000001</v>
      </c>
      <c r="AX77" s="347"/>
      <c r="AY77" s="347">
        <f>1575899.23-1485068.32</f>
        <v>90830.909999999916</v>
      </c>
      <c r="AZ77" s="347"/>
      <c r="BA77" s="347">
        <v>0</v>
      </c>
      <c r="BB77" s="347"/>
      <c r="BC77" s="347">
        <v>0</v>
      </c>
      <c r="BD77" s="347"/>
      <c r="BE77" s="347">
        <f>1729670-1575899</f>
        <v>153771</v>
      </c>
      <c r="BF77" s="347"/>
      <c r="BG77" s="347">
        <f>1725835-1729670</f>
        <v>-3835</v>
      </c>
      <c r="BH77" s="347"/>
      <c r="BI77" s="347">
        <f>1758091-1725835</f>
        <v>32256</v>
      </c>
      <c r="BJ77" s="347"/>
      <c r="BK77" s="347">
        <v>0</v>
      </c>
      <c r="BL77" s="347"/>
      <c r="BM77" s="478">
        <f t="shared" si="22"/>
        <v>1758091.23</v>
      </c>
      <c r="BN77" s="347"/>
      <c r="BO77" s="199">
        <f t="shared" si="23"/>
        <v>98883.770000000019</v>
      </c>
      <c r="BP77" s="347"/>
      <c r="BQ77" s="199">
        <f t="shared" si="24"/>
        <v>1856975</v>
      </c>
      <c r="BR77" s="347"/>
      <c r="BS77" s="351">
        <f t="shared" si="26"/>
        <v>-391807</v>
      </c>
    </row>
    <row r="78" spans="1:72">
      <c r="A78" s="197"/>
      <c r="B78" s="197" t="s">
        <v>1013</v>
      </c>
      <c r="C78" s="187"/>
      <c r="D78" s="187"/>
      <c r="E78" s="347">
        <v>821468</v>
      </c>
      <c r="G78" s="347">
        <v>816313</v>
      </c>
      <c r="I78" s="347">
        <f t="shared" si="25"/>
        <v>-5155</v>
      </c>
      <c r="K78" s="347">
        <v>0</v>
      </c>
      <c r="L78" s="347">
        <v>0</v>
      </c>
      <c r="M78" s="347">
        <v>0</v>
      </c>
      <c r="N78" s="347">
        <v>0</v>
      </c>
      <c r="O78" s="347">
        <v>0</v>
      </c>
      <c r="P78" s="347">
        <v>0</v>
      </c>
      <c r="Q78" s="347">
        <v>0</v>
      </c>
      <c r="R78" s="347">
        <v>0</v>
      </c>
      <c r="S78" s="347">
        <v>0</v>
      </c>
      <c r="T78" s="347">
        <v>0</v>
      </c>
      <c r="U78" s="347">
        <v>0</v>
      </c>
      <c r="V78" s="347">
        <v>0</v>
      </c>
      <c r="W78" s="347">
        <v>0</v>
      </c>
      <c r="X78" s="347">
        <v>0</v>
      </c>
      <c r="Y78" s="347">
        <v>0</v>
      </c>
      <c r="Z78" s="347">
        <v>0</v>
      </c>
      <c r="AA78" s="347">
        <v>0</v>
      </c>
      <c r="AB78" s="347"/>
      <c r="AC78" s="347">
        <v>0</v>
      </c>
      <c r="AD78" s="347"/>
      <c r="AE78" s="347">
        <v>0</v>
      </c>
      <c r="AF78" s="347"/>
      <c r="AG78" s="347">
        <v>0</v>
      </c>
      <c r="AH78" s="347"/>
      <c r="AI78" s="347">
        <v>0</v>
      </c>
      <c r="AJ78" s="347"/>
      <c r="AK78" s="347">
        <f t="shared" si="18"/>
        <v>0</v>
      </c>
      <c r="AL78" s="347"/>
      <c r="AM78" s="347"/>
      <c r="AN78" s="347"/>
      <c r="AO78" s="347">
        <v>44694</v>
      </c>
      <c r="AP78" s="347"/>
      <c r="AQ78" s="347">
        <f>200103.5-44694</f>
        <v>155409.5</v>
      </c>
      <c r="AR78" s="347"/>
      <c r="AS78" s="347">
        <f>205307.54-200104</f>
        <v>5203.5400000000081</v>
      </c>
      <c r="AT78" s="347"/>
      <c r="AU78" s="347">
        <f>342687.18-205307.04</f>
        <v>137380.13999999998</v>
      </c>
      <c r="AV78" s="347"/>
      <c r="AW78" s="347">
        <f>672483.14-342687.18</f>
        <v>329795.96000000002</v>
      </c>
      <c r="AX78" s="347"/>
      <c r="AY78" s="347">
        <f>685510.14-672483.14</f>
        <v>13027</v>
      </c>
      <c r="AZ78" s="347"/>
      <c r="BA78" s="347">
        <v>0</v>
      </c>
      <c r="BB78" s="347"/>
      <c r="BC78" s="347">
        <v>0</v>
      </c>
      <c r="BD78" s="347"/>
      <c r="BE78" s="347">
        <f>752341-685510</f>
        <v>66831</v>
      </c>
      <c r="BF78" s="347"/>
      <c r="BG78" s="347">
        <f>765929-752348</f>
        <v>13581</v>
      </c>
      <c r="BH78" s="347"/>
      <c r="BI78" s="347">
        <f>813143-765922</f>
        <v>47221</v>
      </c>
      <c r="BJ78" s="347"/>
      <c r="BK78" s="347">
        <v>0</v>
      </c>
      <c r="BL78" s="347"/>
      <c r="BM78" s="478">
        <f t="shared" si="22"/>
        <v>813143.14</v>
      </c>
      <c r="BN78" s="347"/>
      <c r="BO78" s="199">
        <f t="shared" si="23"/>
        <v>3169.859999999986</v>
      </c>
      <c r="BP78" s="347"/>
      <c r="BQ78" s="199">
        <f t="shared" si="24"/>
        <v>816313</v>
      </c>
      <c r="BR78" s="347"/>
      <c r="BS78" s="351">
        <f t="shared" si="26"/>
        <v>5155</v>
      </c>
    </row>
    <row r="79" spans="1:72">
      <c r="A79" s="197"/>
      <c r="B79" s="197" t="s">
        <v>1014</v>
      </c>
      <c r="C79" s="187"/>
      <c r="D79" s="187"/>
      <c r="E79" s="347">
        <v>482077</v>
      </c>
      <c r="G79" s="347">
        <v>646393</v>
      </c>
      <c r="I79" s="347">
        <f t="shared" si="25"/>
        <v>164316</v>
      </c>
      <c r="K79" s="347">
        <v>0</v>
      </c>
      <c r="L79" s="347">
        <v>0</v>
      </c>
      <c r="M79" s="347">
        <v>0</v>
      </c>
      <c r="N79" s="347">
        <v>0</v>
      </c>
      <c r="O79" s="347">
        <v>0</v>
      </c>
      <c r="P79" s="347">
        <v>0</v>
      </c>
      <c r="Q79" s="347">
        <v>0</v>
      </c>
      <c r="R79" s="347">
        <v>0</v>
      </c>
      <c r="S79" s="347">
        <v>0</v>
      </c>
      <c r="T79" s="347">
        <v>0</v>
      </c>
      <c r="U79" s="347">
        <v>0</v>
      </c>
      <c r="V79" s="347">
        <v>0</v>
      </c>
      <c r="W79" s="347">
        <v>0</v>
      </c>
      <c r="X79" s="347">
        <v>0</v>
      </c>
      <c r="Y79" s="347">
        <v>0</v>
      </c>
      <c r="Z79" s="347">
        <v>0</v>
      </c>
      <c r="AA79" s="347">
        <v>0</v>
      </c>
      <c r="AB79" s="347"/>
      <c r="AC79" s="347">
        <v>0</v>
      </c>
      <c r="AD79" s="347"/>
      <c r="AE79" s="347">
        <v>0</v>
      </c>
      <c r="AF79" s="347"/>
      <c r="AG79" s="347">
        <v>0</v>
      </c>
      <c r="AH79" s="347"/>
      <c r="AI79" s="347">
        <v>0</v>
      </c>
      <c r="AJ79" s="347"/>
      <c r="AK79" s="347">
        <f t="shared" si="18"/>
        <v>0</v>
      </c>
      <c r="AL79" s="347"/>
      <c r="AM79" s="347"/>
      <c r="AN79" s="347"/>
      <c r="AO79" s="347">
        <v>0</v>
      </c>
      <c r="AP79" s="347"/>
      <c r="AQ79" s="347">
        <v>1940</v>
      </c>
      <c r="AR79" s="347"/>
      <c r="AS79" s="347">
        <f>155314.43-1940</f>
        <v>153374.43</v>
      </c>
      <c r="AT79" s="347"/>
      <c r="AU79" s="347">
        <f>307674.54-155314.43</f>
        <v>152360.10999999999</v>
      </c>
      <c r="AV79" s="347"/>
      <c r="AW79" s="347">
        <f>474562.05-307674.54</f>
        <v>166887.51</v>
      </c>
      <c r="AX79" s="347"/>
      <c r="AY79" s="347">
        <f>629750.01-474562.05</f>
        <v>155187.96000000002</v>
      </c>
      <c r="AZ79" s="347"/>
      <c r="BA79" s="347">
        <v>0</v>
      </c>
      <c r="BB79" s="347"/>
      <c r="BC79" s="347">
        <v>0</v>
      </c>
      <c r="BD79" s="347"/>
      <c r="BE79" s="347">
        <f>636245-629750</f>
        <v>6495</v>
      </c>
      <c r="BF79" s="347"/>
      <c r="BG79" s="347">
        <v>0</v>
      </c>
      <c r="BH79" s="347"/>
      <c r="BI79" s="347">
        <f>637423-636245</f>
        <v>1178</v>
      </c>
      <c r="BJ79" s="347"/>
      <c r="BK79" s="347">
        <v>0</v>
      </c>
      <c r="BL79" s="347"/>
      <c r="BM79" s="478">
        <f t="shared" si="22"/>
        <v>637423.01</v>
      </c>
      <c r="BN79" s="347"/>
      <c r="BO79" s="199">
        <f t="shared" si="23"/>
        <v>8969.9899999999907</v>
      </c>
      <c r="BP79" s="347"/>
      <c r="BQ79" s="199">
        <f t="shared" si="24"/>
        <v>646393</v>
      </c>
      <c r="BR79" s="347"/>
      <c r="BS79" s="351">
        <f t="shared" si="26"/>
        <v>-164316</v>
      </c>
    </row>
    <row r="80" spans="1:72">
      <c r="A80" s="197"/>
      <c r="B80" s="197" t="s">
        <v>1015</v>
      </c>
      <c r="C80" s="187"/>
      <c r="D80" s="187"/>
      <c r="E80" s="347">
        <v>7851</v>
      </c>
      <c r="G80" s="347">
        <v>0</v>
      </c>
      <c r="I80" s="347">
        <f t="shared" si="25"/>
        <v>-7851</v>
      </c>
      <c r="K80" s="347">
        <v>0</v>
      </c>
      <c r="L80" s="347">
        <v>0</v>
      </c>
      <c r="M80" s="347">
        <v>0</v>
      </c>
      <c r="N80" s="347">
        <v>0</v>
      </c>
      <c r="O80" s="347">
        <v>0</v>
      </c>
      <c r="P80" s="347">
        <v>0</v>
      </c>
      <c r="Q80" s="347">
        <v>0</v>
      </c>
      <c r="R80" s="347">
        <v>0</v>
      </c>
      <c r="S80" s="347">
        <v>0</v>
      </c>
      <c r="T80" s="347">
        <v>0</v>
      </c>
      <c r="U80" s="347">
        <v>0</v>
      </c>
      <c r="V80" s="347">
        <v>0</v>
      </c>
      <c r="W80" s="347">
        <v>0</v>
      </c>
      <c r="X80" s="347">
        <v>0</v>
      </c>
      <c r="Y80" s="347">
        <v>0</v>
      </c>
      <c r="Z80" s="347">
        <v>0</v>
      </c>
      <c r="AA80" s="347">
        <v>0</v>
      </c>
      <c r="AB80" s="347"/>
      <c r="AC80" s="347">
        <v>0</v>
      </c>
      <c r="AD80" s="347"/>
      <c r="AE80" s="347">
        <v>0</v>
      </c>
      <c r="AF80" s="347"/>
      <c r="AG80" s="347">
        <v>0</v>
      </c>
      <c r="AH80" s="347"/>
      <c r="AI80" s="347">
        <v>0</v>
      </c>
      <c r="AJ80" s="347"/>
      <c r="AK80" s="347">
        <f t="shared" si="18"/>
        <v>0</v>
      </c>
      <c r="AL80" s="347"/>
      <c r="AM80" s="347"/>
      <c r="AN80" s="347"/>
      <c r="AO80" s="347">
        <v>0</v>
      </c>
      <c r="AP80" s="347"/>
      <c r="AQ80" s="347">
        <v>0</v>
      </c>
      <c r="AR80" s="347"/>
      <c r="AS80" s="347">
        <v>0</v>
      </c>
      <c r="AT80" s="347"/>
      <c r="AU80" s="347">
        <v>0</v>
      </c>
      <c r="AV80" s="347"/>
      <c r="AW80" s="347">
        <v>0</v>
      </c>
      <c r="AX80" s="347"/>
      <c r="AY80" s="347">
        <v>0</v>
      </c>
      <c r="AZ80" s="347"/>
      <c r="BA80" s="347">
        <v>0</v>
      </c>
      <c r="BB80" s="347"/>
      <c r="BC80" s="347">
        <v>0</v>
      </c>
      <c r="BD80" s="347"/>
      <c r="BE80" s="347">
        <v>0</v>
      </c>
      <c r="BF80" s="347"/>
      <c r="BG80" s="347">
        <v>0</v>
      </c>
      <c r="BH80" s="347"/>
      <c r="BI80" s="347">
        <f>0-0</f>
        <v>0</v>
      </c>
      <c r="BJ80" s="347"/>
      <c r="BK80" s="347">
        <f>0-0</f>
        <v>0</v>
      </c>
      <c r="BL80" s="347"/>
      <c r="BM80" s="478">
        <f t="shared" si="22"/>
        <v>0</v>
      </c>
      <c r="BN80" s="347"/>
      <c r="BO80" s="199">
        <f t="shared" si="23"/>
        <v>0</v>
      </c>
      <c r="BP80" s="347"/>
      <c r="BQ80" s="199">
        <f t="shared" si="24"/>
        <v>0</v>
      </c>
      <c r="BR80" s="347"/>
      <c r="BS80" s="351">
        <f t="shared" si="26"/>
        <v>7851</v>
      </c>
    </row>
    <row r="81" spans="1:72">
      <c r="A81" s="197"/>
      <c r="B81" s="212" t="s">
        <v>1507</v>
      </c>
      <c r="C81" s="187"/>
      <c r="D81" s="187"/>
      <c r="E81" s="349">
        <f>SUM(E69:E80)</f>
        <v>4249421</v>
      </c>
      <c r="G81" s="349">
        <f>SUBTOTAL(9,G69:G80)</f>
        <v>5055293</v>
      </c>
      <c r="I81" s="349">
        <f t="shared" ref="I81:AE81" si="27">SUM(I69:I80)</f>
        <v>805872</v>
      </c>
      <c r="J81" s="348">
        <f t="shared" si="27"/>
        <v>0</v>
      </c>
      <c r="K81" s="349">
        <f t="shared" si="27"/>
        <v>0</v>
      </c>
      <c r="L81" s="348">
        <f t="shared" si="27"/>
        <v>0</v>
      </c>
      <c r="M81" s="349">
        <f t="shared" si="27"/>
        <v>0</v>
      </c>
      <c r="N81" s="348">
        <f t="shared" si="27"/>
        <v>0</v>
      </c>
      <c r="O81" s="349">
        <f t="shared" si="27"/>
        <v>0</v>
      </c>
      <c r="P81" s="348">
        <f t="shared" si="27"/>
        <v>0</v>
      </c>
      <c r="Q81" s="349">
        <f t="shared" si="27"/>
        <v>0</v>
      </c>
      <c r="R81" s="348">
        <f t="shared" si="27"/>
        <v>0</v>
      </c>
      <c r="S81" s="349">
        <f t="shared" si="27"/>
        <v>0</v>
      </c>
      <c r="T81" s="348">
        <f t="shared" si="27"/>
        <v>0</v>
      </c>
      <c r="U81" s="349">
        <f t="shared" si="27"/>
        <v>0</v>
      </c>
      <c r="V81" s="348">
        <f t="shared" si="27"/>
        <v>0</v>
      </c>
      <c r="W81" s="349">
        <f t="shared" si="27"/>
        <v>0</v>
      </c>
      <c r="X81" s="348">
        <f t="shared" si="27"/>
        <v>0</v>
      </c>
      <c r="Y81" s="349">
        <f t="shared" si="27"/>
        <v>0</v>
      </c>
      <c r="Z81" s="348">
        <f t="shared" si="27"/>
        <v>0</v>
      </c>
      <c r="AA81" s="349">
        <f t="shared" si="27"/>
        <v>0</v>
      </c>
      <c r="AB81" s="348">
        <f t="shared" si="27"/>
        <v>0</v>
      </c>
      <c r="AC81" s="349">
        <f t="shared" si="27"/>
        <v>0</v>
      </c>
      <c r="AD81" s="348">
        <f t="shared" si="27"/>
        <v>0</v>
      </c>
      <c r="AE81" s="349">
        <f t="shared" si="27"/>
        <v>0</v>
      </c>
      <c r="AF81" s="348"/>
      <c r="AG81" s="349">
        <f>SUM(AG69:AG80)</f>
        <v>0</v>
      </c>
      <c r="AH81" s="348">
        <f>SUM(AH69:AH80)</f>
        <v>0</v>
      </c>
      <c r="AI81" s="349">
        <f>SUM(AI69:AI80)</f>
        <v>0</v>
      </c>
      <c r="AJ81" s="348"/>
      <c r="AK81" s="349">
        <f>SUM(AK67:AK80)</f>
        <v>0</v>
      </c>
      <c r="AL81" s="348">
        <f>SUM(AL69:AL80)</f>
        <v>0</v>
      </c>
      <c r="AM81" s="348">
        <f>SUM(AM69:AM80)</f>
        <v>0</v>
      </c>
      <c r="AN81" s="348">
        <f>SUM(AN69:AN80)</f>
        <v>0</v>
      </c>
      <c r="AO81" s="349">
        <f>SUM(AO69:AO80)</f>
        <v>607856</v>
      </c>
      <c r="AP81" s="348"/>
      <c r="AQ81" s="349">
        <f>SUM(AQ69:AQ80)</f>
        <v>369213.5</v>
      </c>
      <c r="AR81" s="348"/>
      <c r="AS81" s="349">
        <f>SUM(AS69:AS80)</f>
        <v>534636.54</v>
      </c>
      <c r="AT81" s="348"/>
      <c r="AU81" s="349">
        <f>SUM(AU69:AU80)</f>
        <v>700715.71</v>
      </c>
      <c r="AV81" s="348"/>
      <c r="AW81" s="349">
        <f>SUM(AW69:AW80)</f>
        <v>1756040.6</v>
      </c>
      <c r="AX81" s="348"/>
      <c r="AY81" s="349">
        <f>SUM(AY69:AY80)</f>
        <v>498177.32</v>
      </c>
      <c r="AZ81" s="348"/>
      <c r="BA81" s="349">
        <f>SUM(BA69:BA80)</f>
        <v>0</v>
      </c>
      <c r="BB81" s="348"/>
      <c r="BC81" s="349">
        <f>SUM(BC69:BC80)</f>
        <v>0</v>
      </c>
      <c r="BD81" s="348"/>
      <c r="BE81" s="349">
        <f>SUM(BE69:BE80)</f>
        <v>351928</v>
      </c>
      <c r="BF81" s="348"/>
      <c r="BG81" s="349">
        <f>SUM(BG69:BG80)</f>
        <v>5852</v>
      </c>
      <c r="BH81" s="348"/>
      <c r="BI81" s="349">
        <f>SUM(BI69:BI80)</f>
        <v>102104</v>
      </c>
      <c r="BJ81" s="348"/>
      <c r="BK81" s="349">
        <f>SUM(BK69:BK80)</f>
        <v>0</v>
      </c>
      <c r="BL81" s="348"/>
      <c r="BM81" s="483">
        <f>SUM(BM67:BM80)</f>
        <v>4926523.67</v>
      </c>
      <c r="BN81" s="348"/>
      <c r="BO81" s="349">
        <f t="shared" ref="BO81:BT81" si="28">SUM(BO69:BO80)</f>
        <v>128769.79000000001</v>
      </c>
      <c r="BP81" s="348">
        <f t="shared" si="28"/>
        <v>0</v>
      </c>
      <c r="BQ81" s="349">
        <f t="shared" si="28"/>
        <v>5055293.46</v>
      </c>
      <c r="BR81" s="348">
        <f t="shared" si="28"/>
        <v>0</v>
      </c>
      <c r="BS81" s="349">
        <f t="shared" si="28"/>
        <v>-805872.46</v>
      </c>
      <c r="BT81" s="349">
        <f t="shared" si="28"/>
        <v>0</v>
      </c>
    </row>
    <row r="82" spans="1:72">
      <c r="A82" s="197"/>
      <c r="B82" s="197"/>
      <c r="C82" s="187"/>
      <c r="D82" s="187"/>
      <c r="E82" s="342"/>
      <c r="G82" s="342"/>
      <c r="I82" s="342"/>
      <c r="K82" s="342"/>
      <c r="L82" s="342"/>
      <c r="M82" s="342"/>
      <c r="N82" s="342"/>
      <c r="O82" s="342"/>
      <c r="P82" s="342"/>
      <c r="Q82" s="342"/>
      <c r="R82" s="342"/>
      <c r="S82" s="342"/>
      <c r="T82" s="357"/>
      <c r="U82" s="342"/>
      <c r="V82" s="342"/>
      <c r="W82" s="342"/>
      <c r="X82" s="342"/>
      <c r="Y82" s="342"/>
      <c r="Z82" s="342"/>
      <c r="AA82" s="342"/>
      <c r="AB82" s="342"/>
      <c r="AC82" s="342"/>
      <c r="AD82" s="342"/>
      <c r="AE82" s="342"/>
      <c r="AF82" s="342"/>
      <c r="AG82" s="348"/>
      <c r="AH82" s="342"/>
      <c r="AI82" s="342"/>
      <c r="AJ82" s="342"/>
      <c r="AK82" s="348"/>
      <c r="AL82" s="342"/>
      <c r="AM82" s="342"/>
      <c r="AN82" s="342"/>
      <c r="AO82" s="342"/>
      <c r="AP82" s="342"/>
      <c r="AQ82" s="342"/>
      <c r="AR82" s="342"/>
      <c r="AS82" s="342"/>
      <c r="AT82" s="342"/>
      <c r="AU82" s="342"/>
      <c r="AV82" s="342"/>
      <c r="AW82" s="342"/>
      <c r="AX82" s="342"/>
      <c r="AY82" s="342"/>
      <c r="AZ82" s="342"/>
      <c r="BA82" s="342"/>
      <c r="BB82" s="342"/>
      <c r="BC82" s="342"/>
      <c r="BD82" s="342"/>
      <c r="BE82" s="342"/>
      <c r="BF82" s="342"/>
      <c r="BG82" s="342"/>
      <c r="BH82" s="342"/>
      <c r="BI82" s="342"/>
      <c r="BJ82" s="342"/>
      <c r="BK82" s="342"/>
      <c r="BL82" s="342"/>
      <c r="BM82" s="482"/>
      <c r="BN82" s="342"/>
      <c r="BO82" s="348"/>
      <c r="BP82" s="348"/>
      <c r="BQ82" s="348"/>
      <c r="BR82" s="348"/>
      <c r="BS82" s="348"/>
    </row>
    <row r="83" spans="1:72">
      <c r="A83" s="212" t="s">
        <v>1504</v>
      </c>
      <c r="C83" s="187"/>
      <c r="D83" s="187"/>
      <c r="E83" s="343"/>
      <c r="G83" s="343"/>
      <c r="I83" s="343"/>
      <c r="K83" s="343"/>
      <c r="L83" s="343"/>
      <c r="M83" s="343"/>
      <c r="N83" s="343"/>
      <c r="O83" s="343"/>
      <c r="P83" s="343"/>
      <c r="Q83" s="343"/>
      <c r="R83" s="343"/>
      <c r="S83" s="343"/>
      <c r="T83" s="358"/>
      <c r="U83" s="343"/>
      <c r="V83" s="343"/>
      <c r="W83" s="343"/>
      <c r="X83" s="343"/>
      <c r="Y83" s="343"/>
      <c r="Z83" s="343"/>
      <c r="AA83" s="343"/>
      <c r="AB83" s="343"/>
      <c r="AC83" s="343"/>
      <c r="AD83" s="343"/>
      <c r="AE83" s="343"/>
      <c r="AF83" s="343"/>
      <c r="AG83" s="352"/>
      <c r="AH83" s="343"/>
      <c r="AI83" s="343"/>
      <c r="AJ83" s="343"/>
      <c r="AK83" s="352"/>
      <c r="AL83" s="343"/>
      <c r="AM83" s="343"/>
      <c r="AN83" s="343"/>
      <c r="AO83" s="343"/>
      <c r="AP83" s="343"/>
      <c r="AQ83" s="343"/>
      <c r="AR83" s="343"/>
      <c r="AS83" s="343"/>
      <c r="AT83" s="343"/>
      <c r="AU83" s="343"/>
      <c r="AV83" s="343"/>
      <c r="AW83" s="343"/>
      <c r="AX83" s="343"/>
      <c r="AY83" s="343"/>
      <c r="AZ83" s="343"/>
      <c r="BA83" s="343"/>
      <c r="BB83" s="343"/>
      <c r="BC83" s="343"/>
      <c r="BD83" s="343"/>
      <c r="BE83" s="343"/>
      <c r="BF83" s="343"/>
      <c r="BG83" s="343"/>
      <c r="BH83" s="343"/>
      <c r="BI83" s="343"/>
      <c r="BJ83" s="343"/>
      <c r="BK83" s="343"/>
      <c r="BL83" s="343"/>
      <c r="BM83" s="482"/>
      <c r="BN83" s="343"/>
      <c r="BO83" s="352"/>
      <c r="BP83" s="352"/>
      <c r="BQ83" s="352"/>
      <c r="BR83" s="352"/>
      <c r="BS83" s="352"/>
    </row>
    <row r="84" spans="1:72">
      <c r="A84" s="197"/>
      <c r="B84" s="197" t="s">
        <v>1023</v>
      </c>
      <c r="C84" s="187"/>
      <c r="D84" s="187"/>
      <c r="E84" s="347">
        <v>581938</v>
      </c>
      <c r="G84" s="347">
        <v>340664</v>
      </c>
      <c r="I84" s="347">
        <f>G84-E84</f>
        <v>-241274</v>
      </c>
      <c r="K84" s="347">
        <v>0</v>
      </c>
      <c r="L84" s="347">
        <v>0</v>
      </c>
      <c r="M84" s="347">
        <v>0</v>
      </c>
      <c r="N84" s="347">
        <v>0</v>
      </c>
      <c r="O84" s="347">
        <v>0</v>
      </c>
      <c r="P84" s="347">
        <v>0</v>
      </c>
      <c r="Q84" s="347">
        <v>0</v>
      </c>
      <c r="R84" s="347">
        <v>0</v>
      </c>
      <c r="S84" s="347">
        <v>0</v>
      </c>
      <c r="T84" s="347">
        <v>0</v>
      </c>
      <c r="U84" s="347">
        <v>0</v>
      </c>
      <c r="V84" s="347">
        <v>0</v>
      </c>
      <c r="W84" s="347">
        <v>0</v>
      </c>
      <c r="X84" s="347">
        <v>0</v>
      </c>
      <c r="Y84" s="347">
        <v>0</v>
      </c>
      <c r="Z84" s="347">
        <v>0</v>
      </c>
      <c r="AA84" s="347">
        <v>0</v>
      </c>
      <c r="AB84" s="347">
        <v>0</v>
      </c>
      <c r="AC84" s="347">
        <v>0</v>
      </c>
      <c r="AD84" s="347"/>
      <c r="AE84" s="347">
        <v>0</v>
      </c>
      <c r="AF84" s="347"/>
      <c r="AG84" s="347">
        <v>0</v>
      </c>
      <c r="AH84" s="347"/>
      <c r="AI84" s="347">
        <v>52531</v>
      </c>
      <c r="AJ84" s="347"/>
      <c r="AK84" s="347">
        <f t="shared" si="18"/>
        <v>52531</v>
      </c>
      <c r="AL84" s="347"/>
      <c r="AM84" s="347"/>
      <c r="AN84" s="347"/>
      <c r="AO84" s="347">
        <f>291994-52531</f>
        <v>239463</v>
      </c>
      <c r="AP84" s="347"/>
      <c r="AQ84" s="347">
        <v>0</v>
      </c>
      <c r="AR84" s="347"/>
      <c r="AS84" s="347">
        <f>299764.51-292005</f>
        <v>7759.5100000000093</v>
      </c>
      <c r="AT84" s="347"/>
      <c r="AU84" s="347">
        <f>311366.86-299753.51</f>
        <v>11613.349999999977</v>
      </c>
      <c r="AV84" s="347"/>
      <c r="AW84" s="347">
        <f>314783.29-311366.86</f>
        <v>3416.429999999993</v>
      </c>
      <c r="AX84" s="347"/>
      <c r="AY84" s="347">
        <f>334044.02-314783.29</f>
        <v>19260.73000000004</v>
      </c>
      <c r="AZ84" s="347"/>
      <c r="BA84" s="347">
        <v>0</v>
      </c>
      <c r="BB84" s="347"/>
      <c r="BC84" s="347">
        <v>0</v>
      </c>
      <c r="BD84" s="347"/>
      <c r="BE84" s="347">
        <f>340170-334044</f>
        <v>6126</v>
      </c>
      <c r="BF84" s="347"/>
      <c r="BG84" s="347">
        <f>340644-340170</f>
        <v>474</v>
      </c>
      <c r="BH84" s="347"/>
      <c r="BI84" s="347">
        <f>340644-340644</f>
        <v>0</v>
      </c>
      <c r="BJ84" s="347"/>
      <c r="BK84" s="347">
        <f>340644-340644</f>
        <v>0</v>
      </c>
      <c r="BL84" s="347"/>
      <c r="BM84" s="478">
        <f>SUM(AK84:BL84)</f>
        <v>340644.02</v>
      </c>
      <c r="BN84" s="347"/>
      <c r="BO84" s="199">
        <f>+MAX(0,G84-BM84+AM84)</f>
        <v>19.979999999981374</v>
      </c>
      <c r="BP84" s="347"/>
      <c r="BQ84" s="199">
        <f>SUM(BM84:BO84)</f>
        <v>340664</v>
      </c>
      <c r="BR84" s="347"/>
      <c r="BS84" s="351">
        <f>E84-BQ84</f>
        <v>241274</v>
      </c>
    </row>
    <row r="85" spans="1:72">
      <c r="A85" s="197"/>
      <c r="B85" s="197" t="s">
        <v>1017</v>
      </c>
      <c r="C85" s="187"/>
      <c r="D85" s="187"/>
      <c r="E85" s="347">
        <v>478046</v>
      </c>
      <c r="G85" s="347">
        <v>404051</v>
      </c>
      <c r="I85" s="347">
        <f>G85-E85</f>
        <v>-73995</v>
      </c>
      <c r="K85" s="347">
        <v>0</v>
      </c>
      <c r="L85" s="347"/>
      <c r="M85" s="347">
        <v>0</v>
      </c>
      <c r="N85" s="347"/>
      <c r="O85" s="347">
        <v>0</v>
      </c>
      <c r="P85" s="347"/>
      <c r="Q85" s="347">
        <v>0</v>
      </c>
      <c r="R85" s="347"/>
      <c r="S85" s="347">
        <v>0</v>
      </c>
      <c r="T85" s="347"/>
      <c r="U85" s="347">
        <v>0</v>
      </c>
      <c r="V85" s="347"/>
      <c r="W85" s="347">
        <v>0</v>
      </c>
      <c r="X85" s="347"/>
      <c r="Y85" s="347">
        <v>0</v>
      </c>
      <c r="Z85" s="347"/>
      <c r="AA85" s="347">
        <v>0</v>
      </c>
      <c r="AB85" s="347"/>
      <c r="AC85" s="347">
        <v>0</v>
      </c>
      <c r="AD85" s="347"/>
      <c r="AE85" s="347">
        <v>0</v>
      </c>
      <c r="AF85" s="347"/>
      <c r="AG85" s="347">
        <v>0</v>
      </c>
      <c r="AH85" s="347"/>
      <c r="AI85" s="347">
        <v>0</v>
      </c>
      <c r="AJ85" s="347"/>
      <c r="AK85" s="347">
        <f t="shared" si="18"/>
        <v>0</v>
      </c>
      <c r="AL85" s="347"/>
      <c r="AM85" s="347"/>
      <c r="AN85" s="347"/>
      <c r="AO85" s="347">
        <v>141564.34</v>
      </c>
      <c r="AP85" s="347"/>
      <c r="AQ85" s="347">
        <v>0</v>
      </c>
      <c r="AR85" s="347"/>
      <c r="AS85" s="347">
        <v>0</v>
      </c>
      <c r="AT85" s="347"/>
      <c r="AU85" s="347">
        <f>158897.03-141564.34</f>
        <v>17332.690000000002</v>
      </c>
      <c r="AV85" s="347"/>
      <c r="AW85" s="347">
        <f>164986.4-158897.03</f>
        <v>6089.3699999999953</v>
      </c>
      <c r="AX85" s="347"/>
      <c r="AY85" s="347">
        <f>166933.55-164986.4</f>
        <v>1947.1499999999942</v>
      </c>
      <c r="AZ85" s="347"/>
      <c r="BA85" s="347">
        <v>0</v>
      </c>
      <c r="BB85" s="347"/>
      <c r="BC85" s="347">
        <v>0</v>
      </c>
      <c r="BD85" s="347"/>
      <c r="BE85" s="347">
        <f>232629-166934</f>
        <v>65695</v>
      </c>
      <c r="BF85" s="347"/>
      <c r="BG85" s="347">
        <f>387085-232629</f>
        <v>154456</v>
      </c>
      <c r="BH85" s="347"/>
      <c r="BI85" s="347">
        <f>404041-387085</f>
        <v>16956</v>
      </c>
      <c r="BJ85" s="347"/>
      <c r="BK85" s="347">
        <v>0</v>
      </c>
      <c r="BL85" s="347"/>
      <c r="BM85" s="478">
        <f>SUM(AK85:BL85)</f>
        <v>404040.55</v>
      </c>
      <c r="BN85" s="347"/>
      <c r="BO85" s="199">
        <f>+MAX(0,G85-BM85+AM85)</f>
        <v>10.450000000011642</v>
      </c>
      <c r="BP85" s="347"/>
      <c r="BQ85" s="199">
        <f>SUM(BM85:BO85)</f>
        <v>404051</v>
      </c>
      <c r="BR85" s="347"/>
      <c r="BS85" s="351">
        <f>E85-BQ85</f>
        <v>73995</v>
      </c>
    </row>
    <row r="86" spans="1:72">
      <c r="A86" s="197"/>
      <c r="B86" s="212" t="s">
        <v>1508</v>
      </c>
      <c r="C86" s="187"/>
      <c r="D86" s="187"/>
      <c r="E86" s="349">
        <f>SUM(E84:E85)</f>
        <v>1059984</v>
      </c>
      <c r="F86" s="349">
        <f>SUM(F84:F85)</f>
        <v>0</v>
      </c>
      <c r="G86" s="349">
        <f>SUM(G84:G85)</f>
        <v>744715</v>
      </c>
      <c r="I86" s="349">
        <f>SUM(I84)</f>
        <v>-241274</v>
      </c>
      <c r="J86" s="348">
        <f>SUM(J84)</f>
        <v>0</v>
      </c>
      <c r="K86" s="349">
        <f>SUM(K84:K85)</f>
        <v>0</v>
      </c>
      <c r="L86" s="348">
        <f>SUM(L84)</f>
        <v>0</v>
      </c>
      <c r="M86" s="349">
        <f>SUM(M84:M85)</f>
        <v>0</v>
      </c>
      <c r="N86" s="348">
        <f>SUM(N84)</f>
        <v>0</v>
      </c>
      <c r="O86" s="349">
        <f>SUM(O84:O85)</f>
        <v>0</v>
      </c>
      <c r="P86" s="348">
        <f>SUM(P84)</f>
        <v>0</v>
      </c>
      <c r="Q86" s="349">
        <f>SUM(Q84:Q85)</f>
        <v>0</v>
      </c>
      <c r="R86" s="348">
        <f>SUM(R84)</f>
        <v>0</v>
      </c>
      <c r="S86" s="349">
        <f>SUM(S84:S85)</f>
        <v>0</v>
      </c>
      <c r="T86" s="348">
        <f>SUM(T84)</f>
        <v>0</v>
      </c>
      <c r="U86" s="349">
        <f>SUM(U84:U85)</f>
        <v>0</v>
      </c>
      <c r="V86" s="348">
        <f>SUM(V84)</f>
        <v>0</v>
      </c>
      <c r="W86" s="349">
        <f>SUM(W84:W85)</f>
        <v>0</v>
      </c>
      <c r="X86" s="348">
        <f>SUM(X84)</f>
        <v>0</v>
      </c>
      <c r="Y86" s="349">
        <f>SUM(Y84:Y85)</f>
        <v>0</v>
      </c>
      <c r="Z86" s="348">
        <f>SUM(Z84)</f>
        <v>0</v>
      </c>
      <c r="AA86" s="349">
        <f>SUM(AA84:AA85)</f>
        <v>0</v>
      </c>
      <c r="AB86" s="348">
        <f>SUM(AB84)</f>
        <v>0</v>
      </c>
      <c r="AC86" s="349">
        <f>SUM(AC84:AC85)</f>
        <v>0</v>
      </c>
      <c r="AD86" s="348">
        <f>SUM(AD84)</f>
        <v>0</v>
      </c>
      <c r="AE86" s="349">
        <f>SUM(AE84:AE85)</f>
        <v>0</v>
      </c>
      <c r="AF86" s="348">
        <f>SUM(AF84)</f>
        <v>0</v>
      </c>
      <c r="AG86" s="349">
        <f>SUM(AG84:AG85)</f>
        <v>0</v>
      </c>
      <c r="AH86" s="348">
        <f>SUM(AH84)</f>
        <v>0</v>
      </c>
      <c r="AI86" s="349">
        <f>SUM(AI84:AI85)</f>
        <v>52531</v>
      </c>
      <c r="AJ86" s="348">
        <f>SUM(AJ84)</f>
        <v>0</v>
      </c>
      <c r="AK86" s="349">
        <f>SUM(AK84:AK85)</f>
        <v>52531</v>
      </c>
      <c r="AL86" s="348">
        <f>SUM(AL84)</f>
        <v>0</v>
      </c>
      <c r="AM86" s="349">
        <f>SUM(AM84:AM85)</f>
        <v>0</v>
      </c>
      <c r="AN86" s="348">
        <f>SUM(AN84)</f>
        <v>0</v>
      </c>
      <c r="AO86" s="349">
        <f>SUM(AO84:AO85)</f>
        <v>381027.33999999997</v>
      </c>
      <c r="AP86" s="348">
        <f>SUM(AP84)</f>
        <v>0</v>
      </c>
      <c r="AQ86" s="349">
        <f>SUM(AQ84:AQ85)</f>
        <v>0</v>
      </c>
      <c r="AR86" s="348">
        <f>SUM(AR84)</f>
        <v>0</v>
      </c>
      <c r="AS86" s="349">
        <f>SUM(AS84:AS85)</f>
        <v>7759.5100000000093</v>
      </c>
      <c r="AT86" s="348">
        <f>SUM(AT84)</f>
        <v>0</v>
      </c>
      <c r="AU86" s="349">
        <f>SUM(AU84:AU85)</f>
        <v>28946.039999999979</v>
      </c>
      <c r="AV86" s="348"/>
      <c r="AW86" s="349">
        <f>SUM(AW84:AW85)</f>
        <v>9505.7999999999884</v>
      </c>
      <c r="AX86" s="348"/>
      <c r="AY86" s="349">
        <f>SUM(AY84:AY85)</f>
        <v>21207.880000000034</v>
      </c>
      <c r="AZ86" s="348"/>
      <c r="BA86" s="349">
        <f>SUM(BA84:BA85)</f>
        <v>0</v>
      </c>
      <c r="BB86" s="348"/>
      <c r="BC86" s="349">
        <f>SUM(BC84:BC85)</f>
        <v>0</v>
      </c>
      <c r="BD86" s="348"/>
      <c r="BE86" s="349">
        <f>SUM(BE84:BE85)</f>
        <v>71821</v>
      </c>
      <c r="BF86" s="348"/>
      <c r="BG86" s="349">
        <f>SUM(BG84:BG85)</f>
        <v>154930</v>
      </c>
      <c r="BH86" s="348"/>
      <c r="BI86" s="349">
        <f>SUM(BI84:BI85)</f>
        <v>16956</v>
      </c>
      <c r="BJ86" s="348"/>
      <c r="BK86" s="349">
        <f>SUM(BK84:BK85)</f>
        <v>0</v>
      </c>
      <c r="BL86" s="348"/>
      <c r="BM86" s="483">
        <f>SUM(BM84:BM85)</f>
        <v>744684.57000000007</v>
      </c>
      <c r="BN86" s="348">
        <f>SUM(BN84)</f>
        <v>0</v>
      </c>
      <c r="BO86" s="349">
        <f>SUM(BO84:BO85)</f>
        <v>30.429999999993015</v>
      </c>
      <c r="BP86" s="348">
        <f>SUM(BP84)</f>
        <v>0</v>
      </c>
      <c r="BQ86" s="349">
        <f>SUM(BQ84:BQ85)</f>
        <v>744715</v>
      </c>
      <c r="BR86" s="348">
        <f>SUM(BR84)</f>
        <v>0</v>
      </c>
      <c r="BS86" s="349">
        <f>SUM(BS84:BS85)</f>
        <v>315269</v>
      </c>
      <c r="BT86" s="348">
        <f>SUM(BT84)</f>
        <v>0</v>
      </c>
    </row>
    <row r="87" spans="1:72">
      <c r="A87" s="197"/>
      <c r="B87" s="197"/>
      <c r="C87" s="187"/>
      <c r="D87" s="187"/>
      <c r="E87" s="348"/>
      <c r="G87" s="348"/>
      <c r="I87" s="348"/>
      <c r="K87" s="348"/>
      <c r="L87" s="348"/>
      <c r="M87" s="348"/>
      <c r="N87" s="348"/>
      <c r="O87" s="348"/>
      <c r="P87" s="348"/>
      <c r="Q87" s="348"/>
      <c r="R87" s="348"/>
      <c r="S87" s="348"/>
      <c r="T87" s="360"/>
      <c r="U87" s="348"/>
      <c r="V87" s="348"/>
      <c r="W87" s="348"/>
      <c r="X87" s="348"/>
      <c r="Y87" s="348"/>
      <c r="Z87" s="348"/>
      <c r="AA87" s="348"/>
      <c r="AB87" s="348"/>
      <c r="AC87" s="348"/>
      <c r="AD87" s="348"/>
      <c r="AE87" s="348"/>
      <c r="AF87" s="348"/>
      <c r="AG87" s="348"/>
      <c r="AH87" s="348"/>
      <c r="AI87" s="348"/>
      <c r="AJ87" s="348"/>
      <c r="AK87" s="348"/>
      <c r="AL87" s="348"/>
      <c r="AM87" s="348"/>
      <c r="AN87" s="348"/>
      <c r="AO87" s="348"/>
      <c r="AP87" s="348"/>
      <c r="AQ87" s="348"/>
      <c r="AR87" s="348"/>
      <c r="AS87" s="348"/>
      <c r="AT87" s="348"/>
      <c r="AU87" s="348"/>
      <c r="AV87" s="348"/>
      <c r="AW87" s="348"/>
      <c r="AX87" s="348"/>
      <c r="AY87" s="348"/>
      <c r="AZ87" s="348"/>
      <c r="BA87" s="348"/>
      <c r="BB87" s="348"/>
      <c r="BC87" s="348"/>
      <c r="BD87" s="348"/>
      <c r="BE87" s="348"/>
      <c r="BF87" s="348"/>
      <c r="BG87" s="348"/>
      <c r="BH87" s="348"/>
      <c r="BI87" s="348"/>
      <c r="BJ87" s="348"/>
      <c r="BK87" s="348"/>
      <c r="BL87" s="348"/>
      <c r="BM87" s="482"/>
      <c r="BN87" s="348"/>
      <c r="BO87" s="348"/>
      <c r="BP87" s="348"/>
      <c r="BQ87" s="348"/>
      <c r="BR87" s="348"/>
      <c r="BS87" s="348"/>
    </row>
    <row r="88" spans="1:72">
      <c r="A88" s="212" t="s">
        <v>1505</v>
      </c>
      <c r="C88" s="187"/>
      <c r="D88" s="187"/>
      <c r="E88" s="350"/>
      <c r="G88" s="350"/>
      <c r="I88" s="350"/>
      <c r="K88" s="350"/>
      <c r="L88" s="350"/>
      <c r="M88" s="350"/>
      <c r="N88" s="350"/>
      <c r="O88" s="350"/>
      <c r="P88" s="350"/>
      <c r="Q88" s="350"/>
      <c r="R88" s="350"/>
      <c r="S88" s="350"/>
      <c r="T88" s="361"/>
      <c r="U88" s="350"/>
      <c r="V88" s="350"/>
      <c r="W88" s="350"/>
      <c r="X88" s="350"/>
      <c r="Y88" s="350"/>
      <c r="Z88" s="350"/>
      <c r="AA88" s="350"/>
      <c r="AB88" s="350"/>
      <c r="AC88" s="350"/>
      <c r="AD88" s="350"/>
      <c r="AE88" s="350"/>
      <c r="AF88" s="350"/>
      <c r="AG88" s="350"/>
      <c r="AH88" s="350"/>
      <c r="AI88" s="350"/>
      <c r="AJ88" s="350"/>
      <c r="AK88" s="350"/>
      <c r="AL88" s="350"/>
      <c r="AM88" s="350"/>
      <c r="AN88" s="350"/>
      <c r="AO88" s="350"/>
      <c r="AP88" s="350"/>
      <c r="AQ88" s="350"/>
      <c r="AR88" s="350"/>
      <c r="AS88" s="350"/>
      <c r="AT88" s="350"/>
      <c r="AU88" s="350"/>
      <c r="AV88" s="350"/>
      <c r="AW88" s="350"/>
      <c r="AX88" s="350"/>
      <c r="AY88" s="350"/>
      <c r="AZ88" s="350"/>
      <c r="BA88" s="350"/>
      <c r="BB88" s="350"/>
      <c r="BC88" s="350"/>
      <c r="BD88" s="350"/>
      <c r="BE88" s="350"/>
      <c r="BF88" s="350"/>
      <c r="BG88" s="350"/>
      <c r="BH88" s="350"/>
      <c r="BI88" s="350"/>
      <c r="BJ88" s="350"/>
      <c r="BK88" s="350"/>
      <c r="BL88" s="350"/>
      <c r="BM88" s="482"/>
      <c r="BN88" s="350"/>
      <c r="BO88" s="350"/>
      <c r="BP88" s="350"/>
      <c r="BQ88" s="350"/>
      <c r="BR88" s="350"/>
      <c r="BS88" s="350"/>
    </row>
    <row r="89" spans="1:72">
      <c r="A89" s="197"/>
      <c r="B89" s="197" t="s">
        <v>1024</v>
      </c>
      <c r="C89" s="187"/>
      <c r="D89" s="187"/>
      <c r="E89" s="347">
        <v>207977</v>
      </c>
      <c r="F89" s="347">
        <v>198001</v>
      </c>
      <c r="G89" s="347">
        <v>331302</v>
      </c>
      <c r="I89" s="347">
        <f>G89-E89</f>
        <v>123325</v>
      </c>
      <c r="K89" s="347">
        <v>0</v>
      </c>
      <c r="L89" s="347">
        <v>0</v>
      </c>
      <c r="M89" s="347">
        <v>0</v>
      </c>
      <c r="N89" s="347">
        <v>0</v>
      </c>
      <c r="O89" s="347">
        <v>0</v>
      </c>
      <c r="P89" s="347">
        <v>0</v>
      </c>
      <c r="Q89" s="347">
        <v>0</v>
      </c>
      <c r="R89" s="347">
        <v>0</v>
      </c>
      <c r="S89" s="347">
        <v>0</v>
      </c>
      <c r="T89" s="347">
        <v>0</v>
      </c>
      <c r="U89" s="347">
        <v>0</v>
      </c>
      <c r="V89" s="347">
        <v>0</v>
      </c>
      <c r="W89" s="347">
        <v>0</v>
      </c>
      <c r="X89" s="347">
        <v>0</v>
      </c>
      <c r="Y89" s="347">
        <v>0</v>
      </c>
      <c r="Z89" s="347">
        <v>0</v>
      </c>
      <c r="AA89" s="347">
        <v>0</v>
      </c>
      <c r="AB89" s="347"/>
      <c r="AC89" s="347">
        <v>0</v>
      </c>
      <c r="AD89" s="347"/>
      <c r="AE89" s="347">
        <v>0</v>
      </c>
      <c r="AF89" s="347"/>
      <c r="AG89" s="347">
        <v>0</v>
      </c>
      <c r="AH89" s="347"/>
      <c r="AI89" s="347">
        <v>12469</v>
      </c>
      <c r="AJ89" s="347"/>
      <c r="AK89" s="347">
        <f t="shared" si="18"/>
        <v>12469</v>
      </c>
      <c r="AL89" s="347"/>
      <c r="AM89" s="347"/>
      <c r="AN89" s="347"/>
      <c r="AO89" s="347">
        <v>132074</v>
      </c>
      <c r="AP89" s="347"/>
      <c r="AQ89" s="347">
        <f>224178-12469-132074</f>
        <v>79635</v>
      </c>
      <c r="AR89" s="347"/>
      <c r="AS89" s="347">
        <f>265223.29-224178</f>
        <v>41045.289999999979</v>
      </c>
      <c r="AT89" s="347"/>
      <c r="AU89" s="347">
        <f>299056.04-265223.29</f>
        <v>33832.75</v>
      </c>
      <c r="AV89" s="347"/>
      <c r="AW89" s="347">
        <f>316865.17-299056.04</f>
        <v>17809.130000000005</v>
      </c>
      <c r="AX89" s="347"/>
      <c r="AY89" s="347">
        <f>330442.68-316865.17</f>
        <v>13577.510000000009</v>
      </c>
      <c r="AZ89" s="347"/>
      <c r="BA89" s="347">
        <v>0</v>
      </c>
      <c r="BB89" s="347"/>
      <c r="BC89" s="347">
        <v>0</v>
      </c>
      <c r="BD89" s="347"/>
      <c r="BE89" s="347">
        <f>331063-330443</f>
        <v>620</v>
      </c>
      <c r="BF89" s="347"/>
      <c r="BG89" s="347">
        <f>331300-331063</f>
        <v>237</v>
      </c>
      <c r="BH89" s="347"/>
      <c r="BI89" s="347">
        <f>331300-331300</f>
        <v>0</v>
      </c>
      <c r="BJ89" s="347"/>
      <c r="BK89" s="347">
        <f>331300-331300</f>
        <v>0</v>
      </c>
      <c r="BL89" s="347"/>
      <c r="BM89" s="478">
        <f>SUM(AK89:BL89)</f>
        <v>331299.68</v>
      </c>
      <c r="BN89" s="347"/>
      <c r="BO89" s="199">
        <f>+MAX(0,G89-BM89+AM89)</f>
        <v>2.3200000000069849</v>
      </c>
      <c r="BP89" s="347"/>
      <c r="BQ89" s="199">
        <f>SUM(BM89:BO89)</f>
        <v>331302</v>
      </c>
      <c r="BR89" s="347"/>
      <c r="BS89" s="351">
        <f>E89-BQ89</f>
        <v>-123325</v>
      </c>
    </row>
    <row r="90" spans="1:72">
      <c r="A90" s="197"/>
      <c r="B90" s="212" t="s">
        <v>1509</v>
      </c>
      <c r="C90" s="187"/>
      <c r="D90" s="187"/>
      <c r="E90" s="349">
        <f>SUM(E89:E89)</f>
        <v>207977</v>
      </c>
      <c r="G90" s="349">
        <f>SUBTOTAL(9,G89:G89)</f>
        <v>331302</v>
      </c>
      <c r="I90" s="349">
        <f t="shared" ref="I90:AE90" si="29">SUM(I89:I89)</f>
        <v>123325</v>
      </c>
      <c r="J90" s="348">
        <f t="shared" si="29"/>
        <v>0</v>
      </c>
      <c r="K90" s="349">
        <f t="shared" si="29"/>
        <v>0</v>
      </c>
      <c r="L90" s="348">
        <f t="shared" si="29"/>
        <v>0</v>
      </c>
      <c r="M90" s="349">
        <f t="shared" si="29"/>
        <v>0</v>
      </c>
      <c r="N90" s="348">
        <f t="shared" si="29"/>
        <v>0</v>
      </c>
      <c r="O90" s="349">
        <f t="shared" si="29"/>
        <v>0</v>
      </c>
      <c r="P90" s="348">
        <f t="shared" si="29"/>
        <v>0</v>
      </c>
      <c r="Q90" s="349">
        <f t="shared" si="29"/>
        <v>0</v>
      </c>
      <c r="R90" s="348">
        <f t="shared" si="29"/>
        <v>0</v>
      </c>
      <c r="S90" s="349">
        <f t="shared" si="29"/>
        <v>0</v>
      </c>
      <c r="T90" s="348">
        <f t="shared" si="29"/>
        <v>0</v>
      </c>
      <c r="U90" s="349">
        <f t="shared" si="29"/>
        <v>0</v>
      </c>
      <c r="V90" s="348">
        <f t="shared" si="29"/>
        <v>0</v>
      </c>
      <c r="W90" s="349">
        <f t="shared" si="29"/>
        <v>0</v>
      </c>
      <c r="X90" s="348">
        <f t="shared" si="29"/>
        <v>0</v>
      </c>
      <c r="Y90" s="349">
        <f t="shared" si="29"/>
        <v>0</v>
      </c>
      <c r="Z90" s="348">
        <f t="shared" si="29"/>
        <v>0</v>
      </c>
      <c r="AA90" s="349">
        <f t="shared" si="29"/>
        <v>0</v>
      </c>
      <c r="AB90" s="348">
        <f t="shared" si="29"/>
        <v>0</v>
      </c>
      <c r="AC90" s="349">
        <f t="shared" si="29"/>
        <v>0</v>
      </c>
      <c r="AD90" s="348">
        <f t="shared" si="29"/>
        <v>0</v>
      </c>
      <c r="AE90" s="349">
        <f t="shared" si="29"/>
        <v>0</v>
      </c>
      <c r="AF90" s="348"/>
      <c r="AG90" s="349">
        <f>SUM(AG89:AG89)</f>
        <v>0</v>
      </c>
      <c r="AH90" s="348">
        <f>SUM(AH89:AH89)</f>
        <v>0</v>
      </c>
      <c r="AI90" s="349">
        <f>SUM(AI89:AI89)</f>
        <v>12469</v>
      </c>
      <c r="AJ90" s="348"/>
      <c r="AK90" s="349">
        <f>SUM(AK89:AK89)</f>
        <v>12469</v>
      </c>
      <c r="AL90" s="348">
        <f>SUM(AL89:AL89)</f>
        <v>0</v>
      </c>
      <c r="AM90" s="348">
        <f>SUM(AM89:AM89)</f>
        <v>0</v>
      </c>
      <c r="AN90" s="348">
        <f>SUM(AN89:AN89)</f>
        <v>0</v>
      </c>
      <c r="AO90" s="349">
        <f>SUM(AO89:AO89)</f>
        <v>132074</v>
      </c>
      <c r="AP90" s="348"/>
      <c r="AQ90" s="349">
        <f>SUM(AQ89:AQ89)</f>
        <v>79635</v>
      </c>
      <c r="AR90" s="348"/>
      <c r="AS90" s="349">
        <f>SUM(AS89:AS89)</f>
        <v>41045.289999999979</v>
      </c>
      <c r="AT90" s="348"/>
      <c r="AU90" s="349">
        <f>SUM(AU89:AU89)</f>
        <v>33832.75</v>
      </c>
      <c r="AV90" s="348"/>
      <c r="AW90" s="349">
        <f>SUM(AW89:AW89)</f>
        <v>17809.130000000005</v>
      </c>
      <c r="AX90" s="348"/>
      <c r="AY90" s="349">
        <f>SUM(AY89:AY89)</f>
        <v>13577.510000000009</v>
      </c>
      <c r="AZ90" s="348"/>
      <c r="BA90" s="349">
        <f>SUM(BA89:BA89)</f>
        <v>0</v>
      </c>
      <c r="BB90" s="348"/>
      <c r="BC90" s="349">
        <f>SUM(BC89:BC89)</f>
        <v>0</v>
      </c>
      <c r="BD90" s="348"/>
      <c r="BE90" s="349">
        <f>SUM(BE89:BE89)</f>
        <v>620</v>
      </c>
      <c r="BF90" s="348"/>
      <c r="BG90" s="349">
        <f>SUM(BG89:BG89)</f>
        <v>237</v>
      </c>
      <c r="BH90" s="348"/>
      <c r="BI90" s="349">
        <f>SUM(BI89:BI89)</f>
        <v>0</v>
      </c>
      <c r="BJ90" s="348"/>
      <c r="BK90" s="349">
        <f>SUM(BK89:BK89)</f>
        <v>0</v>
      </c>
      <c r="BL90" s="348"/>
      <c r="BM90" s="483">
        <f>SUM(BM89:BM89)</f>
        <v>331299.68</v>
      </c>
      <c r="BN90" s="348"/>
      <c r="BO90" s="349">
        <f t="shared" ref="BO90:BT90" si="30">SUM(BO89:BO89)</f>
        <v>2.3200000000069849</v>
      </c>
      <c r="BP90" s="348">
        <f t="shared" si="30"/>
        <v>0</v>
      </c>
      <c r="BQ90" s="349">
        <f t="shared" si="30"/>
        <v>331302</v>
      </c>
      <c r="BR90" s="348">
        <f t="shared" si="30"/>
        <v>0</v>
      </c>
      <c r="BS90" s="349">
        <f t="shared" si="30"/>
        <v>-123325</v>
      </c>
      <c r="BT90" s="348">
        <f t="shared" si="30"/>
        <v>0</v>
      </c>
    </row>
    <row r="91" spans="1:72">
      <c r="A91" s="197"/>
      <c r="B91" s="197"/>
      <c r="C91" s="187"/>
      <c r="D91" s="187"/>
      <c r="E91" s="347"/>
      <c r="G91" s="347"/>
      <c r="I91" s="347"/>
      <c r="K91" s="347"/>
      <c r="L91" s="347"/>
      <c r="M91" s="347"/>
      <c r="N91" s="347"/>
      <c r="O91" s="347"/>
      <c r="P91" s="347"/>
      <c r="Q91" s="347"/>
      <c r="R91" s="347"/>
      <c r="S91" s="347"/>
      <c r="T91" s="359"/>
      <c r="U91" s="347"/>
      <c r="V91" s="347"/>
      <c r="W91" s="347"/>
      <c r="X91" s="347"/>
      <c r="Y91" s="347"/>
      <c r="Z91" s="347"/>
      <c r="AA91" s="347"/>
      <c r="AB91" s="347"/>
      <c r="AC91" s="347"/>
      <c r="AD91" s="347"/>
      <c r="AE91" s="347"/>
      <c r="AF91" s="347"/>
      <c r="AG91" s="347"/>
      <c r="AH91" s="347"/>
      <c r="AI91" s="347"/>
      <c r="AJ91" s="347"/>
      <c r="AK91" s="347"/>
      <c r="AL91" s="347"/>
      <c r="AM91" s="347"/>
      <c r="AN91" s="347"/>
      <c r="AO91" s="347"/>
      <c r="AP91" s="347"/>
      <c r="AQ91" s="347"/>
      <c r="AR91" s="347"/>
      <c r="AS91" s="347"/>
      <c r="AT91" s="347"/>
      <c r="AU91" s="347"/>
      <c r="AV91" s="347"/>
      <c r="AW91" s="347"/>
      <c r="AX91" s="347"/>
      <c r="AY91" s="347"/>
      <c r="AZ91" s="347"/>
      <c r="BA91" s="347"/>
      <c r="BB91" s="347"/>
      <c r="BC91" s="347"/>
      <c r="BD91" s="347"/>
      <c r="BE91" s="347"/>
      <c r="BF91" s="347"/>
      <c r="BG91" s="347"/>
      <c r="BH91" s="347"/>
      <c r="BI91" s="347"/>
      <c r="BJ91" s="347"/>
      <c r="BK91" s="347"/>
      <c r="BL91" s="347"/>
      <c r="BM91" s="484"/>
      <c r="BN91" s="347"/>
      <c r="BO91" s="347"/>
      <c r="BP91" s="347"/>
      <c r="BQ91" s="347"/>
      <c r="BR91" s="347"/>
      <c r="BS91" s="351"/>
    </row>
    <row r="92" spans="1:72">
      <c r="A92" s="340" t="s">
        <v>1487</v>
      </c>
      <c r="C92" s="187"/>
      <c r="D92" s="187"/>
      <c r="E92" s="350"/>
      <c r="G92" s="350"/>
      <c r="I92" s="350"/>
      <c r="K92" s="350"/>
      <c r="L92" s="350"/>
      <c r="M92" s="350"/>
      <c r="N92" s="350"/>
      <c r="O92" s="350"/>
      <c r="P92" s="350"/>
      <c r="Q92" s="350"/>
      <c r="R92" s="350"/>
      <c r="S92" s="350"/>
      <c r="T92" s="361"/>
      <c r="U92" s="350"/>
      <c r="V92" s="350"/>
      <c r="W92" s="350"/>
      <c r="X92" s="350"/>
      <c r="Y92" s="350"/>
      <c r="Z92" s="350"/>
      <c r="AA92" s="350"/>
      <c r="AB92" s="350"/>
      <c r="AC92" s="350"/>
      <c r="AD92" s="350"/>
      <c r="AE92" s="350"/>
      <c r="AF92" s="350"/>
      <c r="AG92" s="350"/>
      <c r="AH92" s="350"/>
      <c r="AI92" s="350"/>
      <c r="AJ92" s="350"/>
      <c r="AK92" s="350"/>
      <c r="AL92" s="350"/>
      <c r="AM92" s="350"/>
      <c r="AN92" s="350"/>
      <c r="AO92" s="350"/>
      <c r="AP92" s="350"/>
      <c r="AQ92" s="350"/>
      <c r="AR92" s="350"/>
      <c r="AS92" s="350"/>
      <c r="AT92" s="350"/>
      <c r="AU92" s="350"/>
      <c r="AV92" s="350"/>
      <c r="AW92" s="350"/>
      <c r="AX92" s="350"/>
      <c r="AY92" s="350"/>
      <c r="AZ92" s="350"/>
      <c r="BA92" s="350"/>
      <c r="BB92" s="350"/>
      <c r="BC92" s="350"/>
      <c r="BD92" s="350"/>
      <c r="BE92" s="350"/>
      <c r="BF92" s="350"/>
      <c r="BG92" s="350"/>
      <c r="BH92" s="350"/>
      <c r="BI92" s="350"/>
      <c r="BJ92" s="350"/>
      <c r="BK92" s="350"/>
      <c r="BL92" s="350"/>
      <c r="BM92" s="482"/>
      <c r="BN92" s="350"/>
      <c r="BO92" s="350"/>
      <c r="BP92" s="350"/>
      <c r="BQ92" s="350"/>
      <c r="BR92" s="350"/>
      <c r="BS92" s="350"/>
    </row>
    <row r="93" spans="1:72">
      <c r="A93" s="197"/>
      <c r="B93" s="197" t="s">
        <v>1025</v>
      </c>
      <c r="C93" s="187"/>
      <c r="D93" s="187"/>
      <c r="E93" s="351">
        <v>226450</v>
      </c>
      <c r="F93" s="351">
        <v>226404</v>
      </c>
      <c r="G93" s="351">
        <v>330499</v>
      </c>
      <c r="I93" s="351">
        <f>G93-E93</f>
        <v>104049</v>
      </c>
      <c r="K93" s="351">
        <v>0</v>
      </c>
      <c r="L93" s="351">
        <v>0</v>
      </c>
      <c r="M93" s="351">
        <v>0</v>
      </c>
      <c r="N93" s="351">
        <v>0</v>
      </c>
      <c r="O93" s="351">
        <v>0</v>
      </c>
      <c r="P93" s="351">
        <v>0</v>
      </c>
      <c r="Q93" s="351">
        <v>0</v>
      </c>
      <c r="R93" s="351">
        <v>0</v>
      </c>
      <c r="S93" s="351">
        <v>0</v>
      </c>
      <c r="T93" s="351">
        <v>0</v>
      </c>
      <c r="U93" s="351">
        <v>0</v>
      </c>
      <c r="V93" s="351">
        <v>0</v>
      </c>
      <c r="W93" s="351">
        <v>0</v>
      </c>
      <c r="X93" s="351">
        <v>0</v>
      </c>
      <c r="Y93" s="351">
        <v>0</v>
      </c>
      <c r="Z93" s="351">
        <v>0</v>
      </c>
      <c r="AA93" s="351">
        <v>0</v>
      </c>
      <c r="AB93" s="351"/>
      <c r="AC93" s="351">
        <v>0</v>
      </c>
      <c r="AD93" s="351"/>
      <c r="AE93" s="351">
        <v>0</v>
      </c>
      <c r="AF93" s="351"/>
      <c r="AG93" s="347">
        <v>0</v>
      </c>
      <c r="AH93" s="351"/>
      <c r="AI93" s="351">
        <v>6680</v>
      </c>
      <c r="AJ93" s="351"/>
      <c r="AK93" s="347">
        <f t="shared" si="18"/>
        <v>6680</v>
      </c>
      <c r="AL93" s="351"/>
      <c r="AM93" s="351"/>
      <c r="AN93" s="351"/>
      <c r="AO93" s="351">
        <v>99113</v>
      </c>
      <c r="AP93" s="351"/>
      <c r="AQ93" s="351">
        <f>255157-6680-99113</f>
        <v>149364</v>
      </c>
      <c r="AR93" s="351"/>
      <c r="AS93" s="351">
        <f>290790.75-255157</f>
        <v>35633.75</v>
      </c>
      <c r="AT93" s="351"/>
      <c r="AU93" s="351">
        <f>321166.06-290790.75</f>
        <v>30375.309999999998</v>
      </c>
      <c r="AV93" s="351"/>
      <c r="AW93" s="351">
        <f>326568.58-321166.06</f>
        <v>5402.5200000000186</v>
      </c>
      <c r="AX93" s="351"/>
      <c r="AY93" s="351">
        <f>327542.23-326568.58</f>
        <v>973.64999999996508</v>
      </c>
      <c r="AZ93" s="351"/>
      <c r="BA93" s="351">
        <v>0</v>
      </c>
      <c r="BB93" s="351"/>
      <c r="BC93" s="351">
        <v>0</v>
      </c>
      <c r="BD93" s="351"/>
      <c r="BE93" s="351">
        <f>330486-327542</f>
        <v>2944</v>
      </c>
      <c r="BF93" s="351"/>
      <c r="BG93" s="351">
        <v>0</v>
      </c>
      <c r="BH93" s="351"/>
      <c r="BI93" s="351">
        <f>330486-330486</f>
        <v>0</v>
      </c>
      <c r="BJ93" s="351"/>
      <c r="BK93" s="351">
        <f>330486-330486</f>
        <v>0</v>
      </c>
      <c r="BL93" s="351"/>
      <c r="BM93" s="478">
        <f>SUM(AK93:BL93)</f>
        <v>330486.23</v>
      </c>
      <c r="BN93" s="351"/>
      <c r="BO93" s="199">
        <f>+MAX(0,G93-BM93+AM93)</f>
        <v>12.770000000018626</v>
      </c>
      <c r="BP93" s="347"/>
      <c r="BQ93" s="199">
        <f>SUM(BM93:BO93)</f>
        <v>330499</v>
      </c>
      <c r="BR93" s="347"/>
      <c r="BS93" s="351">
        <f>E93-BQ93</f>
        <v>-104049</v>
      </c>
    </row>
    <row r="94" spans="1:72">
      <c r="A94" s="197"/>
      <c r="B94" s="212" t="s">
        <v>1510</v>
      </c>
      <c r="C94" s="187"/>
      <c r="D94" s="187"/>
      <c r="E94" s="349">
        <f>SUM(E92:E93)</f>
        <v>226450</v>
      </c>
      <c r="G94" s="349">
        <f>SUBTOTAL(9,G93:G93)</f>
        <v>330499</v>
      </c>
      <c r="I94" s="349">
        <f t="shared" ref="I94:AE94" si="31">SUM(I93:I93)</f>
        <v>104049</v>
      </c>
      <c r="J94" s="348">
        <f t="shared" si="31"/>
        <v>0</v>
      </c>
      <c r="K94" s="349">
        <f t="shared" si="31"/>
        <v>0</v>
      </c>
      <c r="L94" s="348">
        <f t="shared" si="31"/>
        <v>0</v>
      </c>
      <c r="M94" s="349">
        <f t="shared" si="31"/>
        <v>0</v>
      </c>
      <c r="N94" s="348">
        <f t="shared" si="31"/>
        <v>0</v>
      </c>
      <c r="O94" s="349">
        <f t="shared" si="31"/>
        <v>0</v>
      </c>
      <c r="P94" s="348">
        <f t="shared" si="31"/>
        <v>0</v>
      </c>
      <c r="Q94" s="349">
        <f t="shared" si="31"/>
        <v>0</v>
      </c>
      <c r="R94" s="348">
        <f t="shared" si="31"/>
        <v>0</v>
      </c>
      <c r="S94" s="349">
        <f t="shared" si="31"/>
        <v>0</v>
      </c>
      <c r="T94" s="348">
        <f t="shared" si="31"/>
        <v>0</v>
      </c>
      <c r="U94" s="349">
        <f t="shared" si="31"/>
        <v>0</v>
      </c>
      <c r="V94" s="348">
        <f t="shared" si="31"/>
        <v>0</v>
      </c>
      <c r="W94" s="349">
        <f t="shared" si="31"/>
        <v>0</v>
      </c>
      <c r="X94" s="348">
        <f t="shared" si="31"/>
        <v>0</v>
      </c>
      <c r="Y94" s="349">
        <f t="shared" si="31"/>
        <v>0</v>
      </c>
      <c r="Z94" s="348">
        <f t="shared" si="31"/>
        <v>0</v>
      </c>
      <c r="AA94" s="349">
        <f t="shared" si="31"/>
        <v>0</v>
      </c>
      <c r="AB94" s="348">
        <f t="shared" si="31"/>
        <v>0</v>
      </c>
      <c r="AC94" s="349">
        <f t="shared" si="31"/>
        <v>0</v>
      </c>
      <c r="AD94" s="348">
        <f t="shared" si="31"/>
        <v>0</v>
      </c>
      <c r="AE94" s="349">
        <f t="shared" si="31"/>
        <v>0</v>
      </c>
      <c r="AF94" s="348"/>
      <c r="AG94" s="349">
        <f>SUM(AG93:AG93)</f>
        <v>0</v>
      </c>
      <c r="AH94" s="348">
        <f>SUM(AH93:AH93)</f>
        <v>0</v>
      </c>
      <c r="AI94" s="349">
        <f>SUM(AI93:AI93)</f>
        <v>6680</v>
      </c>
      <c r="AJ94" s="348"/>
      <c r="AK94" s="349">
        <f>SUM(AK93:AK93)</f>
        <v>6680</v>
      </c>
      <c r="AL94" s="348">
        <f>SUM(AL93:AL93)</f>
        <v>0</v>
      </c>
      <c r="AM94" s="348">
        <f>SUM(AM93:AM93)</f>
        <v>0</v>
      </c>
      <c r="AN94" s="348">
        <f>SUM(AN93:AN93)</f>
        <v>0</v>
      </c>
      <c r="AO94" s="349">
        <f>SUM(AO93:AO93)</f>
        <v>99113</v>
      </c>
      <c r="AP94" s="348"/>
      <c r="AQ94" s="349">
        <f>SUM(AQ93:AQ93)</f>
        <v>149364</v>
      </c>
      <c r="AR94" s="348"/>
      <c r="AS94" s="349">
        <f>SUM(AS93:AS93)</f>
        <v>35633.75</v>
      </c>
      <c r="AT94" s="348"/>
      <c r="AU94" s="349">
        <f>SUM(AU93:AU93)</f>
        <v>30375.309999999998</v>
      </c>
      <c r="AV94" s="348"/>
      <c r="AW94" s="349">
        <f>SUM(AW93:AW93)</f>
        <v>5402.5200000000186</v>
      </c>
      <c r="AX94" s="348"/>
      <c r="AY94" s="349">
        <f>SUM(AY93:AY93)</f>
        <v>973.64999999996508</v>
      </c>
      <c r="AZ94" s="348"/>
      <c r="BA94" s="349">
        <f>SUM(BA93:BA93)</f>
        <v>0</v>
      </c>
      <c r="BB94" s="348"/>
      <c r="BC94" s="349">
        <f>SUM(BC93:BC93)</f>
        <v>0</v>
      </c>
      <c r="BD94" s="348"/>
      <c r="BE94" s="349">
        <f>SUM(BE93:BE93)</f>
        <v>2944</v>
      </c>
      <c r="BF94" s="348"/>
      <c r="BG94" s="349">
        <f>SUM(BG93:BG93)</f>
        <v>0</v>
      </c>
      <c r="BH94" s="348"/>
      <c r="BI94" s="349">
        <f>SUM(BI93:BI93)</f>
        <v>0</v>
      </c>
      <c r="BJ94" s="348"/>
      <c r="BK94" s="349">
        <f>SUM(BK93:BK93)</f>
        <v>0</v>
      </c>
      <c r="BL94" s="348"/>
      <c r="BM94" s="483">
        <f>SUM(BM93:BM93)</f>
        <v>330486.23</v>
      </c>
      <c r="BN94" s="348"/>
      <c r="BO94" s="349">
        <f t="shared" ref="BO94:BT94" si="32">SUM(BO93:BO93)</f>
        <v>12.770000000018626</v>
      </c>
      <c r="BP94" s="348">
        <f t="shared" si="32"/>
        <v>0</v>
      </c>
      <c r="BQ94" s="349">
        <f t="shared" si="32"/>
        <v>330499</v>
      </c>
      <c r="BR94" s="348">
        <f t="shared" si="32"/>
        <v>0</v>
      </c>
      <c r="BS94" s="349">
        <f t="shared" si="32"/>
        <v>-104049</v>
      </c>
      <c r="BT94" s="348">
        <f t="shared" si="32"/>
        <v>0</v>
      </c>
    </row>
    <row r="95" spans="1:72">
      <c r="A95" s="197"/>
      <c r="B95" s="197"/>
      <c r="C95" s="187"/>
      <c r="D95" s="187"/>
      <c r="E95" s="347"/>
      <c r="G95" s="347"/>
      <c r="I95" s="347"/>
      <c r="K95" s="347"/>
      <c r="L95" s="347"/>
      <c r="M95" s="347"/>
      <c r="N95" s="347"/>
      <c r="O95" s="347"/>
      <c r="P95" s="347"/>
      <c r="Q95" s="347"/>
      <c r="R95" s="347"/>
      <c r="S95" s="347"/>
      <c r="T95" s="359"/>
      <c r="U95" s="347"/>
      <c r="V95" s="347"/>
      <c r="W95" s="347"/>
      <c r="X95" s="347"/>
      <c r="Y95" s="347"/>
      <c r="Z95" s="347"/>
      <c r="AA95" s="347"/>
      <c r="AB95" s="347"/>
      <c r="AC95" s="347"/>
      <c r="AD95" s="347"/>
      <c r="AE95" s="347"/>
      <c r="AF95" s="347"/>
      <c r="AG95" s="347"/>
      <c r="AH95" s="347"/>
      <c r="AI95" s="347"/>
      <c r="AJ95" s="347"/>
      <c r="AK95" s="347"/>
      <c r="AL95" s="347"/>
      <c r="AM95" s="347"/>
      <c r="AN95" s="347"/>
      <c r="AO95" s="347"/>
      <c r="AP95" s="347"/>
      <c r="AQ95" s="347"/>
      <c r="AR95" s="347"/>
      <c r="AS95" s="347"/>
      <c r="AT95" s="347"/>
      <c r="AU95" s="347"/>
      <c r="AV95" s="347"/>
      <c r="AW95" s="347"/>
      <c r="AX95" s="347"/>
      <c r="AY95" s="347"/>
      <c r="AZ95" s="347"/>
      <c r="BA95" s="347"/>
      <c r="BB95" s="347"/>
      <c r="BC95" s="347"/>
      <c r="BD95" s="347"/>
      <c r="BE95" s="347"/>
      <c r="BF95" s="347"/>
      <c r="BG95" s="347"/>
      <c r="BH95" s="347"/>
      <c r="BI95" s="347"/>
      <c r="BJ95" s="347"/>
      <c r="BK95" s="347"/>
      <c r="BL95" s="347"/>
      <c r="BM95" s="484"/>
      <c r="BN95" s="347"/>
      <c r="BO95" s="347"/>
      <c r="BP95" s="347"/>
      <c r="BQ95" s="347"/>
      <c r="BR95" s="347"/>
      <c r="BS95" s="351"/>
    </row>
    <row r="96" spans="1:72">
      <c r="A96" s="340" t="s">
        <v>1488</v>
      </c>
      <c r="C96" s="187"/>
      <c r="D96" s="187"/>
      <c r="E96" s="350"/>
      <c r="G96" s="350"/>
      <c r="I96" s="350"/>
      <c r="K96" s="350"/>
      <c r="L96" s="350"/>
      <c r="M96" s="350"/>
      <c r="N96" s="350"/>
      <c r="O96" s="350"/>
      <c r="P96" s="350"/>
      <c r="Q96" s="350"/>
      <c r="R96" s="350"/>
      <c r="S96" s="350"/>
      <c r="T96" s="361"/>
      <c r="U96" s="350"/>
      <c r="V96" s="350"/>
      <c r="W96" s="350"/>
      <c r="X96" s="350"/>
      <c r="Y96" s="350"/>
      <c r="Z96" s="350"/>
      <c r="AA96" s="350"/>
      <c r="AB96" s="350"/>
      <c r="AC96" s="350"/>
      <c r="AD96" s="350"/>
      <c r="AE96" s="350"/>
      <c r="AF96" s="350"/>
      <c r="AG96" s="350"/>
      <c r="AH96" s="350"/>
      <c r="AI96" s="350"/>
      <c r="AJ96" s="350"/>
      <c r="AK96" s="350"/>
      <c r="AL96" s="350"/>
      <c r="AM96" s="350"/>
      <c r="AN96" s="350"/>
      <c r="AO96" s="350"/>
      <c r="AP96" s="350"/>
      <c r="AQ96" s="350"/>
      <c r="AR96" s="350"/>
      <c r="AS96" s="350"/>
      <c r="AT96" s="350"/>
      <c r="AU96" s="350"/>
      <c r="AV96" s="350"/>
      <c r="AW96" s="350"/>
      <c r="AX96" s="350"/>
      <c r="AY96" s="350"/>
      <c r="AZ96" s="350"/>
      <c r="BA96" s="350"/>
      <c r="BB96" s="350"/>
      <c r="BC96" s="350"/>
      <c r="BD96" s="350"/>
      <c r="BE96" s="350"/>
      <c r="BF96" s="350"/>
      <c r="BG96" s="350"/>
      <c r="BH96" s="350"/>
      <c r="BI96" s="350"/>
      <c r="BJ96" s="350"/>
      <c r="BK96" s="350"/>
      <c r="BL96" s="350"/>
      <c r="BM96" s="482"/>
      <c r="BN96" s="350"/>
      <c r="BO96" s="350"/>
      <c r="BP96" s="350"/>
      <c r="BQ96" s="350"/>
      <c r="BR96" s="350"/>
      <c r="BS96" s="350"/>
    </row>
    <row r="97" spans="1:72">
      <c r="A97" s="197"/>
      <c r="B97" s="197" t="s">
        <v>1488</v>
      </c>
      <c r="C97" s="187"/>
      <c r="D97" s="187"/>
      <c r="E97" s="351">
        <v>616280</v>
      </c>
      <c r="F97" s="351">
        <v>616436</v>
      </c>
      <c r="G97" s="351">
        <v>730459</v>
      </c>
      <c r="I97" s="351">
        <f>G97-E97</f>
        <v>114179</v>
      </c>
      <c r="K97" s="351">
        <v>0</v>
      </c>
      <c r="L97" s="351">
        <v>0</v>
      </c>
      <c r="M97" s="351">
        <v>0</v>
      </c>
      <c r="N97" s="351">
        <v>0</v>
      </c>
      <c r="O97" s="351">
        <v>0</v>
      </c>
      <c r="P97" s="351">
        <v>0</v>
      </c>
      <c r="Q97" s="351">
        <v>0</v>
      </c>
      <c r="R97" s="351">
        <v>0</v>
      </c>
      <c r="S97" s="351">
        <v>0</v>
      </c>
      <c r="T97" s="351">
        <v>0</v>
      </c>
      <c r="U97" s="351">
        <v>0</v>
      </c>
      <c r="V97" s="351">
        <v>0</v>
      </c>
      <c r="W97" s="351">
        <v>0</v>
      </c>
      <c r="X97" s="351">
        <v>0</v>
      </c>
      <c r="Y97" s="351">
        <v>0</v>
      </c>
      <c r="Z97" s="351">
        <v>0</v>
      </c>
      <c r="AA97" s="351">
        <v>0</v>
      </c>
      <c r="AB97" s="351"/>
      <c r="AC97" s="351">
        <v>0</v>
      </c>
      <c r="AD97" s="351"/>
      <c r="AE97" s="351">
        <v>0</v>
      </c>
      <c r="AF97" s="351"/>
      <c r="AG97" s="347">
        <v>0</v>
      </c>
      <c r="AH97" s="351"/>
      <c r="AI97" s="351">
        <v>34133</v>
      </c>
      <c r="AJ97" s="351"/>
      <c r="AK97" s="347">
        <f t="shared" si="18"/>
        <v>34133</v>
      </c>
      <c r="AL97" s="351"/>
      <c r="AM97" s="351"/>
      <c r="AN97" s="351"/>
      <c r="AO97" s="351">
        <v>317556</v>
      </c>
      <c r="AP97" s="351"/>
      <c r="AQ97" s="351">
        <f>512965-34133-317556</f>
        <v>161276</v>
      </c>
      <c r="AR97" s="351"/>
      <c r="AS97" s="351">
        <f>564539.93-512965</f>
        <v>51574.930000000051</v>
      </c>
      <c r="AT97" s="351"/>
      <c r="AU97" s="351">
        <f>611335.3-564539.93</f>
        <v>46795.369999999995</v>
      </c>
      <c r="AV97" s="351"/>
      <c r="AW97" s="351">
        <f>682859.03-611335.3</f>
        <v>71523.729999999981</v>
      </c>
      <c r="AX97" s="351"/>
      <c r="AY97" s="351">
        <f>718557.7-682859.03</f>
        <v>35698.669999999925</v>
      </c>
      <c r="AZ97" s="351"/>
      <c r="BA97" s="351">
        <v>0</v>
      </c>
      <c r="BB97" s="351"/>
      <c r="BC97" s="351">
        <v>0</v>
      </c>
      <c r="BD97" s="351"/>
      <c r="BE97" s="351">
        <f>730430-718558</f>
        <v>11872</v>
      </c>
      <c r="BF97" s="351"/>
      <c r="BG97" s="351">
        <v>0</v>
      </c>
      <c r="BH97" s="351"/>
      <c r="BI97" s="351">
        <f>730430-730430</f>
        <v>0</v>
      </c>
      <c r="BJ97" s="351"/>
      <c r="BK97" s="351">
        <f>730430-730430</f>
        <v>0</v>
      </c>
      <c r="BL97" s="351"/>
      <c r="BM97" s="478">
        <f>SUM(AK97:BL97)</f>
        <v>730429.7</v>
      </c>
      <c r="BN97" s="351"/>
      <c r="BO97" s="199">
        <f>+MAX(0,G97-BM97+AM97)</f>
        <v>29.300000000046566</v>
      </c>
      <c r="BP97" s="347"/>
      <c r="BQ97" s="199">
        <f>SUM(BM97:BO97)</f>
        <v>730459</v>
      </c>
      <c r="BR97" s="347"/>
      <c r="BS97" s="351">
        <f>E97-BQ97</f>
        <v>-114179</v>
      </c>
    </row>
    <row r="98" spans="1:72">
      <c r="A98" s="197"/>
      <c r="B98" s="212" t="s">
        <v>1511</v>
      </c>
      <c r="C98" s="187"/>
      <c r="D98" s="187"/>
      <c r="E98" s="349">
        <f>SUM(E97:E97)</f>
        <v>616280</v>
      </c>
      <c r="G98" s="349">
        <f>SUBTOTAL(9,G97:G97)</f>
        <v>730459</v>
      </c>
      <c r="I98" s="349">
        <f t="shared" ref="I98:AE98" si="33">SUM(I97:I97)</f>
        <v>114179</v>
      </c>
      <c r="J98" s="348">
        <f t="shared" si="33"/>
        <v>0</v>
      </c>
      <c r="K98" s="349">
        <f t="shared" si="33"/>
        <v>0</v>
      </c>
      <c r="L98" s="348">
        <f t="shared" si="33"/>
        <v>0</v>
      </c>
      <c r="M98" s="349">
        <f t="shared" si="33"/>
        <v>0</v>
      </c>
      <c r="N98" s="348">
        <f t="shared" si="33"/>
        <v>0</v>
      </c>
      <c r="O98" s="349">
        <f t="shared" si="33"/>
        <v>0</v>
      </c>
      <c r="P98" s="348">
        <f t="shared" si="33"/>
        <v>0</v>
      </c>
      <c r="Q98" s="349">
        <f t="shared" si="33"/>
        <v>0</v>
      </c>
      <c r="R98" s="348">
        <f t="shared" si="33"/>
        <v>0</v>
      </c>
      <c r="S98" s="349">
        <f t="shared" si="33"/>
        <v>0</v>
      </c>
      <c r="T98" s="348">
        <f t="shared" si="33"/>
        <v>0</v>
      </c>
      <c r="U98" s="349">
        <f t="shared" si="33"/>
        <v>0</v>
      </c>
      <c r="V98" s="348">
        <f t="shared" si="33"/>
        <v>0</v>
      </c>
      <c r="W98" s="349">
        <f t="shared" si="33"/>
        <v>0</v>
      </c>
      <c r="X98" s="348">
        <f t="shared" si="33"/>
        <v>0</v>
      </c>
      <c r="Y98" s="349">
        <f t="shared" si="33"/>
        <v>0</v>
      </c>
      <c r="Z98" s="348">
        <f t="shared" si="33"/>
        <v>0</v>
      </c>
      <c r="AA98" s="349">
        <f t="shared" si="33"/>
        <v>0</v>
      </c>
      <c r="AB98" s="348">
        <f t="shared" si="33"/>
        <v>0</v>
      </c>
      <c r="AC98" s="349">
        <f t="shared" si="33"/>
        <v>0</v>
      </c>
      <c r="AD98" s="348">
        <f t="shared" si="33"/>
        <v>0</v>
      </c>
      <c r="AE98" s="349">
        <f t="shared" si="33"/>
        <v>0</v>
      </c>
      <c r="AF98" s="348"/>
      <c r="AG98" s="349">
        <f>SUM(AG97:AG97)</f>
        <v>0</v>
      </c>
      <c r="AH98" s="348">
        <f>SUM(AH97:AH97)</f>
        <v>0</v>
      </c>
      <c r="AI98" s="349">
        <f>SUM(AI97:AI97)</f>
        <v>34133</v>
      </c>
      <c r="AJ98" s="348"/>
      <c r="AK98" s="349">
        <f>SUM(AK97:AK97)</f>
        <v>34133</v>
      </c>
      <c r="AL98" s="348">
        <f>SUM(AL97:AL97)</f>
        <v>0</v>
      </c>
      <c r="AM98" s="348">
        <f>SUM(AM97:AM97)</f>
        <v>0</v>
      </c>
      <c r="AN98" s="348">
        <f>SUM(AN97:AN97)</f>
        <v>0</v>
      </c>
      <c r="AO98" s="349">
        <f>SUM(AO97:AO97)</f>
        <v>317556</v>
      </c>
      <c r="AP98" s="348"/>
      <c r="AQ98" s="349">
        <f>SUM(AQ97:AQ97)</f>
        <v>161276</v>
      </c>
      <c r="AR98" s="348"/>
      <c r="AS98" s="349">
        <f>SUM(AS97:AS97)</f>
        <v>51574.930000000051</v>
      </c>
      <c r="AT98" s="348"/>
      <c r="AU98" s="349">
        <f>SUM(AU97:AU97)</f>
        <v>46795.369999999995</v>
      </c>
      <c r="AV98" s="348"/>
      <c r="AW98" s="349">
        <f>SUM(AW97:AW97)</f>
        <v>71523.729999999981</v>
      </c>
      <c r="AX98" s="348"/>
      <c r="AY98" s="349">
        <f>SUM(AY97:AY97)</f>
        <v>35698.669999999925</v>
      </c>
      <c r="AZ98" s="348"/>
      <c r="BA98" s="349">
        <f>SUM(BA97:BA97)</f>
        <v>0</v>
      </c>
      <c r="BB98" s="348"/>
      <c r="BC98" s="349">
        <f>SUM(BC97:BC97)</f>
        <v>0</v>
      </c>
      <c r="BD98" s="348"/>
      <c r="BE98" s="349">
        <f>SUM(BE97:BE97)</f>
        <v>11872</v>
      </c>
      <c r="BF98" s="348"/>
      <c r="BG98" s="349">
        <f>SUM(BG97:BG97)</f>
        <v>0</v>
      </c>
      <c r="BH98" s="348"/>
      <c r="BI98" s="349">
        <f>SUM(BI97:BI97)</f>
        <v>0</v>
      </c>
      <c r="BJ98" s="348"/>
      <c r="BK98" s="349">
        <f>SUM(BK97:BK97)</f>
        <v>0</v>
      </c>
      <c r="BL98" s="348"/>
      <c r="BM98" s="483">
        <f>SUM(BM97:BM97)</f>
        <v>730429.7</v>
      </c>
      <c r="BN98" s="348"/>
      <c r="BO98" s="349">
        <f t="shared" ref="BO98:BT98" si="34">SUM(BO97:BO97)</f>
        <v>29.300000000046566</v>
      </c>
      <c r="BP98" s="348">
        <f t="shared" si="34"/>
        <v>0</v>
      </c>
      <c r="BQ98" s="349">
        <f t="shared" si="34"/>
        <v>730459</v>
      </c>
      <c r="BR98" s="348">
        <f t="shared" si="34"/>
        <v>0</v>
      </c>
      <c r="BS98" s="349">
        <f t="shared" si="34"/>
        <v>-114179</v>
      </c>
      <c r="BT98" s="348">
        <f t="shared" si="34"/>
        <v>0</v>
      </c>
    </row>
    <row r="99" spans="1:72">
      <c r="A99" s="197"/>
      <c r="B99" s="197"/>
      <c r="C99" s="187"/>
      <c r="D99" s="187"/>
      <c r="E99" s="347"/>
      <c r="G99" s="347"/>
      <c r="I99" s="347"/>
      <c r="K99" s="347"/>
      <c r="L99" s="347"/>
      <c r="M99" s="347"/>
      <c r="N99" s="347"/>
      <c r="O99" s="347"/>
      <c r="P99" s="347"/>
      <c r="Q99" s="347"/>
      <c r="R99" s="347"/>
      <c r="S99" s="347"/>
      <c r="T99" s="359"/>
      <c r="U99" s="347"/>
      <c r="V99" s="347"/>
      <c r="W99" s="347"/>
      <c r="X99" s="347"/>
      <c r="Y99" s="347"/>
      <c r="Z99" s="347"/>
      <c r="AA99" s="347"/>
      <c r="AB99" s="347"/>
      <c r="AC99" s="347"/>
      <c r="AD99" s="347"/>
      <c r="AE99" s="347"/>
      <c r="AF99" s="347"/>
      <c r="AG99" s="347"/>
      <c r="AH99" s="347"/>
      <c r="AI99" s="347"/>
      <c r="AJ99" s="347"/>
      <c r="AK99" s="347"/>
      <c r="AL99" s="347"/>
      <c r="AM99" s="347"/>
      <c r="AN99" s="347"/>
      <c r="AO99" s="347"/>
      <c r="AP99" s="347"/>
      <c r="AQ99" s="347"/>
      <c r="AR99" s="347"/>
      <c r="AS99" s="347"/>
      <c r="AT99" s="347"/>
      <c r="AU99" s="347"/>
      <c r="AV99" s="347"/>
      <c r="AW99" s="347"/>
      <c r="AX99" s="347"/>
      <c r="AY99" s="347"/>
      <c r="AZ99" s="347"/>
      <c r="BA99" s="347"/>
      <c r="BB99" s="347"/>
      <c r="BC99" s="347"/>
      <c r="BD99" s="347"/>
      <c r="BE99" s="347"/>
      <c r="BF99" s="347"/>
      <c r="BG99" s="347"/>
      <c r="BH99" s="347"/>
      <c r="BI99" s="347"/>
      <c r="BJ99" s="347"/>
      <c r="BK99" s="347"/>
      <c r="BL99" s="347"/>
      <c r="BM99" s="484"/>
      <c r="BN99" s="347"/>
      <c r="BO99" s="347"/>
      <c r="BP99" s="347"/>
      <c r="BQ99" s="347"/>
      <c r="BR99" s="347"/>
      <c r="BS99" s="351"/>
    </row>
    <row r="100" spans="1:72">
      <c r="A100" s="340" t="s">
        <v>1020</v>
      </c>
      <c r="C100" s="187"/>
      <c r="D100" s="187"/>
      <c r="E100" s="350"/>
      <c r="G100" s="350"/>
      <c r="I100" s="350"/>
      <c r="K100" s="350"/>
      <c r="L100" s="350"/>
      <c r="M100" s="350"/>
      <c r="N100" s="350"/>
      <c r="O100" s="350"/>
      <c r="P100" s="350"/>
      <c r="Q100" s="350"/>
      <c r="R100" s="350"/>
      <c r="S100" s="350"/>
      <c r="T100" s="361"/>
      <c r="U100" s="350"/>
      <c r="V100" s="350"/>
      <c r="W100" s="350"/>
      <c r="X100" s="350"/>
      <c r="Y100" s="350"/>
      <c r="Z100" s="350"/>
      <c r="AA100" s="350"/>
      <c r="AB100" s="350"/>
      <c r="AC100" s="350"/>
      <c r="AD100" s="350"/>
      <c r="AE100" s="350"/>
      <c r="AF100" s="350"/>
      <c r="AG100" s="350"/>
      <c r="AH100" s="350"/>
      <c r="AI100" s="350"/>
      <c r="AJ100" s="350"/>
      <c r="AK100" s="350"/>
      <c r="AL100" s="350"/>
      <c r="AM100" s="350"/>
      <c r="AN100" s="350"/>
      <c r="AO100" s="350"/>
      <c r="AP100" s="350"/>
      <c r="AQ100" s="350"/>
      <c r="AR100" s="350"/>
      <c r="AS100" s="350"/>
      <c r="AT100" s="350"/>
      <c r="AU100" s="350"/>
      <c r="AV100" s="350"/>
      <c r="AW100" s="350"/>
      <c r="AX100" s="350"/>
      <c r="AY100" s="350"/>
      <c r="AZ100" s="350"/>
      <c r="BA100" s="350"/>
      <c r="BB100" s="350"/>
      <c r="BC100" s="350"/>
      <c r="BD100" s="350"/>
      <c r="BE100" s="350"/>
      <c r="BF100" s="350"/>
      <c r="BG100" s="350"/>
      <c r="BH100" s="350"/>
      <c r="BI100" s="350"/>
      <c r="BJ100" s="350"/>
      <c r="BK100" s="350"/>
      <c r="BL100" s="350"/>
      <c r="BM100" s="482"/>
      <c r="BN100" s="350"/>
      <c r="BO100" s="350"/>
      <c r="BP100" s="350"/>
      <c r="BQ100" s="350"/>
      <c r="BR100" s="350"/>
      <c r="BS100" s="350"/>
    </row>
    <row r="101" spans="1:72">
      <c r="A101" s="197"/>
      <c r="B101" s="197" t="s">
        <v>1489</v>
      </c>
      <c r="C101" s="187"/>
      <c r="D101" s="187"/>
      <c r="E101" s="351">
        <v>39760</v>
      </c>
      <c r="F101" s="351">
        <v>39766</v>
      </c>
      <c r="G101" s="351">
        <v>49628</v>
      </c>
      <c r="I101" s="351">
        <f>G101-E101</f>
        <v>9868</v>
      </c>
      <c r="K101" s="351">
        <v>0</v>
      </c>
      <c r="L101" s="351">
        <v>0</v>
      </c>
      <c r="M101" s="351">
        <v>0</v>
      </c>
      <c r="N101" s="351">
        <v>0</v>
      </c>
      <c r="O101" s="351">
        <v>0</v>
      </c>
      <c r="P101" s="351">
        <v>0</v>
      </c>
      <c r="Q101" s="351">
        <v>0</v>
      </c>
      <c r="R101" s="351">
        <v>0</v>
      </c>
      <c r="S101" s="351">
        <v>0</v>
      </c>
      <c r="T101" s="351">
        <v>0</v>
      </c>
      <c r="U101" s="351">
        <v>0</v>
      </c>
      <c r="V101" s="351">
        <v>0</v>
      </c>
      <c r="W101" s="351">
        <v>0</v>
      </c>
      <c r="X101" s="351">
        <v>0</v>
      </c>
      <c r="Y101" s="351">
        <v>0</v>
      </c>
      <c r="Z101" s="351">
        <v>0</v>
      </c>
      <c r="AA101" s="351">
        <v>0</v>
      </c>
      <c r="AB101" s="351"/>
      <c r="AC101" s="351">
        <v>0</v>
      </c>
      <c r="AD101" s="351"/>
      <c r="AE101" s="351">
        <v>0</v>
      </c>
      <c r="AF101" s="351"/>
      <c r="AG101" s="347">
        <v>0</v>
      </c>
      <c r="AH101" s="351"/>
      <c r="AI101" s="351">
        <v>0</v>
      </c>
      <c r="AJ101" s="351"/>
      <c r="AK101" s="347">
        <f>SUM(K101:AI101)</f>
        <v>0</v>
      </c>
      <c r="AL101" s="351"/>
      <c r="AM101" s="351"/>
      <c r="AN101" s="351"/>
      <c r="AO101" s="351">
        <v>2142</v>
      </c>
      <c r="AP101" s="351"/>
      <c r="AQ101" s="351">
        <f>8958-2142</f>
        <v>6816</v>
      </c>
      <c r="AR101" s="351"/>
      <c r="AS101" s="351">
        <f>22730.69-8958</f>
        <v>13772.689999999999</v>
      </c>
      <c r="AT101" s="351"/>
      <c r="AU101" s="351">
        <f>29630.37-22730.69</f>
        <v>6899.68</v>
      </c>
      <c r="AV101" s="351"/>
      <c r="AW101" s="351">
        <f>46004.18-29630.37</f>
        <v>16373.810000000001</v>
      </c>
      <c r="AX101" s="351"/>
      <c r="AY101" s="351">
        <f>49617.79-46004.18</f>
        <v>3613.6100000000006</v>
      </c>
      <c r="AZ101" s="351"/>
      <c r="BA101" s="351">
        <v>0</v>
      </c>
      <c r="BB101" s="351"/>
      <c r="BC101" s="351">
        <v>0</v>
      </c>
      <c r="BD101" s="351"/>
      <c r="BE101" s="351">
        <v>0</v>
      </c>
      <c r="BF101" s="351"/>
      <c r="BG101" s="351">
        <v>0</v>
      </c>
      <c r="BH101" s="351"/>
      <c r="BI101" s="351">
        <f>49618-49618</f>
        <v>0</v>
      </c>
      <c r="BJ101" s="351"/>
      <c r="BK101" s="351">
        <f>49618-49618</f>
        <v>0</v>
      </c>
      <c r="BL101" s="351"/>
      <c r="BM101" s="478">
        <f>SUM(AK101:BL101)</f>
        <v>49617.79</v>
      </c>
      <c r="BN101" s="351"/>
      <c r="BO101" s="199">
        <f>+MAX(0,G101-BM101+AM101)</f>
        <v>10.209999999999127</v>
      </c>
      <c r="BP101" s="347"/>
      <c r="BQ101" s="199">
        <f>SUM(BM101:BO101)</f>
        <v>49628</v>
      </c>
      <c r="BR101" s="347"/>
      <c r="BS101" s="351">
        <f>E101-BQ101</f>
        <v>-9868</v>
      </c>
    </row>
    <row r="102" spans="1:72">
      <c r="A102" s="197"/>
      <c r="B102" s="212" t="s">
        <v>1486</v>
      </c>
      <c r="C102" s="187"/>
      <c r="D102" s="187"/>
      <c r="E102" s="349">
        <f>SUM(E101:E101)</f>
        <v>39760</v>
      </c>
      <c r="G102" s="349">
        <f>SUBTOTAL(9,G101:G101)</f>
        <v>49628</v>
      </c>
      <c r="I102" s="349">
        <f t="shared" ref="I102:AE102" si="35">SUM(I101:I101)</f>
        <v>9868</v>
      </c>
      <c r="J102" s="348">
        <f t="shared" si="35"/>
        <v>0</v>
      </c>
      <c r="K102" s="349">
        <f t="shared" si="35"/>
        <v>0</v>
      </c>
      <c r="L102" s="348">
        <f t="shared" si="35"/>
        <v>0</v>
      </c>
      <c r="M102" s="349">
        <f t="shared" si="35"/>
        <v>0</v>
      </c>
      <c r="N102" s="348">
        <f t="shared" si="35"/>
        <v>0</v>
      </c>
      <c r="O102" s="349">
        <f t="shared" si="35"/>
        <v>0</v>
      </c>
      <c r="P102" s="348">
        <f t="shared" si="35"/>
        <v>0</v>
      </c>
      <c r="Q102" s="349">
        <f t="shared" si="35"/>
        <v>0</v>
      </c>
      <c r="R102" s="348">
        <f t="shared" si="35"/>
        <v>0</v>
      </c>
      <c r="S102" s="349">
        <f t="shared" si="35"/>
        <v>0</v>
      </c>
      <c r="T102" s="348">
        <f t="shared" si="35"/>
        <v>0</v>
      </c>
      <c r="U102" s="349">
        <f t="shared" si="35"/>
        <v>0</v>
      </c>
      <c r="V102" s="348">
        <f t="shared" si="35"/>
        <v>0</v>
      </c>
      <c r="W102" s="349">
        <f t="shared" si="35"/>
        <v>0</v>
      </c>
      <c r="X102" s="348">
        <f t="shared" si="35"/>
        <v>0</v>
      </c>
      <c r="Y102" s="349">
        <f t="shared" si="35"/>
        <v>0</v>
      </c>
      <c r="Z102" s="348">
        <f t="shared" si="35"/>
        <v>0</v>
      </c>
      <c r="AA102" s="349">
        <f t="shared" si="35"/>
        <v>0</v>
      </c>
      <c r="AB102" s="348">
        <f t="shared" si="35"/>
        <v>0</v>
      </c>
      <c r="AC102" s="349">
        <f t="shared" si="35"/>
        <v>0</v>
      </c>
      <c r="AD102" s="348">
        <f t="shared" si="35"/>
        <v>0</v>
      </c>
      <c r="AE102" s="349">
        <f t="shared" si="35"/>
        <v>0</v>
      </c>
      <c r="AF102" s="348"/>
      <c r="AG102" s="349">
        <f>SUM(AG101:AG101)</f>
        <v>0</v>
      </c>
      <c r="AH102" s="348">
        <f>SUM(AC102:AG102)</f>
        <v>0</v>
      </c>
      <c r="AI102" s="349">
        <f>SUM(AI101:AI101)</f>
        <v>0</v>
      </c>
      <c r="AJ102" s="348"/>
      <c r="AK102" s="349">
        <f>SUM(AK101:AK101)</f>
        <v>0</v>
      </c>
      <c r="AL102" s="348">
        <f>SUM(AL101:AL101)</f>
        <v>0</v>
      </c>
      <c r="AM102" s="348">
        <f>SUM(AM101:AM101)</f>
        <v>0</v>
      </c>
      <c r="AN102" s="348">
        <f>SUM(AN101:AN101)</f>
        <v>0</v>
      </c>
      <c r="AO102" s="349">
        <f>SUM(AO101:AO101)</f>
        <v>2142</v>
      </c>
      <c r="AP102" s="348"/>
      <c r="AQ102" s="349">
        <f>SUM(AQ101:AQ101)</f>
        <v>6816</v>
      </c>
      <c r="AR102" s="348"/>
      <c r="AS102" s="349">
        <f>SUM(AS101:AS101)</f>
        <v>13772.689999999999</v>
      </c>
      <c r="AT102" s="348"/>
      <c r="AU102" s="349">
        <f>SUM(AU101:AU101)</f>
        <v>6899.68</v>
      </c>
      <c r="AV102" s="348"/>
      <c r="AW102" s="349">
        <f>SUM(AW101:AW101)</f>
        <v>16373.810000000001</v>
      </c>
      <c r="AX102" s="348"/>
      <c r="AY102" s="349">
        <f>SUM(AY101:AY101)</f>
        <v>3613.6100000000006</v>
      </c>
      <c r="AZ102" s="348"/>
      <c r="BA102" s="349">
        <f>SUM(BA101:BA101)</f>
        <v>0</v>
      </c>
      <c r="BB102" s="348"/>
      <c r="BC102" s="349">
        <f>SUM(BC101:BC101)</f>
        <v>0</v>
      </c>
      <c r="BD102" s="348"/>
      <c r="BE102" s="349">
        <f>SUM(BE101:BE101)</f>
        <v>0</v>
      </c>
      <c r="BF102" s="348"/>
      <c r="BG102" s="349">
        <f>SUM(BG101:BG101)</f>
        <v>0</v>
      </c>
      <c r="BH102" s="348"/>
      <c r="BI102" s="349">
        <f>SUM(BI101:BI101)</f>
        <v>0</v>
      </c>
      <c r="BJ102" s="348"/>
      <c r="BK102" s="349">
        <f>SUM(BK101:BK101)</f>
        <v>0</v>
      </c>
      <c r="BL102" s="348"/>
      <c r="BM102" s="483">
        <f>SUM(BM101:BM101)</f>
        <v>49617.79</v>
      </c>
      <c r="BN102" s="348"/>
      <c r="BO102" s="349">
        <f>SUM(BO101:BO101)</f>
        <v>10.209999999999127</v>
      </c>
      <c r="BP102" s="348">
        <f>SUM(BP101:BP101)</f>
        <v>0</v>
      </c>
      <c r="BQ102" s="349">
        <f>SUM(BQ101:BQ101)</f>
        <v>49628</v>
      </c>
      <c r="BR102" s="348">
        <f>SUM(BR101:BR101)</f>
        <v>0</v>
      </c>
      <c r="BS102" s="349">
        <f>SUM(BS101:BS101)</f>
        <v>-9868</v>
      </c>
    </row>
    <row r="103" spans="1:72">
      <c r="A103" s="197"/>
      <c r="B103" s="197"/>
      <c r="C103" s="187"/>
      <c r="D103" s="187"/>
      <c r="E103" s="347"/>
      <c r="G103" s="347"/>
      <c r="I103" s="347"/>
      <c r="K103" s="347"/>
      <c r="L103" s="347"/>
      <c r="M103" s="347"/>
      <c r="N103" s="347"/>
      <c r="O103" s="347"/>
      <c r="P103" s="347"/>
      <c r="Q103" s="347"/>
      <c r="R103" s="347"/>
      <c r="S103" s="347"/>
      <c r="T103" s="359"/>
      <c r="U103" s="347"/>
      <c r="V103" s="347"/>
      <c r="W103" s="347"/>
      <c r="X103" s="347"/>
      <c r="Y103" s="347"/>
      <c r="Z103" s="347"/>
      <c r="AA103" s="347"/>
      <c r="AB103" s="347"/>
      <c r="AC103" s="347"/>
      <c r="AD103" s="347"/>
      <c r="AE103" s="347"/>
      <c r="AF103" s="347"/>
      <c r="AG103" s="347"/>
      <c r="AH103" s="347"/>
      <c r="AI103" s="347"/>
      <c r="AJ103" s="347"/>
      <c r="AK103" s="347"/>
      <c r="AL103" s="347"/>
      <c r="AM103" s="347"/>
      <c r="AN103" s="347"/>
      <c r="AO103" s="347"/>
      <c r="AP103" s="347"/>
      <c r="AQ103" s="347"/>
      <c r="AR103" s="347"/>
      <c r="AS103" s="347"/>
      <c r="AT103" s="347"/>
      <c r="AU103" s="347"/>
      <c r="AV103" s="347"/>
      <c r="AW103" s="347"/>
      <c r="AX103" s="347"/>
      <c r="AY103" s="347"/>
      <c r="AZ103" s="347"/>
      <c r="BA103" s="347"/>
      <c r="BB103" s="347"/>
      <c r="BC103" s="347"/>
      <c r="BD103" s="347"/>
      <c r="BE103" s="347"/>
      <c r="BF103" s="347"/>
      <c r="BG103" s="347"/>
      <c r="BH103" s="347"/>
      <c r="BI103" s="347"/>
      <c r="BJ103" s="347"/>
      <c r="BK103" s="347"/>
      <c r="BL103" s="347"/>
      <c r="BM103" s="484"/>
      <c r="BN103" s="347"/>
      <c r="BO103" s="347"/>
      <c r="BP103" s="347"/>
      <c r="BQ103" s="347"/>
      <c r="BR103" s="347"/>
      <c r="BS103" s="351"/>
    </row>
    <row r="104" spans="1:72">
      <c r="A104" s="340" t="s">
        <v>1490</v>
      </c>
      <c r="C104" s="187"/>
      <c r="D104" s="187"/>
      <c r="E104" s="350"/>
      <c r="G104" s="350"/>
      <c r="I104" s="350"/>
      <c r="K104" s="350"/>
      <c r="L104" s="350"/>
      <c r="M104" s="350"/>
      <c r="N104" s="350"/>
      <c r="O104" s="350"/>
      <c r="P104" s="350"/>
      <c r="Q104" s="350"/>
      <c r="R104" s="350"/>
      <c r="S104" s="350"/>
      <c r="T104" s="361"/>
      <c r="U104" s="350"/>
      <c r="V104" s="350"/>
      <c r="W104" s="350"/>
      <c r="X104" s="350"/>
      <c r="Y104" s="350"/>
      <c r="Z104" s="350"/>
      <c r="AA104" s="350"/>
      <c r="AB104" s="350"/>
      <c r="AC104" s="350"/>
      <c r="AD104" s="350"/>
      <c r="AE104" s="350"/>
      <c r="AF104" s="350"/>
      <c r="AG104" s="350"/>
      <c r="AH104" s="350"/>
      <c r="AI104" s="350"/>
      <c r="AJ104" s="350"/>
      <c r="AK104" s="350"/>
      <c r="AL104" s="350"/>
      <c r="AM104" s="350"/>
      <c r="AN104" s="350"/>
      <c r="AO104" s="350"/>
      <c r="AP104" s="350"/>
      <c r="AQ104" s="350"/>
      <c r="AR104" s="350"/>
      <c r="AS104" s="350"/>
      <c r="AT104" s="350"/>
      <c r="AU104" s="350"/>
      <c r="AV104" s="350"/>
      <c r="AW104" s="350"/>
      <c r="AX104" s="350"/>
      <c r="AY104" s="350"/>
      <c r="AZ104" s="350"/>
      <c r="BA104" s="350"/>
      <c r="BB104" s="350"/>
      <c r="BC104" s="350"/>
      <c r="BD104" s="350"/>
      <c r="BE104" s="350"/>
      <c r="BF104" s="350"/>
      <c r="BG104" s="350"/>
      <c r="BH104" s="350"/>
      <c r="BI104" s="350"/>
      <c r="BJ104" s="350"/>
      <c r="BK104" s="350"/>
      <c r="BL104" s="350"/>
      <c r="BM104" s="482"/>
      <c r="BN104" s="350"/>
      <c r="BO104" s="350"/>
      <c r="BP104" s="350"/>
      <c r="BQ104" s="350"/>
      <c r="BR104" s="350"/>
      <c r="BS104" s="350"/>
    </row>
    <row r="105" spans="1:72">
      <c r="A105" s="197"/>
      <c r="B105" s="197" t="s">
        <v>1026</v>
      </c>
      <c r="C105" s="187"/>
      <c r="D105" s="187"/>
      <c r="E105" s="351">
        <v>7087</v>
      </c>
      <c r="F105" s="351">
        <v>7089</v>
      </c>
      <c r="G105" s="351">
        <v>3533</v>
      </c>
      <c r="I105" s="351">
        <f>G105-E105</f>
        <v>-3554</v>
      </c>
      <c r="K105" s="351">
        <v>0</v>
      </c>
      <c r="L105" s="351">
        <v>0</v>
      </c>
      <c r="M105" s="351">
        <v>0</v>
      </c>
      <c r="N105" s="351">
        <v>0</v>
      </c>
      <c r="O105" s="351">
        <v>0</v>
      </c>
      <c r="P105" s="351">
        <v>0</v>
      </c>
      <c r="Q105" s="351">
        <v>0</v>
      </c>
      <c r="R105" s="351">
        <v>0</v>
      </c>
      <c r="S105" s="351">
        <v>0</v>
      </c>
      <c r="T105" s="351">
        <v>0</v>
      </c>
      <c r="U105" s="351">
        <v>0</v>
      </c>
      <c r="V105" s="351">
        <v>0</v>
      </c>
      <c r="W105" s="351">
        <v>0</v>
      </c>
      <c r="X105" s="351">
        <v>0</v>
      </c>
      <c r="Y105" s="351">
        <v>0</v>
      </c>
      <c r="Z105" s="351">
        <v>0</v>
      </c>
      <c r="AA105" s="351">
        <v>0</v>
      </c>
      <c r="AB105" s="351"/>
      <c r="AC105" s="351">
        <v>0</v>
      </c>
      <c r="AD105" s="351"/>
      <c r="AE105" s="351">
        <v>0</v>
      </c>
      <c r="AF105" s="351"/>
      <c r="AG105" s="347">
        <v>0</v>
      </c>
      <c r="AH105" s="351"/>
      <c r="AI105" s="351">
        <v>0</v>
      </c>
      <c r="AJ105" s="351"/>
      <c r="AK105" s="347">
        <f>SUM(K105:AI105)</f>
        <v>0</v>
      </c>
      <c r="AL105" s="351"/>
      <c r="AM105" s="351"/>
      <c r="AN105" s="351"/>
      <c r="AO105" s="351">
        <v>0</v>
      </c>
      <c r="AP105" s="351"/>
      <c r="AQ105" s="351">
        <v>0</v>
      </c>
      <c r="AR105" s="351"/>
      <c r="AS105" s="351">
        <v>2885.01</v>
      </c>
      <c r="AT105" s="351"/>
      <c r="AU105" s="351">
        <v>0</v>
      </c>
      <c r="AV105" s="351"/>
      <c r="AW105" s="351">
        <f>3532.65-2885.01</f>
        <v>647.63999999999987</v>
      </c>
      <c r="AX105" s="351"/>
      <c r="AY105" s="351">
        <v>0</v>
      </c>
      <c r="AZ105" s="351"/>
      <c r="BA105" s="351">
        <v>0</v>
      </c>
      <c r="BB105" s="351"/>
      <c r="BC105" s="351">
        <v>0</v>
      </c>
      <c r="BD105" s="351"/>
      <c r="BE105" s="351">
        <v>0</v>
      </c>
      <c r="BF105" s="351"/>
      <c r="BG105" s="351">
        <v>0</v>
      </c>
      <c r="BH105" s="351"/>
      <c r="BI105" s="351">
        <f>3533-3533</f>
        <v>0</v>
      </c>
      <c r="BJ105" s="351"/>
      <c r="BK105" s="351">
        <f>3533-3533</f>
        <v>0</v>
      </c>
      <c r="BL105" s="351"/>
      <c r="BM105" s="478">
        <f>SUM(AK105:BL105)</f>
        <v>3532.65</v>
      </c>
      <c r="BN105" s="351"/>
      <c r="BO105" s="199">
        <f>+MAX(0,G105-BM105+AM105)</f>
        <v>0.34999999999990905</v>
      </c>
      <c r="BP105" s="347"/>
      <c r="BQ105" s="199">
        <f>SUM(BM105:BO105)</f>
        <v>3533</v>
      </c>
      <c r="BR105" s="347"/>
      <c r="BS105" s="351">
        <f>E105-BQ105</f>
        <v>3554</v>
      </c>
    </row>
    <row r="106" spans="1:72">
      <c r="A106" s="197"/>
      <c r="B106" s="212" t="s">
        <v>1027</v>
      </c>
      <c r="C106" s="187"/>
      <c r="D106" s="187"/>
      <c r="E106" s="349">
        <f>SUM(E105:E105)</f>
        <v>7087</v>
      </c>
      <c r="G106" s="349">
        <f>SUBTOTAL(9,G105:G105)</f>
        <v>3533</v>
      </c>
      <c r="I106" s="349">
        <f t="shared" ref="I106:AE106" si="36">SUM(I105:I105)</f>
        <v>-3554</v>
      </c>
      <c r="J106" s="348">
        <f t="shared" si="36"/>
        <v>0</v>
      </c>
      <c r="K106" s="349">
        <f t="shared" si="36"/>
        <v>0</v>
      </c>
      <c r="L106" s="348">
        <f t="shared" si="36"/>
        <v>0</v>
      </c>
      <c r="M106" s="349">
        <f t="shared" si="36"/>
        <v>0</v>
      </c>
      <c r="N106" s="348">
        <f t="shared" si="36"/>
        <v>0</v>
      </c>
      <c r="O106" s="349">
        <f t="shared" si="36"/>
        <v>0</v>
      </c>
      <c r="P106" s="348">
        <f t="shared" si="36"/>
        <v>0</v>
      </c>
      <c r="Q106" s="349">
        <f t="shared" si="36"/>
        <v>0</v>
      </c>
      <c r="R106" s="348">
        <f t="shared" si="36"/>
        <v>0</v>
      </c>
      <c r="S106" s="349">
        <f t="shared" si="36"/>
        <v>0</v>
      </c>
      <c r="T106" s="348">
        <f t="shared" si="36"/>
        <v>0</v>
      </c>
      <c r="U106" s="349">
        <f t="shared" si="36"/>
        <v>0</v>
      </c>
      <c r="V106" s="348">
        <f t="shared" si="36"/>
        <v>0</v>
      </c>
      <c r="W106" s="349">
        <f t="shared" si="36"/>
        <v>0</v>
      </c>
      <c r="X106" s="348">
        <f t="shared" si="36"/>
        <v>0</v>
      </c>
      <c r="Y106" s="349">
        <f t="shared" si="36"/>
        <v>0</v>
      </c>
      <c r="Z106" s="348">
        <f t="shared" si="36"/>
        <v>0</v>
      </c>
      <c r="AA106" s="349">
        <f t="shared" si="36"/>
        <v>0</v>
      </c>
      <c r="AB106" s="348">
        <f t="shared" si="36"/>
        <v>0</v>
      </c>
      <c r="AC106" s="349">
        <f t="shared" si="36"/>
        <v>0</v>
      </c>
      <c r="AD106" s="348">
        <f t="shared" si="36"/>
        <v>0</v>
      </c>
      <c r="AE106" s="349">
        <f t="shared" si="36"/>
        <v>0</v>
      </c>
      <c r="AF106" s="348"/>
      <c r="AG106" s="349">
        <f>SUM(AG105:AG105)</f>
        <v>0</v>
      </c>
      <c r="AH106" s="348">
        <f>SUM(AH105:AH105)</f>
        <v>0</v>
      </c>
      <c r="AI106" s="349">
        <f>SUM(AI105:AI105)</f>
        <v>0</v>
      </c>
      <c r="AJ106" s="348"/>
      <c r="AK106" s="349">
        <f>SUM(AK105:AK105)</f>
        <v>0</v>
      </c>
      <c r="AL106" s="348">
        <f>SUM(AL105:AL105)</f>
        <v>0</v>
      </c>
      <c r="AM106" s="348">
        <f>SUM(AM105:AM105)</f>
        <v>0</v>
      </c>
      <c r="AN106" s="348">
        <f>SUM(AN105:AN105)</f>
        <v>0</v>
      </c>
      <c r="AO106" s="349">
        <f>SUM(AO105:AO105)</f>
        <v>0</v>
      </c>
      <c r="AP106" s="348"/>
      <c r="AQ106" s="349">
        <f>SUM(AQ105:AQ105)</f>
        <v>0</v>
      </c>
      <c r="AR106" s="348"/>
      <c r="AS106" s="349">
        <f>SUM(AS105:AS105)</f>
        <v>2885.01</v>
      </c>
      <c r="AT106" s="348"/>
      <c r="AU106" s="349">
        <f>SUM(AU105:AU105)</f>
        <v>0</v>
      </c>
      <c r="AV106" s="348"/>
      <c r="AW106" s="349">
        <f>SUM(AW105:AW105)</f>
        <v>647.63999999999987</v>
      </c>
      <c r="AX106" s="348"/>
      <c r="AY106" s="349">
        <f>SUM(AY105:AY105)</f>
        <v>0</v>
      </c>
      <c r="AZ106" s="348"/>
      <c r="BA106" s="349">
        <f>SUM(BA105:BA105)</f>
        <v>0</v>
      </c>
      <c r="BB106" s="348"/>
      <c r="BC106" s="349">
        <f>SUM(BC105:BC105)</f>
        <v>0</v>
      </c>
      <c r="BD106" s="348"/>
      <c r="BE106" s="349">
        <f>SUM(BE105:BE105)</f>
        <v>0</v>
      </c>
      <c r="BF106" s="348"/>
      <c r="BG106" s="349">
        <f>SUM(BG105:BG105)</f>
        <v>0</v>
      </c>
      <c r="BH106" s="348"/>
      <c r="BI106" s="349">
        <f>SUM(BI105:BI105)</f>
        <v>0</v>
      </c>
      <c r="BJ106" s="348"/>
      <c r="BK106" s="349">
        <f>SUM(BK105:BK105)</f>
        <v>0</v>
      </c>
      <c r="BL106" s="348"/>
      <c r="BM106" s="483">
        <f>SUM(BM105:BM105)</f>
        <v>3532.65</v>
      </c>
      <c r="BN106" s="348"/>
      <c r="BO106" s="349">
        <f t="shared" ref="BO106:BT106" si="37">SUM(BO105:BO105)</f>
        <v>0.34999999999990905</v>
      </c>
      <c r="BP106" s="348">
        <f t="shared" si="37"/>
        <v>0</v>
      </c>
      <c r="BQ106" s="349">
        <f t="shared" si="37"/>
        <v>3533</v>
      </c>
      <c r="BR106" s="348">
        <f t="shared" si="37"/>
        <v>0</v>
      </c>
      <c r="BS106" s="349">
        <f t="shared" si="37"/>
        <v>3554</v>
      </c>
      <c r="BT106" s="348">
        <f t="shared" si="37"/>
        <v>0</v>
      </c>
    </row>
    <row r="107" spans="1:72">
      <c r="A107" s="197"/>
      <c r="B107" s="197"/>
      <c r="C107" s="187"/>
      <c r="D107" s="187"/>
      <c r="E107" s="347"/>
      <c r="G107" s="347"/>
      <c r="I107" s="347"/>
      <c r="K107" s="347"/>
      <c r="L107" s="347"/>
      <c r="M107" s="347"/>
      <c r="N107" s="347"/>
      <c r="O107" s="347"/>
      <c r="P107" s="347"/>
      <c r="Q107" s="347"/>
      <c r="R107" s="347"/>
      <c r="S107" s="347"/>
      <c r="T107" s="359"/>
      <c r="U107" s="347"/>
      <c r="V107" s="347"/>
      <c r="W107" s="347"/>
      <c r="X107" s="347"/>
      <c r="Y107" s="347"/>
      <c r="Z107" s="347"/>
      <c r="AA107" s="347"/>
      <c r="AB107" s="347"/>
      <c r="AC107" s="347"/>
      <c r="AD107" s="347"/>
      <c r="AE107" s="347"/>
      <c r="AF107" s="347"/>
      <c r="AG107" s="347"/>
      <c r="AH107" s="347"/>
      <c r="AI107" s="347"/>
      <c r="AJ107" s="347"/>
      <c r="AK107" s="347"/>
      <c r="AL107" s="347"/>
      <c r="AM107" s="347"/>
      <c r="AN107" s="347"/>
      <c r="AO107" s="347"/>
      <c r="AP107" s="347"/>
      <c r="AQ107" s="347"/>
      <c r="AR107" s="347"/>
      <c r="AS107" s="347"/>
      <c r="AT107" s="347"/>
      <c r="AU107" s="347"/>
      <c r="AV107" s="347"/>
      <c r="AW107" s="347"/>
      <c r="AX107" s="347"/>
      <c r="AY107" s="347"/>
      <c r="AZ107" s="347"/>
      <c r="BA107" s="347"/>
      <c r="BB107" s="347"/>
      <c r="BC107" s="347"/>
      <c r="BD107" s="347"/>
      <c r="BE107" s="347"/>
      <c r="BF107" s="347"/>
      <c r="BG107" s="347"/>
      <c r="BH107" s="347"/>
      <c r="BI107" s="347"/>
      <c r="BJ107" s="347"/>
      <c r="BK107" s="347"/>
      <c r="BL107" s="347"/>
      <c r="BM107" s="484"/>
      <c r="BN107" s="347"/>
      <c r="BO107" s="347"/>
      <c r="BP107" s="347"/>
      <c r="BQ107" s="347"/>
      <c r="BR107" s="347"/>
      <c r="BS107" s="351"/>
    </row>
    <row r="108" spans="1:72" s="221" customFormat="1">
      <c r="A108" s="340" t="s">
        <v>1491</v>
      </c>
      <c r="E108" s="350">
        <v>0</v>
      </c>
      <c r="F108" s="225"/>
      <c r="G108" s="350">
        <v>20624</v>
      </c>
      <c r="H108" s="225"/>
      <c r="I108" s="350">
        <f>G108-E108</f>
        <v>20624</v>
      </c>
      <c r="J108" s="225"/>
      <c r="K108" s="350">
        <v>0</v>
      </c>
      <c r="L108" s="350">
        <v>0</v>
      </c>
      <c r="M108" s="350">
        <v>0</v>
      </c>
      <c r="N108" s="350">
        <v>0</v>
      </c>
      <c r="O108" s="350">
        <v>0</v>
      </c>
      <c r="P108" s="350">
        <v>0</v>
      </c>
      <c r="Q108" s="350">
        <v>0</v>
      </c>
      <c r="R108" s="350">
        <v>0</v>
      </c>
      <c r="S108" s="350">
        <v>0</v>
      </c>
      <c r="T108" s="350">
        <v>0</v>
      </c>
      <c r="U108" s="350">
        <v>0</v>
      </c>
      <c r="V108" s="350">
        <v>0</v>
      </c>
      <c r="W108" s="350">
        <v>0</v>
      </c>
      <c r="X108" s="350">
        <v>0</v>
      </c>
      <c r="Y108" s="350">
        <v>0</v>
      </c>
      <c r="Z108" s="350">
        <v>0</v>
      </c>
      <c r="AA108" s="350">
        <v>0</v>
      </c>
      <c r="AB108" s="350"/>
      <c r="AC108" s="350">
        <v>0</v>
      </c>
      <c r="AD108" s="350"/>
      <c r="AE108" s="350">
        <v>0</v>
      </c>
      <c r="AF108" s="350"/>
      <c r="AG108" s="350">
        <v>0</v>
      </c>
      <c r="AH108" s="350"/>
      <c r="AI108" s="350">
        <v>0</v>
      </c>
      <c r="AJ108" s="350"/>
      <c r="AK108" s="350">
        <f>SUM(K108:AI108)</f>
        <v>0</v>
      </c>
      <c r="AL108" s="350"/>
      <c r="AM108" s="350"/>
      <c r="AN108" s="350"/>
      <c r="AO108" s="350">
        <v>0</v>
      </c>
      <c r="AP108" s="350"/>
      <c r="AQ108" s="350">
        <v>9140</v>
      </c>
      <c r="AR108" s="350"/>
      <c r="AS108" s="350">
        <f>16116.6-9140</f>
        <v>6976.6</v>
      </c>
      <c r="AT108" s="350"/>
      <c r="AU108" s="350">
        <f>17132.1-16116.6</f>
        <v>1015.4999999999982</v>
      </c>
      <c r="AV108" s="350"/>
      <c r="AW108" s="350">
        <f>20516.1-17132.1</f>
        <v>3384</v>
      </c>
      <c r="AX108" s="350"/>
      <c r="AY108" s="350">
        <f>20624-20516.1</f>
        <v>107.90000000000146</v>
      </c>
      <c r="AZ108" s="350"/>
      <c r="BA108" s="350">
        <v>0</v>
      </c>
      <c r="BB108" s="350"/>
      <c r="BC108" s="350">
        <v>0</v>
      </c>
      <c r="BD108" s="350"/>
      <c r="BE108" s="350">
        <v>0</v>
      </c>
      <c r="BF108" s="350"/>
      <c r="BG108" s="350">
        <v>0</v>
      </c>
      <c r="BH108" s="350"/>
      <c r="BI108" s="350">
        <f>20624-20624</f>
        <v>0</v>
      </c>
      <c r="BJ108" s="350"/>
      <c r="BK108" s="350">
        <f>20624-20624</f>
        <v>0</v>
      </c>
      <c r="BL108" s="350"/>
      <c r="BM108" s="440">
        <f>SUM(AK108:BL108)</f>
        <v>20624</v>
      </c>
      <c r="BN108" s="350"/>
      <c r="BO108" s="221">
        <f>+MAX(0,G108-BM108+AM108)</f>
        <v>0</v>
      </c>
      <c r="BP108" s="350"/>
      <c r="BQ108" s="221">
        <f>SUM(BM108:BO108)</f>
        <v>20624</v>
      </c>
      <c r="BR108" s="350"/>
      <c r="BS108" s="350">
        <f>E108-BQ108</f>
        <v>-20624</v>
      </c>
      <c r="BT108" s="225"/>
    </row>
    <row r="109" spans="1:72">
      <c r="A109" s="197"/>
      <c r="B109" s="197"/>
      <c r="C109" s="187"/>
      <c r="D109" s="187"/>
      <c r="E109" s="347"/>
      <c r="G109" s="347"/>
      <c r="I109" s="347"/>
      <c r="K109" s="347"/>
      <c r="L109" s="347"/>
      <c r="M109" s="347"/>
      <c r="N109" s="347"/>
      <c r="O109" s="347"/>
      <c r="P109" s="347"/>
      <c r="Q109" s="347"/>
      <c r="R109" s="347"/>
      <c r="S109" s="347"/>
      <c r="T109" s="347"/>
      <c r="U109" s="347"/>
      <c r="V109" s="347"/>
      <c r="W109" s="347"/>
      <c r="X109" s="347"/>
      <c r="Y109" s="347"/>
      <c r="Z109" s="347"/>
      <c r="AA109" s="347"/>
      <c r="AB109" s="347"/>
      <c r="AC109" s="347"/>
      <c r="AD109" s="347"/>
      <c r="AE109" s="347"/>
      <c r="AF109" s="347"/>
      <c r="AG109" s="347"/>
      <c r="AH109" s="347"/>
      <c r="AI109" s="347"/>
      <c r="AJ109" s="347"/>
      <c r="AK109" s="347"/>
      <c r="AL109" s="347"/>
      <c r="AM109" s="347"/>
      <c r="AN109" s="347"/>
      <c r="AO109" s="347"/>
      <c r="AP109" s="347"/>
      <c r="AQ109" s="347"/>
      <c r="AR109" s="347"/>
      <c r="AS109" s="347"/>
      <c r="AT109" s="347"/>
      <c r="AU109" s="347"/>
      <c r="AV109" s="347"/>
      <c r="AW109" s="347"/>
      <c r="AX109" s="347"/>
      <c r="AY109" s="347"/>
      <c r="AZ109" s="347"/>
      <c r="BA109" s="347"/>
      <c r="BB109" s="347"/>
      <c r="BC109" s="347"/>
      <c r="BD109" s="347"/>
      <c r="BE109" s="347"/>
      <c r="BF109" s="347"/>
      <c r="BG109" s="347"/>
      <c r="BH109" s="347"/>
      <c r="BI109" s="347"/>
      <c r="BJ109" s="347"/>
      <c r="BK109" s="347"/>
      <c r="BL109" s="347"/>
      <c r="BM109" s="482"/>
      <c r="BN109" s="347"/>
      <c r="BO109" s="347"/>
      <c r="BP109" s="347"/>
      <c r="BQ109" s="347"/>
      <c r="BR109" s="347"/>
      <c r="BS109" s="351"/>
    </row>
    <row r="110" spans="1:72" s="221" customFormat="1">
      <c r="A110" s="340" t="s">
        <v>1492</v>
      </c>
      <c r="E110" s="350">
        <v>296640</v>
      </c>
      <c r="F110" s="350">
        <v>296640</v>
      </c>
      <c r="G110" s="350">
        <v>393895</v>
      </c>
      <c r="H110" s="225"/>
      <c r="I110" s="350">
        <f>G110-E110</f>
        <v>97255</v>
      </c>
      <c r="J110" s="225"/>
      <c r="K110" s="350">
        <v>0</v>
      </c>
      <c r="L110" s="350">
        <v>0</v>
      </c>
      <c r="M110" s="350">
        <v>0</v>
      </c>
      <c r="N110" s="350">
        <v>0</v>
      </c>
      <c r="O110" s="350">
        <v>0</v>
      </c>
      <c r="P110" s="350">
        <v>0</v>
      </c>
      <c r="Q110" s="350">
        <v>0</v>
      </c>
      <c r="R110" s="350">
        <v>0</v>
      </c>
      <c r="S110" s="350">
        <v>0</v>
      </c>
      <c r="T110" s="350">
        <v>0</v>
      </c>
      <c r="U110" s="350">
        <v>0</v>
      </c>
      <c r="V110" s="350">
        <v>0</v>
      </c>
      <c r="W110" s="350">
        <v>0</v>
      </c>
      <c r="X110" s="350">
        <v>0</v>
      </c>
      <c r="Y110" s="350">
        <v>0</v>
      </c>
      <c r="Z110" s="350">
        <v>0</v>
      </c>
      <c r="AA110" s="350">
        <v>0</v>
      </c>
      <c r="AB110" s="350"/>
      <c r="AC110" s="350">
        <v>0</v>
      </c>
      <c r="AD110" s="350"/>
      <c r="AE110" s="350">
        <v>0</v>
      </c>
      <c r="AF110" s="350"/>
      <c r="AG110" s="350">
        <v>0</v>
      </c>
      <c r="AH110" s="350"/>
      <c r="AI110" s="350">
        <v>0</v>
      </c>
      <c r="AJ110" s="350"/>
      <c r="AK110" s="350">
        <f>SUM(K110:AI110)</f>
        <v>0</v>
      </c>
      <c r="AL110" s="350"/>
      <c r="AM110" s="350"/>
      <c r="AN110" s="350"/>
      <c r="AO110" s="350">
        <v>88703</v>
      </c>
      <c r="AP110" s="350"/>
      <c r="AQ110" s="350">
        <f>156526-88703</f>
        <v>67823</v>
      </c>
      <c r="AR110" s="350"/>
      <c r="AS110" s="350">
        <f>298806-156526</f>
        <v>142280</v>
      </c>
      <c r="AT110" s="350"/>
      <c r="AU110" s="350">
        <f>306341.9-298806</f>
        <v>7535.9000000000233</v>
      </c>
      <c r="AV110" s="350"/>
      <c r="AW110" s="350">
        <f>386985.5-306341.9</f>
        <v>80643.599999999977</v>
      </c>
      <c r="AX110" s="350"/>
      <c r="AY110" s="350">
        <f>400698-386985.5</f>
        <v>13712.5</v>
      </c>
      <c r="AZ110" s="350"/>
      <c r="BA110" s="350">
        <v>0</v>
      </c>
      <c r="BB110" s="350"/>
      <c r="BC110" s="350">
        <v>0</v>
      </c>
      <c r="BD110" s="350"/>
      <c r="BE110" s="350">
        <f>393895-400698</f>
        <v>-6803</v>
      </c>
      <c r="BF110" s="350"/>
      <c r="BG110" s="350">
        <v>0</v>
      </c>
      <c r="BH110" s="350"/>
      <c r="BI110" s="350">
        <f>393895-393895</f>
        <v>0</v>
      </c>
      <c r="BJ110" s="350"/>
      <c r="BK110" s="350">
        <f>393895-393895</f>
        <v>0</v>
      </c>
      <c r="BL110" s="350"/>
      <c r="BM110" s="440">
        <f>SUM(AK110:BL110)</f>
        <v>393895</v>
      </c>
      <c r="BN110" s="350"/>
      <c r="BO110" s="221">
        <f>+MAX(0,G110-BM110+AM110)</f>
        <v>0</v>
      </c>
      <c r="BP110" s="350"/>
      <c r="BQ110" s="221">
        <f>SUM(BM110:BO110)</f>
        <v>393895</v>
      </c>
      <c r="BR110" s="350"/>
      <c r="BS110" s="350">
        <f>E110-BQ110</f>
        <v>-97255</v>
      </c>
      <c r="BT110" s="225"/>
    </row>
    <row r="111" spans="1:72">
      <c r="A111" s="197"/>
      <c r="B111" s="197"/>
      <c r="C111" s="187"/>
      <c r="D111" s="187"/>
      <c r="E111" s="350"/>
      <c r="G111" s="350"/>
      <c r="I111" s="350"/>
      <c r="K111" s="350"/>
      <c r="L111" s="350"/>
      <c r="M111" s="350"/>
      <c r="N111" s="350"/>
      <c r="O111" s="350"/>
      <c r="P111" s="350"/>
      <c r="Q111" s="350"/>
      <c r="R111" s="350"/>
      <c r="S111" s="350"/>
      <c r="T111" s="350"/>
      <c r="U111" s="350"/>
      <c r="V111" s="350"/>
      <c r="W111" s="350"/>
      <c r="X111" s="350"/>
      <c r="Y111" s="350"/>
      <c r="Z111" s="350"/>
      <c r="AA111" s="350"/>
      <c r="AB111" s="350"/>
      <c r="AC111" s="350"/>
      <c r="AD111" s="350"/>
      <c r="AE111" s="350"/>
      <c r="AF111" s="350"/>
      <c r="AG111" s="350"/>
      <c r="AH111" s="350"/>
      <c r="AI111" s="350"/>
      <c r="AJ111" s="350"/>
      <c r="AK111" s="350"/>
      <c r="AL111" s="350"/>
      <c r="AM111" s="350"/>
      <c r="AN111" s="350"/>
      <c r="AO111" s="350"/>
      <c r="AP111" s="350"/>
      <c r="AQ111" s="350"/>
      <c r="AR111" s="350"/>
      <c r="AS111" s="350"/>
      <c r="AT111" s="350"/>
      <c r="AU111" s="350"/>
      <c r="AV111" s="350"/>
      <c r="AW111" s="350"/>
      <c r="AX111" s="350"/>
      <c r="AY111" s="350"/>
      <c r="AZ111" s="350"/>
      <c r="BA111" s="350"/>
      <c r="BB111" s="350"/>
      <c r="BC111" s="350"/>
      <c r="BD111" s="350"/>
      <c r="BE111" s="350"/>
      <c r="BF111" s="350"/>
      <c r="BG111" s="350"/>
      <c r="BH111" s="350"/>
      <c r="BI111" s="350"/>
      <c r="BJ111" s="350"/>
      <c r="BK111" s="350"/>
      <c r="BL111" s="350"/>
      <c r="BM111" s="482"/>
      <c r="BN111" s="350"/>
      <c r="BO111" s="350"/>
      <c r="BP111" s="350"/>
      <c r="BQ111" s="350"/>
      <c r="BR111" s="350"/>
      <c r="BS111" s="350"/>
    </row>
    <row r="112" spans="1:72">
      <c r="A112" s="340" t="s">
        <v>1493</v>
      </c>
      <c r="C112" s="187"/>
      <c r="D112" s="187"/>
      <c r="E112" s="350"/>
      <c r="G112" s="350"/>
      <c r="I112" s="350"/>
      <c r="K112" s="350"/>
      <c r="L112" s="350"/>
      <c r="M112" s="350"/>
      <c r="N112" s="350"/>
      <c r="O112" s="350"/>
      <c r="P112" s="350"/>
      <c r="Q112" s="350"/>
      <c r="R112" s="350"/>
      <c r="S112" s="350"/>
      <c r="T112" s="350"/>
      <c r="U112" s="350"/>
      <c r="V112" s="350"/>
      <c r="W112" s="350"/>
      <c r="X112" s="350"/>
      <c r="Y112" s="350"/>
      <c r="Z112" s="350"/>
      <c r="AA112" s="350"/>
      <c r="AB112" s="350"/>
      <c r="AC112" s="350"/>
      <c r="AD112" s="350"/>
      <c r="AE112" s="350"/>
      <c r="AF112" s="350"/>
      <c r="AG112" s="350"/>
      <c r="AH112" s="350"/>
      <c r="AI112" s="350"/>
      <c r="AJ112" s="350"/>
      <c r="AK112" s="350"/>
      <c r="AL112" s="350"/>
      <c r="AM112" s="350"/>
      <c r="AN112" s="350"/>
      <c r="AO112" s="350"/>
      <c r="AP112" s="350"/>
      <c r="AQ112" s="350"/>
      <c r="AR112" s="350"/>
      <c r="AS112" s="350"/>
      <c r="AT112" s="350"/>
      <c r="AU112" s="350"/>
      <c r="AV112" s="350"/>
      <c r="AW112" s="350"/>
      <c r="AX112" s="350"/>
      <c r="AY112" s="350"/>
      <c r="AZ112" s="350"/>
      <c r="BA112" s="350"/>
      <c r="BB112" s="350"/>
      <c r="BC112" s="350"/>
      <c r="BD112" s="350"/>
      <c r="BE112" s="350"/>
      <c r="BF112" s="350"/>
      <c r="BG112" s="350"/>
      <c r="BH112" s="350"/>
      <c r="BI112" s="350"/>
      <c r="BJ112" s="350"/>
      <c r="BK112" s="350"/>
      <c r="BL112" s="350"/>
      <c r="BM112" s="482"/>
      <c r="BN112" s="350"/>
      <c r="BO112" s="350"/>
      <c r="BP112" s="350"/>
      <c r="BQ112" s="350"/>
      <c r="BR112" s="350"/>
      <c r="BS112" s="350"/>
    </row>
    <row r="113" spans="1:72">
      <c r="A113" s="197"/>
      <c r="B113" s="197" t="s">
        <v>1484</v>
      </c>
      <c r="C113" s="187"/>
      <c r="D113" s="187"/>
      <c r="E113" s="351">
        <v>184017</v>
      </c>
      <c r="G113" s="351">
        <v>516967</v>
      </c>
      <c r="I113" s="351">
        <f>G113-E113</f>
        <v>332950</v>
      </c>
      <c r="K113" s="351">
        <v>0</v>
      </c>
      <c r="L113" s="351">
        <v>0</v>
      </c>
      <c r="M113" s="351">
        <v>0</v>
      </c>
      <c r="N113" s="351">
        <v>0</v>
      </c>
      <c r="O113" s="351">
        <v>0</v>
      </c>
      <c r="P113" s="351">
        <v>0</v>
      </c>
      <c r="Q113" s="351">
        <v>0</v>
      </c>
      <c r="R113" s="351">
        <v>0</v>
      </c>
      <c r="S113" s="351">
        <v>0</v>
      </c>
      <c r="T113" s="351">
        <v>0</v>
      </c>
      <c r="U113" s="351">
        <v>0</v>
      </c>
      <c r="V113" s="351">
        <v>0</v>
      </c>
      <c r="W113" s="351">
        <v>0</v>
      </c>
      <c r="X113" s="351">
        <v>0</v>
      </c>
      <c r="Y113" s="351">
        <v>0</v>
      </c>
      <c r="Z113" s="351">
        <v>0</v>
      </c>
      <c r="AA113" s="351">
        <v>0</v>
      </c>
      <c r="AB113" s="351"/>
      <c r="AC113" s="351">
        <v>0</v>
      </c>
      <c r="AD113" s="351"/>
      <c r="AE113" s="351">
        <v>0</v>
      </c>
      <c r="AF113" s="351"/>
      <c r="AG113" s="347">
        <v>0</v>
      </c>
      <c r="AH113" s="351"/>
      <c r="AI113" s="351">
        <v>0</v>
      </c>
      <c r="AJ113" s="351"/>
      <c r="AK113" s="347">
        <f>SUM(K113:AI113)</f>
        <v>0</v>
      </c>
      <c r="AL113" s="351"/>
      <c r="AM113" s="351"/>
      <c r="AN113" s="351"/>
      <c r="AO113" s="351">
        <v>129</v>
      </c>
      <c r="AP113" s="351"/>
      <c r="AQ113" s="351">
        <f>48056-129</f>
        <v>47927</v>
      </c>
      <c r="AR113" s="351"/>
      <c r="AS113" s="351">
        <f>210564.25-48056</f>
        <v>162508.25</v>
      </c>
      <c r="AT113" s="351"/>
      <c r="AU113" s="351">
        <f>317651.85-210564.25</f>
        <v>107087.59999999998</v>
      </c>
      <c r="AV113" s="351"/>
      <c r="AW113" s="351">
        <f>388476.86-317651.85</f>
        <v>70825.010000000009</v>
      </c>
      <c r="AX113" s="351"/>
      <c r="AY113" s="351">
        <f>408471.11-388476.86</f>
        <v>19994.25</v>
      </c>
      <c r="AZ113" s="351"/>
      <c r="BA113" s="351">
        <v>0</v>
      </c>
      <c r="BB113" s="351"/>
      <c r="BC113" s="351">
        <v>0</v>
      </c>
      <c r="BD113" s="351"/>
      <c r="BE113" s="351">
        <f>486339-408471</f>
        <v>77868</v>
      </c>
      <c r="BF113" s="351"/>
      <c r="BG113" s="351">
        <f>516960-486339</f>
        <v>30621</v>
      </c>
      <c r="BH113" s="351"/>
      <c r="BI113" s="351">
        <f>516960-516960</f>
        <v>0</v>
      </c>
      <c r="BJ113" s="351"/>
      <c r="BK113" s="351">
        <f>516960-516960</f>
        <v>0</v>
      </c>
      <c r="BL113" s="351"/>
      <c r="BM113" s="440">
        <f>SUM(AK113:BL113)</f>
        <v>516960.11</v>
      </c>
      <c r="BN113" s="351"/>
      <c r="BO113" s="199">
        <f>+MAX(0,G113-BM113+AM113)</f>
        <v>6.8900000000139698</v>
      </c>
      <c r="BP113" s="347"/>
      <c r="BQ113" s="199">
        <f>SUM(BM113:BO113)</f>
        <v>516967</v>
      </c>
      <c r="BR113" s="347"/>
      <c r="BS113" s="351">
        <f>E113-BQ113</f>
        <v>-332950</v>
      </c>
    </row>
    <row r="114" spans="1:72">
      <c r="A114" s="197"/>
      <c r="B114" s="197" t="s">
        <v>1486</v>
      </c>
      <c r="C114" s="187"/>
      <c r="D114" s="187"/>
      <c r="E114" s="351">
        <v>0</v>
      </c>
      <c r="F114" s="351">
        <v>0</v>
      </c>
      <c r="G114" s="351">
        <v>0</v>
      </c>
      <c r="I114" s="351">
        <f>G114-E114</f>
        <v>0</v>
      </c>
      <c r="K114" s="351">
        <v>0</v>
      </c>
      <c r="L114" s="351">
        <v>0</v>
      </c>
      <c r="M114" s="351">
        <v>0</v>
      </c>
      <c r="N114" s="351">
        <v>0</v>
      </c>
      <c r="O114" s="351">
        <v>0</v>
      </c>
      <c r="P114" s="351">
        <v>0</v>
      </c>
      <c r="Q114" s="351">
        <v>0</v>
      </c>
      <c r="R114" s="351">
        <v>0</v>
      </c>
      <c r="S114" s="351">
        <v>0</v>
      </c>
      <c r="T114" s="351">
        <v>0</v>
      </c>
      <c r="U114" s="351">
        <v>0</v>
      </c>
      <c r="V114" s="351">
        <v>0</v>
      </c>
      <c r="W114" s="351">
        <v>0</v>
      </c>
      <c r="X114" s="351">
        <v>0</v>
      </c>
      <c r="Y114" s="351">
        <v>0</v>
      </c>
      <c r="Z114" s="351">
        <v>0</v>
      </c>
      <c r="AA114" s="351">
        <v>0</v>
      </c>
      <c r="AB114" s="351"/>
      <c r="AC114" s="351">
        <v>0</v>
      </c>
      <c r="AD114" s="351"/>
      <c r="AE114" s="351">
        <v>0</v>
      </c>
      <c r="AF114" s="351"/>
      <c r="AG114" s="347">
        <v>0</v>
      </c>
      <c r="AH114" s="351"/>
      <c r="AI114" s="351">
        <v>0</v>
      </c>
      <c r="AJ114" s="351"/>
      <c r="AK114" s="347">
        <f>SUM(K114:AI114)</f>
        <v>0</v>
      </c>
      <c r="AL114" s="351"/>
      <c r="AM114" s="351"/>
      <c r="AN114" s="351"/>
      <c r="AO114" s="351">
        <v>0</v>
      </c>
      <c r="AP114" s="351"/>
      <c r="AQ114" s="351">
        <v>0</v>
      </c>
      <c r="AR114" s="351"/>
      <c r="AS114" s="351">
        <v>0</v>
      </c>
      <c r="AT114" s="351"/>
      <c r="AU114" s="351">
        <v>0</v>
      </c>
      <c r="AV114" s="351"/>
      <c r="AW114" s="351">
        <v>0</v>
      </c>
      <c r="AX114" s="351"/>
      <c r="AY114" s="351">
        <v>0</v>
      </c>
      <c r="AZ114" s="351"/>
      <c r="BA114" s="351">
        <v>0</v>
      </c>
      <c r="BB114" s="351"/>
      <c r="BC114" s="351">
        <v>0</v>
      </c>
      <c r="BD114" s="351"/>
      <c r="BE114" s="351">
        <v>0</v>
      </c>
      <c r="BF114" s="351"/>
      <c r="BG114" s="351">
        <v>0</v>
      </c>
      <c r="BH114" s="351"/>
      <c r="BI114" s="351">
        <v>0</v>
      </c>
      <c r="BJ114" s="351"/>
      <c r="BK114" s="351">
        <v>0</v>
      </c>
      <c r="BL114" s="351"/>
      <c r="BM114" s="482">
        <f>SUM(AK114:BB114)</f>
        <v>0</v>
      </c>
      <c r="BN114" s="351"/>
      <c r="BO114" s="199">
        <f>+MAX(0,G114-BM114+AM114)</f>
        <v>0</v>
      </c>
      <c r="BP114" s="347"/>
      <c r="BQ114" s="199">
        <f>SUM(BM114:BO114)</f>
        <v>0</v>
      </c>
      <c r="BR114" s="347"/>
      <c r="BS114" s="351">
        <f>G114-BQ114</f>
        <v>0</v>
      </c>
    </row>
    <row r="115" spans="1:72">
      <c r="A115" s="197"/>
      <c r="B115" s="212" t="s">
        <v>1513</v>
      </c>
      <c r="C115" s="187"/>
      <c r="D115" s="187"/>
      <c r="E115" s="349">
        <f>SUM(E113:E114)</f>
        <v>184017</v>
      </c>
      <c r="G115" s="349">
        <f>SUBTOTAL(9,G113:G114)</f>
        <v>516967</v>
      </c>
      <c r="I115" s="349">
        <f t="shared" ref="I115:AE115" si="38">SUM(I113:I114)</f>
        <v>332950</v>
      </c>
      <c r="J115" s="348">
        <f t="shared" si="38"/>
        <v>0</v>
      </c>
      <c r="K115" s="349">
        <f t="shared" si="38"/>
        <v>0</v>
      </c>
      <c r="L115" s="348">
        <f t="shared" si="38"/>
        <v>0</v>
      </c>
      <c r="M115" s="349">
        <f t="shared" si="38"/>
        <v>0</v>
      </c>
      <c r="N115" s="348">
        <f t="shared" si="38"/>
        <v>0</v>
      </c>
      <c r="O115" s="349">
        <f t="shared" si="38"/>
        <v>0</v>
      </c>
      <c r="P115" s="348">
        <f t="shared" si="38"/>
        <v>0</v>
      </c>
      <c r="Q115" s="349">
        <f t="shared" si="38"/>
        <v>0</v>
      </c>
      <c r="R115" s="348">
        <f t="shared" si="38"/>
        <v>0</v>
      </c>
      <c r="S115" s="349">
        <f t="shared" si="38"/>
        <v>0</v>
      </c>
      <c r="T115" s="348">
        <f t="shared" si="38"/>
        <v>0</v>
      </c>
      <c r="U115" s="349">
        <f t="shared" si="38"/>
        <v>0</v>
      </c>
      <c r="V115" s="348">
        <f t="shared" si="38"/>
        <v>0</v>
      </c>
      <c r="W115" s="349">
        <f t="shared" si="38"/>
        <v>0</v>
      </c>
      <c r="X115" s="348">
        <f t="shared" si="38"/>
        <v>0</v>
      </c>
      <c r="Y115" s="349">
        <f t="shared" si="38"/>
        <v>0</v>
      </c>
      <c r="Z115" s="348">
        <f t="shared" si="38"/>
        <v>0</v>
      </c>
      <c r="AA115" s="349">
        <f t="shared" si="38"/>
        <v>0</v>
      </c>
      <c r="AB115" s="348">
        <f t="shared" si="38"/>
        <v>0</v>
      </c>
      <c r="AC115" s="349">
        <f t="shared" si="38"/>
        <v>0</v>
      </c>
      <c r="AD115" s="348">
        <f t="shared" si="38"/>
        <v>0</v>
      </c>
      <c r="AE115" s="349">
        <f t="shared" si="38"/>
        <v>0</v>
      </c>
      <c r="AF115" s="348"/>
      <c r="AG115" s="349">
        <f>SUM(AG113:AG114)</f>
        <v>0</v>
      </c>
      <c r="AH115" s="348">
        <f>SUM(AH113:AH114)</f>
        <v>0</v>
      </c>
      <c r="AI115" s="349">
        <f>SUM(AI113:AI114)</f>
        <v>0</v>
      </c>
      <c r="AJ115" s="348"/>
      <c r="AK115" s="349">
        <f>SUM(AK113:AK114)</f>
        <v>0</v>
      </c>
      <c r="AL115" s="348">
        <f>SUM(AL113:AL114)</f>
        <v>0</v>
      </c>
      <c r="AM115" s="348">
        <f>SUM(AM113:AM114)</f>
        <v>0</v>
      </c>
      <c r="AN115" s="348">
        <f>SUM(AN113:AN114)</f>
        <v>0</v>
      </c>
      <c r="AO115" s="349">
        <f>SUM(AO113:AO114)</f>
        <v>129</v>
      </c>
      <c r="AP115" s="348"/>
      <c r="AQ115" s="349">
        <f>SUM(AQ113:AQ114)</f>
        <v>47927</v>
      </c>
      <c r="AR115" s="348"/>
      <c r="AS115" s="349">
        <f>SUM(AS113:AS114)</f>
        <v>162508.25</v>
      </c>
      <c r="AT115" s="348"/>
      <c r="AU115" s="349">
        <f>SUM(AU113:AU114)</f>
        <v>107087.59999999998</v>
      </c>
      <c r="AV115" s="348"/>
      <c r="AW115" s="349">
        <f>SUM(AW113:AW114)</f>
        <v>70825.010000000009</v>
      </c>
      <c r="AX115" s="348"/>
      <c r="AY115" s="349">
        <f>SUM(AY113:AY114)</f>
        <v>19994.25</v>
      </c>
      <c r="AZ115" s="348"/>
      <c r="BA115" s="349">
        <f>SUM(BA113:BA114)</f>
        <v>0</v>
      </c>
      <c r="BB115" s="348"/>
      <c r="BC115" s="349">
        <f>SUM(BC113:BC114)</f>
        <v>0</v>
      </c>
      <c r="BD115" s="348"/>
      <c r="BE115" s="349">
        <f>SUM(BE113:BE114)</f>
        <v>77868</v>
      </c>
      <c r="BF115" s="348"/>
      <c r="BG115" s="349">
        <f>SUM(BG113:BG114)</f>
        <v>30621</v>
      </c>
      <c r="BH115" s="348"/>
      <c r="BI115" s="349">
        <f>SUM(BI113:BI114)</f>
        <v>0</v>
      </c>
      <c r="BJ115" s="348"/>
      <c r="BK115" s="349">
        <f>SUM(BK113:BK114)</f>
        <v>0</v>
      </c>
      <c r="BL115" s="348"/>
      <c r="BM115" s="483">
        <f>SUM(BM113:BM114)</f>
        <v>516960.11</v>
      </c>
      <c r="BN115" s="348"/>
      <c r="BO115" s="349">
        <f t="shared" ref="BO115:BT115" si="39">SUM(BO113:BO114)</f>
        <v>6.8900000000139698</v>
      </c>
      <c r="BP115" s="348">
        <f t="shared" si="39"/>
        <v>0</v>
      </c>
      <c r="BQ115" s="349">
        <f t="shared" si="39"/>
        <v>516967</v>
      </c>
      <c r="BR115" s="348">
        <f t="shared" si="39"/>
        <v>0</v>
      </c>
      <c r="BS115" s="349">
        <f t="shared" si="39"/>
        <v>-332950</v>
      </c>
      <c r="BT115" s="348">
        <f t="shared" si="39"/>
        <v>0</v>
      </c>
    </row>
    <row r="116" spans="1:72">
      <c r="A116" s="197"/>
      <c r="B116" s="197"/>
      <c r="C116" s="187"/>
      <c r="D116" s="187"/>
      <c r="E116" s="348"/>
      <c r="G116" s="348"/>
      <c r="I116" s="348"/>
      <c r="K116" s="348"/>
      <c r="L116" s="348"/>
      <c r="M116" s="348"/>
      <c r="N116" s="348"/>
      <c r="O116" s="348"/>
      <c r="P116" s="348"/>
      <c r="Q116" s="348"/>
      <c r="R116" s="348"/>
      <c r="S116" s="348"/>
      <c r="T116" s="360"/>
      <c r="U116" s="348"/>
      <c r="V116" s="348"/>
      <c r="W116" s="348"/>
      <c r="X116" s="348"/>
      <c r="Y116" s="348"/>
      <c r="Z116" s="348"/>
      <c r="AA116" s="348"/>
      <c r="AB116" s="348"/>
      <c r="AC116" s="348"/>
      <c r="AD116" s="348"/>
      <c r="AE116" s="348"/>
      <c r="AF116" s="348"/>
      <c r="AG116" s="348"/>
      <c r="AH116" s="348"/>
      <c r="AI116" s="348"/>
      <c r="AJ116" s="348"/>
      <c r="AK116" s="348"/>
      <c r="AL116" s="348"/>
      <c r="AM116" s="348"/>
      <c r="AN116" s="348"/>
      <c r="AO116" s="348"/>
      <c r="AP116" s="348"/>
      <c r="AQ116" s="348"/>
      <c r="AR116" s="348"/>
      <c r="AS116" s="348"/>
      <c r="AT116" s="348"/>
      <c r="AU116" s="348"/>
      <c r="AV116" s="348"/>
      <c r="AW116" s="348"/>
      <c r="AX116" s="348"/>
      <c r="AY116" s="348"/>
      <c r="AZ116" s="348"/>
      <c r="BA116" s="348"/>
      <c r="BB116" s="348"/>
      <c r="BC116" s="348"/>
      <c r="BD116" s="348"/>
      <c r="BE116" s="348"/>
      <c r="BF116" s="348"/>
      <c r="BG116" s="348"/>
      <c r="BH116" s="348"/>
      <c r="BI116" s="348"/>
      <c r="BJ116" s="348"/>
      <c r="BK116" s="348"/>
      <c r="BL116" s="348"/>
      <c r="BM116" s="482"/>
      <c r="BN116" s="348"/>
      <c r="BO116" s="348"/>
      <c r="BP116" s="348"/>
      <c r="BQ116" s="348"/>
      <c r="BR116" s="348"/>
      <c r="BS116" s="348"/>
    </row>
    <row r="117" spans="1:72">
      <c r="A117" s="340" t="s">
        <v>1494</v>
      </c>
      <c r="C117" s="187"/>
      <c r="D117" s="187"/>
      <c r="E117" s="352"/>
      <c r="G117" s="352"/>
      <c r="I117" s="352"/>
      <c r="K117" s="352"/>
      <c r="L117" s="352"/>
      <c r="M117" s="352"/>
      <c r="N117" s="352"/>
      <c r="O117" s="352"/>
      <c r="P117" s="352"/>
      <c r="Q117" s="352"/>
      <c r="R117" s="352"/>
      <c r="S117" s="352"/>
      <c r="T117" s="362"/>
      <c r="U117" s="352"/>
      <c r="V117" s="352"/>
      <c r="W117" s="352"/>
      <c r="X117" s="352"/>
      <c r="Y117" s="352"/>
      <c r="Z117" s="352"/>
      <c r="AA117" s="352"/>
      <c r="AB117" s="352"/>
      <c r="AC117" s="352"/>
      <c r="AD117" s="352"/>
      <c r="AE117" s="352"/>
      <c r="AF117" s="352"/>
      <c r="AG117" s="352"/>
      <c r="AH117" s="352"/>
      <c r="AI117" s="352"/>
      <c r="AJ117" s="352"/>
      <c r="AK117" s="352"/>
      <c r="AL117" s="352"/>
      <c r="AM117" s="352"/>
      <c r="AN117" s="352"/>
      <c r="AO117" s="352"/>
      <c r="AP117" s="352"/>
      <c r="AQ117" s="352"/>
      <c r="AR117" s="352"/>
      <c r="AS117" s="352"/>
      <c r="AT117" s="352"/>
      <c r="AU117" s="352"/>
      <c r="AV117" s="352"/>
      <c r="AW117" s="352"/>
      <c r="AX117" s="352"/>
      <c r="AY117" s="352"/>
      <c r="AZ117" s="352"/>
      <c r="BA117" s="352"/>
      <c r="BB117" s="352"/>
      <c r="BC117" s="352"/>
      <c r="BD117" s="352"/>
      <c r="BE117" s="352"/>
      <c r="BF117" s="352"/>
      <c r="BG117" s="352"/>
      <c r="BH117" s="352"/>
      <c r="BI117" s="352"/>
      <c r="BJ117" s="352"/>
      <c r="BK117" s="352"/>
      <c r="BL117" s="352"/>
      <c r="BM117" s="482"/>
      <c r="BN117" s="352"/>
      <c r="BO117" s="352"/>
      <c r="BP117" s="352"/>
      <c r="BQ117" s="352"/>
      <c r="BR117" s="352"/>
      <c r="BS117" s="352"/>
    </row>
    <row r="118" spans="1:72">
      <c r="A118" s="197"/>
      <c r="B118" s="197" t="s">
        <v>1484</v>
      </c>
      <c r="C118" s="187"/>
      <c r="D118" s="187"/>
      <c r="E118" s="351">
        <v>550994</v>
      </c>
      <c r="G118" s="351">
        <v>1379111</v>
      </c>
      <c r="I118" s="351">
        <f>G118-E118</f>
        <v>828117</v>
      </c>
      <c r="K118" s="351">
        <v>0</v>
      </c>
      <c r="L118" s="351">
        <v>0</v>
      </c>
      <c r="M118" s="351">
        <v>0</v>
      </c>
      <c r="N118" s="351">
        <v>0</v>
      </c>
      <c r="O118" s="351">
        <v>0</v>
      </c>
      <c r="P118" s="351">
        <v>0</v>
      </c>
      <c r="Q118" s="351">
        <v>0</v>
      </c>
      <c r="R118" s="351">
        <v>0</v>
      </c>
      <c r="S118" s="351">
        <v>0</v>
      </c>
      <c r="T118" s="351">
        <v>0</v>
      </c>
      <c r="U118" s="351">
        <v>0</v>
      </c>
      <c r="V118" s="351">
        <v>0</v>
      </c>
      <c r="W118" s="351">
        <v>0</v>
      </c>
      <c r="X118" s="351">
        <v>0</v>
      </c>
      <c r="Y118" s="351">
        <v>0</v>
      </c>
      <c r="Z118" s="351">
        <v>0</v>
      </c>
      <c r="AA118" s="351">
        <v>0</v>
      </c>
      <c r="AB118" s="351"/>
      <c r="AC118" s="351">
        <v>0</v>
      </c>
      <c r="AD118" s="351"/>
      <c r="AE118" s="351">
        <v>0</v>
      </c>
      <c r="AF118" s="351"/>
      <c r="AG118" s="347">
        <v>0</v>
      </c>
      <c r="AH118" s="351"/>
      <c r="AI118" s="351">
        <v>0</v>
      </c>
      <c r="AJ118" s="351"/>
      <c r="AK118" s="347">
        <f>SUM(K118:AI118)</f>
        <v>0</v>
      </c>
      <c r="AL118" s="351"/>
      <c r="AM118" s="351"/>
      <c r="AN118" s="351"/>
      <c r="AO118" s="351">
        <v>3446</v>
      </c>
      <c r="AP118" s="351"/>
      <c r="AQ118" s="351">
        <f>164639-3446</f>
        <v>161193</v>
      </c>
      <c r="AR118" s="351"/>
      <c r="AS118" s="351">
        <f>473344.95-164639</f>
        <v>308705.95</v>
      </c>
      <c r="AT118" s="351"/>
      <c r="AU118" s="351">
        <f>787628.94-473344.95</f>
        <v>314283.98999999993</v>
      </c>
      <c r="AV118" s="351"/>
      <c r="AW118" s="351">
        <f>1147441.75-787628.94</f>
        <v>359812.81000000006</v>
      </c>
      <c r="AX118" s="351"/>
      <c r="AY118" s="351">
        <f>1314343.36-1147441.75</f>
        <v>166901.6100000001</v>
      </c>
      <c r="AZ118" s="351"/>
      <c r="BA118" s="351">
        <v>0</v>
      </c>
      <c r="BB118" s="351"/>
      <c r="BC118" s="351">
        <v>0</v>
      </c>
      <c r="BD118" s="351"/>
      <c r="BE118" s="351">
        <f>1375477-1314343</f>
        <v>61134</v>
      </c>
      <c r="BF118" s="351"/>
      <c r="BG118" s="351">
        <f>1375490-1375477</f>
        <v>13</v>
      </c>
      <c r="BH118" s="351"/>
      <c r="BI118" s="351">
        <f>1378984-1375490</f>
        <v>3494</v>
      </c>
      <c r="BJ118" s="351"/>
      <c r="BK118" s="351">
        <v>0</v>
      </c>
      <c r="BL118" s="351"/>
      <c r="BM118" s="478">
        <f>SUM(AK118:BL118)</f>
        <v>1378984.36</v>
      </c>
      <c r="BN118" s="351"/>
      <c r="BO118" s="199">
        <f>+MAX(0,G118-BM118+AM118)</f>
        <v>126.63999999989755</v>
      </c>
      <c r="BP118" s="347"/>
      <c r="BQ118" s="199">
        <f>SUM(BM118:BO118)</f>
        <v>1379111</v>
      </c>
      <c r="BR118" s="347"/>
      <c r="BS118" s="351">
        <f>E118-BQ118</f>
        <v>-828117</v>
      </c>
    </row>
    <row r="119" spans="1:72">
      <c r="A119" s="197"/>
      <c r="B119" s="197" t="s">
        <v>1486</v>
      </c>
      <c r="C119" s="187"/>
      <c r="D119" s="187"/>
      <c r="E119" s="351"/>
      <c r="F119" s="351"/>
      <c r="G119" s="351"/>
      <c r="I119" s="351">
        <f>G119-E119</f>
        <v>0</v>
      </c>
      <c r="K119" s="351">
        <v>0</v>
      </c>
      <c r="L119" s="351">
        <v>0</v>
      </c>
      <c r="M119" s="351">
        <v>0</v>
      </c>
      <c r="N119" s="351">
        <v>0</v>
      </c>
      <c r="O119" s="351">
        <v>0</v>
      </c>
      <c r="P119" s="351">
        <v>0</v>
      </c>
      <c r="Q119" s="351">
        <v>0</v>
      </c>
      <c r="R119" s="351">
        <v>0</v>
      </c>
      <c r="S119" s="351">
        <v>0</v>
      </c>
      <c r="T119" s="351">
        <v>0</v>
      </c>
      <c r="U119" s="351">
        <v>0</v>
      </c>
      <c r="V119" s="351">
        <v>0</v>
      </c>
      <c r="W119" s="351">
        <v>0</v>
      </c>
      <c r="X119" s="351">
        <v>0</v>
      </c>
      <c r="Y119" s="351">
        <v>0</v>
      </c>
      <c r="Z119" s="351">
        <v>0</v>
      </c>
      <c r="AA119" s="351">
        <v>0</v>
      </c>
      <c r="AB119" s="351"/>
      <c r="AC119" s="351">
        <v>0</v>
      </c>
      <c r="AD119" s="351"/>
      <c r="AE119" s="351">
        <v>0</v>
      </c>
      <c r="AF119" s="351"/>
      <c r="AG119" s="347">
        <v>0</v>
      </c>
      <c r="AH119" s="351"/>
      <c r="AI119" s="351">
        <v>0</v>
      </c>
      <c r="AJ119" s="351"/>
      <c r="AK119" s="347">
        <f>SUM(K119:AI119)</f>
        <v>0</v>
      </c>
      <c r="AL119" s="351"/>
      <c r="AM119" s="351"/>
      <c r="AN119" s="351"/>
      <c r="AO119" s="351">
        <v>0</v>
      </c>
      <c r="AP119" s="351"/>
      <c r="AQ119" s="351">
        <v>0</v>
      </c>
      <c r="AR119" s="351"/>
      <c r="AS119" s="351">
        <v>0</v>
      </c>
      <c r="AT119" s="351"/>
      <c r="AU119" s="351">
        <v>0</v>
      </c>
      <c r="AV119" s="351"/>
      <c r="AW119" s="351">
        <v>0</v>
      </c>
      <c r="AX119" s="351"/>
      <c r="AY119" s="351">
        <v>0</v>
      </c>
      <c r="AZ119" s="351"/>
      <c r="BA119" s="351">
        <v>0</v>
      </c>
      <c r="BB119" s="351"/>
      <c r="BC119" s="351">
        <v>0</v>
      </c>
      <c r="BD119" s="351"/>
      <c r="BE119" s="351">
        <v>0</v>
      </c>
      <c r="BF119" s="351"/>
      <c r="BG119" s="351">
        <v>0</v>
      </c>
      <c r="BH119" s="351"/>
      <c r="BI119" s="351">
        <v>0</v>
      </c>
      <c r="BJ119" s="351"/>
      <c r="BK119" s="351">
        <v>0</v>
      </c>
      <c r="BL119" s="351"/>
      <c r="BM119" s="478">
        <f>SUM(AK119:BL119)</f>
        <v>0</v>
      </c>
      <c r="BN119" s="351"/>
      <c r="BO119" s="199">
        <f>+MAX(0,G119-BM119+AM119)</f>
        <v>0</v>
      </c>
      <c r="BP119" s="347"/>
      <c r="BQ119" s="199">
        <f>SUM(BM119:BO119)</f>
        <v>0</v>
      </c>
      <c r="BR119" s="347"/>
      <c r="BS119" s="351">
        <f>E119-BQ119</f>
        <v>0</v>
      </c>
    </row>
    <row r="120" spans="1:72">
      <c r="A120" s="197"/>
      <c r="B120" s="212" t="s">
        <v>1514</v>
      </c>
      <c r="C120" s="187"/>
      <c r="D120" s="187"/>
      <c r="E120" s="349">
        <f>SUM(E118:E119)</f>
        <v>550994</v>
      </c>
      <c r="G120" s="349">
        <f>SUBTOTAL(9,G118:G119)</f>
        <v>1379111</v>
      </c>
      <c r="I120" s="349">
        <f>SUM(I118:I119)</f>
        <v>828117</v>
      </c>
      <c r="J120" s="348">
        <f t="shared" ref="J120:AO120" si="40">SUM(J118:J119)</f>
        <v>0</v>
      </c>
      <c r="K120" s="349">
        <f t="shared" si="40"/>
        <v>0</v>
      </c>
      <c r="L120" s="348">
        <f t="shared" si="40"/>
        <v>0</v>
      </c>
      <c r="M120" s="349">
        <f t="shared" si="40"/>
        <v>0</v>
      </c>
      <c r="N120" s="348">
        <f t="shared" si="40"/>
        <v>0</v>
      </c>
      <c r="O120" s="349">
        <f t="shared" si="40"/>
        <v>0</v>
      </c>
      <c r="P120" s="348">
        <f t="shared" si="40"/>
        <v>0</v>
      </c>
      <c r="Q120" s="349">
        <f t="shared" si="40"/>
        <v>0</v>
      </c>
      <c r="R120" s="348">
        <f t="shared" si="40"/>
        <v>0</v>
      </c>
      <c r="S120" s="349">
        <f t="shared" si="40"/>
        <v>0</v>
      </c>
      <c r="T120" s="348">
        <f t="shared" si="40"/>
        <v>0</v>
      </c>
      <c r="U120" s="349">
        <f t="shared" si="40"/>
        <v>0</v>
      </c>
      <c r="V120" s="348">
        <f t="shared" si="40"/>
        <v>0</v>
      </c>
      <c r="W120" s="349">
        <f t="shared" si="40"/>
        <v>0</v>
      </c>
      <c r="X120" s="348">
        <f t="shared" si="40"/>
        <v>0</v>
      </c>
      <c r="Y120" s="349">
        <f t="shared" si="40"/>
        <v>0</v>
      </c>
      <c r="Z120" s="348">
        <f t="shared" si="40"/>
        <v>0</v>
      </c>
      <c r="AA120" s="349">
        <f t="shared" si="40"/>
        <v>0</v>
      </c>
      <c r="AB120" s="348">
        <f t="shared" si="40"/>
        <v>0</v>
      </c>
      <c r="AC120" s="349">
        <f>SUM(AC118:AC119)</f>
        <v>0</v>
      </c>
      <c r="AD120" s="348">
        <f>SUM(AD118:AD119)</f>
        <v>0</v>
      </c>
      <c r="AE120" s="349">
        <f>SUM(AE118:AE119)</f>
        <v>0</v>
      </c>
      <c r="AF120" s="348"/>
      <c r="AG120" s="349">
        <f>SUM(AG118:AG119)</f>
        <v>0</v>
      </c>
      <c r="AH120" s="348">
        <f t="shared" si="40"/>
        <v>0</v>
      </c>
      <c r="AI120" s="349">
        <f t="shared" si="40"/>
        <v>0</v>
      </c>
      <c r="AJ120" s="348"/>
      <c r="AK120" s="349">
        <f>SUM(AK118:AK119)</f>
        <v>0</v>
      </c>
      <c r="AL120" s="348">
        <f t="shared" si="40"/>
        <v>0</v>
      </c>
      <c r="AM120" s="348">
        <f t="shared" si="40"/>
        <v>0</v>
      </c>
      <c r="AN120" s="348">
        <f t="shared" si="40"/>
        <v>0</v>
      </c>
      <c r="AO120" s="349">
        <f t="shared" si="40"/>
        <v>3446</v>
      </c>
      <c r="AP120" s="348"/>
      <c r="AQ120" s="349">
        <f>SUM(AQ118:AQ119)</f>
        <v>161193</v>
      </c>
      <c r="AR120" s="348"/>
      <c r="AS120" s="349">
        <f>SUM(AS118:AS119)</f>
        <v>308705.95</v>
      </c>
      <c r="AT120" s="348"/>
      <c r="AU120" s="349">
        <f>SUM(AU118:AU119)</f>
        <v>314283.98999999993</v>
      </c>
      <c r="AV120" s="348"/>
      <c r="AW120" s="349">
        <f>SUM(AW118:AW119)</f>
        <v>359812.81000000006</v>
      </c>
      <c r="AX120" s="348"/>
      <c r="AY120" s="349">
        <f>SUM(AY118:AY119)</f>
        <v>166901.6100000001</v>
      </c>
      <c r="AZ120" s="348"/>
      <c r="BA120" s="349">
        <f>SUM(BA118:BA119)</f>
        <v>0</v>
      </c>
      <c r="BB120" s="348"/>
      <c r="BC120" s="349">
        <f>SUM(BC118:BC119)</f>
        <v>0</v>
      </c>
      <c r="BD120" s="348"/>
      <c r="BE120" s="349">
        <f>SUM(BE118:BE119)</f>
        <v>61134</v>
      </c>
      <c r="BF120" s="348"/>
      <c r="BG120" s="349">
        <f>SUM(BG118:BG119)</f>
        <v>13</v>
      </c>
      <c r="BH120" s="348"/>
      <c r="BI120" s="349">
        <f>SUM(BI118:BI119)</f>
        <v>3494</v>
      </c>
      <c r="BJ120" s="348"/>
      <c r="BK120" s="349">
        <f>SUM(BK118:BK119)</f>
        <v>0</v>
      </c>
      <c r="BL120" s="348"/>
      <c r="BM120" s="483">
        <f>SUM(BM118:BM119)</f>
        <v>1378984.36</v>
      </c>
      <c r="BN120" s="348"/>
      <c r="BO120" s="349">
        <f>SUM(BO118:BO119)</f>
        <v>126.63999999989755</v>
      </c>
      <c r="BP120" s="348">
        <f>SUM(BP118:BP119)</f>
        <v>0</v>
      </c>
      <c r="BQ120" s="349">
        <f>SUM(BQ118:BQ119)</f>
        <v>1379111</v>
      </c>
      <c r="BR120" s="348">
        <f>SUM(BR118:BR119)</f>
        <v>0</v>
      </c>
      <c r="BS120" s="349">
        <f>SUM(BS118:BS119)</f>
        <v>-828117</v>
      </c>
    </row>
    <row r="121" spans="1:72">
      <c r="A121" s="197"/>
      <c r="B121" s="197"/>
      <c r="C121" s="187"/>
      <c r="D121" s="187"/>
      <c r="E121" s="348"/>
      <c r="G121" s="348"/>
      <c r="I121" s="348"/>
      <c r="K121" s="348"/>
      <c r="L121" s="348"/>
      <c r="M121" s="348"/>
      <c r="N121" s="348"/>
      <c r="O121" s="348"/>
      <c r="P121" s="348"/>
      <c r="Q121" s="348"/>
      <c r="R121" s="348"/>
      <c r="S121" s="348"/>
      <c r="T121" s="360"/>
      <c r="U121" s="348"/>
      <c r="V121" s="348"/>
      <c r="W121" s="348"/>
      <c r="X121" s="348"/>
      <c r="Y121" s="348"/>
      <c r="Z121" s="348"/>
      <c r="AA121" s="348"/>
      <c r="AB121" s="348"/>
      <c r="AC121" s="348"/>
      <c r="AD121" s="348"/>
      <c r="AE121" s="348"/>
      <c r="AF121" s="348"/>
      <c r="AG121" s="348"/>
      <c r="AH121" s="348"/>
      <c r="AI121" s="348"/>
      <c r="AJ121" s="348"/>
      <c r="AK121" s="348"/>
      <c r="AL121" s="348"/>
      <c r="AM121" s="348"/>
      <c r="AN121" s="348"/>
      <c r="AO121" s="348"/>
      <c r="AP121" s="348"/>
      <c r="AQ121" s="348"/>
      <c r="AR121" s="348"/>
      <c r="AS121" s="348"/>
      <c r="AT121" s="348"/>
      <c r="AU121" s="348"/>
      <c r="AV121" s="348"/>
      <c r="AW121" s="348"/>
      <c r="AX121" s="348"/>
      <c r="AY121" s="348"/>
      <c r="AZ121" s="348"/>
      <c r="BA121" s="348"/>
      <c r="BB121" s="348"/>
      <c r="BC121" s="348"/>
      <c r="BD121" s="348"/>
      <c r="BE121" s="348"/>
      <c r="BF121" s="348"/>
      <c r="BG121" s="348"/>
      <c r="BH121" s="348"/>
      <c r="BI121" s="348"/>
      <c r="BJ121" s="348"/>
      <c r="BK121" s="348"/>
      <c r="BL121" s="348"/>
      <c r="BM121" s="482"/>
      <c r="BN121" s="348"/>
      <c r="BO121" s="348"/>
      <c r="BP121" s="348"/>
      <c r="BQ121" s="348"/>
      <c r="BR121" s="348"/>
      <c r="BS121" s="348"/>
    </row>
    <row r="122" spans="1:72" s="221" customFormat="1">
      <c r="A122" s="340" t="s">
        <v>1495</v>
      </c>
      <c r="E122" s="350">
        <f>320617</f>
        <v>320617</v>
      </c>
      <c r="F122" s="350">
        <f>170512+125000</f>
        <v>295512</v>
      </c>
      <c r="G122" s="350">
        <v>318325</v>
      </c>
      <c r="H122" s="225"/>
      <c r="I122" s="350">
        <f>G122-E122</f>
        <v>-2292</v>
      </c>
      <c r="J122" s="350">
        <f>H122-F122</f>
        <v>-295512</v>
      </c>
      <c r="K122" s="350">
        <v>0</v>
      </c>
      <c r="L122" s="350">
        <v>0</v>
      </c>
      <c r="M122" s="350">
        <v>0</v>
      </c>
      <c r="N122" s="350">
        <v>0</v>
      </c>
      <c r="O122" s="350">
        <v>0</v>
      </c>
      <c r="P122" s="350">
        <v>0</v>
      </c>
      <c r="Q122" s="350">
        <v>0</v>
      </c>
      <c r="R122" s="350">
        <v>0</v>
      </c>
      <c r="S122" s="350">
        <v>0</v>
      </c>
      <c r="T122" s="350">
        <v>0</v>
      </c>
      <c r="U122" s="350">
        <v>0</v>
      </c>
      <c r="V122" s="350">
        <v>0</v>
      </c>
      <c r="W122" s="350">
        <v>0</v>
      </c>
      <c r="X122" s="350">
        <v>0</v>
      </c>
      <c r="Y122" s="350">
        <v>0</v>
      </c>
      <c r="Z122" s="350">
        <v>0</v>
      </c>
      <c r="AA122" s="350">
        <v>0</v>
      </c>
      <c r="AB122" s="350"/>
      <c r="AC122" s="350">
        <v>0</v>
      </c>
      <c r="AD122" s="350"/>
      <c r="AE122" s="350">
        <v>0</v>
      </c>
      <c r="AF122" s="350"/>
      <c r="AG122" s="350">
        <v>0</v>
      </c>
      <c r="AH122" s="350"/>
      <c r="AI122" s="350">
        <v>0</v>
      </c>
      <c r="AJ122" s="350"/>
      <c r="AK122" s="350">
        <f>SUM(K122:AI122)</f>
        <v>0</v>
      </c>
      <c r="AL122" s="350"/>
      <c r="AM122" s="350"/>
      <c r="AN122" s="350"/>
      <c r="AO122" s="350">
        <v>0</v>
      </c>
      <c r="AP122" s="350"/>
      <c r="AQ122" s="350">
        <v>1017</v>
      </c>
      <c r="AR122" s="350"/>
      <c r="AS122" s="350">
        <f>7380.37-1017</f>
        <v>6363.37</v>
      </c>
      <c r="AT122" s="350"/>
      <c r="AU122" s="350">
        <f>25106.38-7380.37</f>
        <v>17726.010000000002</v>
      </c>
      <c r="AV122" s="350"/>
      <c r="AW122" s="350">
        <f>135602.94-25106.38</f>
        <v>110496.56</v>
      </c>
      <c r="AX122" s="350"/>
      <c r="AY122" s="350">
        <f>192863.21-135602.94</f>
        <v>57260.26999999999</v>
      </c>
      <c r="AZ122" s="350"/>
      <c r="BA122" s="350">
        <v>0</v>
      </c>
      <c r="BB122" s="350"/>
      <c r="BC122" s="350">
        <v>0</v>
      </c>
      <c r="BD122" s="350"/>
      <c r="BE122" s="350">
        <f>209793-192863</f>
        <v>16930</v>
      </c>
      <c r="BF122" s="350"/>
      <c r="BG122" s="350">
        <f>243493-209793</f>
        <v>33700</v>
      </c>
      <c r="BH122" s="350"/>
      <c r="BI122" s="350">
        <f>294285-243493</f>
        <v>50792</v>
      </c>
      <c r="BJ122" s="350"/>
      <c r="BK122" s="350">
        <v>0</v>
      </c>
      <c r="BL122" s="350"/>
      <c r="BM122" s="440">
        <f>SUM(AK122:BL122)</f>
        <v>294285.20999999996</v>
      </c>
      <c r="BN122" s="350"/>
      <c r="BO122" s="221">
        <f>+MAX(0,G122-BM122+AM122)</f>
        <v>24039.790000000037</v>
      </c>
      <c r="BP122" s="350"/>
      <c r="BQ122" s="221">
        <f>SUM(BM122:BO122)</f>
        <v>318325</v>
      </c>
      <c r="BR122" s="350"/>
      <c r="BS122" s="350">
        <f>E122-BQ122</f>
        <v>2292</v>
      </c>
      <c r="BT122" s="225"/>
    </row>
    <row r="123" spans="1:72">
      <c r="A123" s="197"/>
      <c r="B123" s="197"/>
      <c r="C123" s="187"/>
      <c r="D123" s="187"/>
      <c r="E123" s="347"/>
      <c r="G123" s="347"/>
      <c r="I123" s="347"/>
      <c r="K123" s="347"/>
      <c r="L123" s="347"/>
      <c r="M123" s="347"/>
      <c r="N123" s="347"/>
      <c r="O123" s="347"/>
      <c r="P123" s="347"/>
      <c r="Q123" s="347"/>
      <c r="R123" s="347"/>
      <c r="S123" s="347"/>
      <c r="T123" s="359"/>
      <c r="U123" s="347"/>
      <c r="V123" s="347"/>
      <c r="W123" s="347"/>
      <c r="X123" s="347"/>
      <c r="Y123" s="347"/>
      <c r="Z123" s="347"/>
      <c r="AA123" s="347"/>
      <c r="AB123" s="347"/>
      <c r="AC123" s="347"/>
      <c r="AD123" s="347"/>
      <c r="AE123" s="347"/>
      <c r="AF123" s="347"/>
      <c r="AG123" s="347"/>
      <c r="AH123" s="347"/>
      <c r="AI123" s="347"/>
      <c r="AJ123" s="347"/>
      <c r="AK123" s="347"/>
      <c r="AL123" s="347"/>
      <c r="AM123" s="347"/>
      <c r="AN123" s="347"/>
      <c r="AO123" s="347"/>
      <c r="AP123" s="347"/>
      <c r="AQ123" s="347"/>
      <c r="AR123" s="347"/>
      <c r="AS123" s="347"/>
      <c r="AT123" s="347"/>
      <c r="AU123" s="347"/>
      <c r="AV123" s="347"/>
      <c r="AW123" s="347"/>
      <c r="AX123" s="347"/>
      <c r="AY123" s="347"/>
      <c r="AZ123" s="347"/>
      <c r="BA123" s="347"/>
      <c r="BB123" s="347"/>
      <c r="BC123" s="347"/>
      <c r="BD123" s="347"/>
      <c r="BE123" s="347"/>
      <c r="BF123" s="347"/>
      <c r="BG123" s="347"/>
      <c r="BH123" s="347"/>
      <c r="BI123" s="347"/>
      <c r="BJ123" s="347"/>
      <c r="BK123" s="347"/>
      <c r="BL123" s="347"/>
      <c r="BM123" s="482"/>
      <c r="BN123" s="347"/>
      <c r="BO123" s="347"/>
      <c r="BP123" s="347"/>
      <c r="BQ123" s="347"/>
      <c r="BR123" s="347"/>
      <c r="BS123" s="351"/>
    </row>
    <row r="124" spans="1:72">
      <c r="A124" s="340" t="s">
        <v>1496</v>
      </c>
      <c r="C124" s="187"/>
      <c r="D124" s="187"/>
      <c r="E124" s="350"/>
      <c r="G124" s="350"/>
      <c r="I124" s="350"/>
      <c r="K124" s="350"/>
      <c r="L124" s="350"/>
      <c r="M124" s="350"/>
      <c r="N124" s="350"/>
      <c r="O124" s="350"/>
      <c r="P124" s="350"/>
      <c r="Q124" s="350"/>
      <c r="R124" s="350"/>
      <c r="S124" s="350"/>
      <c r="T124" s="361"/>
      <c r="U124" s="350"/>
      <c r="V124" s="350"/>
      <c r="W124" s="350"/>
      <c r="X124" s="350"/>
      <c r="Y124" s="350"/>
      <c r="Z124" s="350"/>
      <c r="AA124" s="350"/>
      <c r="AB124" s="350"/>
      <c r="AC124" s="350"/>
      <c r="AD124" s="350"/>
      <c r="AE124" s="350"/>
      <c r="AF124" s="350"/>
      <c r="AG124" s="350"/>
      <c r="AH124" s="350"/>
      <c r="AI124" s="350"/>
      <c r="AJ124" s="350"/>
      <c r="AK124" s="350"/>
      <c r="AL124" s="350"/>
      <c r="AM124" s="350"/>
      <c r="AN124" s="350"/>
      <c r="AO124" s="350"/>
      <c r="AP124" s="350"/>
      <c r="AQ124" s="350"/>
      <c r="AR124" s="350"/>
      <c r="AS124" s="350"/>
      <c r="AT124" s="350"/>
      <c r="AU124" s="350"/>
      <c r="AV124" s="350"/>
      <c r="AW124" s="350"/>
      <c r="AX124" s="350"/>
      <c r="AY124" s="350"/>
      <c r="AZ124" s="350"/>
      <c r="BA124" s="350"/>
      <c r="BB124" s="350"/>
      <c r="BC124" s="350"/>
      <c r="BD124" s="350"/>
      <c r="BE124" s="350"/>
      <c r="BF124" s="350"/>
      <c r="BG124" s="350"/>
      <c r="BH124" s="350"/>
      <c r="BI124" s="350"/>
      <c r="BJ124" s="350"/>
      <c r="BK124" s="350"/>
      <c r="BL124" s="350"/>
      <c r="BM124" s="482"/>
      <c r="BN124" s="350"/>
      <c r="BO124" s="199">
        <f>+MAX(0,G124-BM124+AM124)</f>
        <v>0</v>
      </c>
      <c r="BP124" s="350"/>
      <c r="BQ124" s="199">
        <f>SUM(BM124:BO124)</f>
        <v>0</v>
      </c>
      <c r="BR124" s="350"/>
      <c r="BS124" s="350">
        <f>E124-BQ124</f>
        <v>0</v>
      </c>
    </row>
    <row r="125" spans="1:72">
      <c r="A125" s="197"/>
      <c r="B125" s="197" t="s">
        <v>1030</v>
      </c>
      <c r="C125" s="187"/>
      <c r="D125" s="187"/>
      <c r="E125" s="351">
        <v>292985.40000000002</v>
      </c>
      <c r="F125" s="351">
        <v>0</v>
      </c>
      <c r="G125" s="351">
        <v>92401</v>
      </c>
      <c r="I125" s="351">
        <f>G125-E125</f>
        <v>-200584.40000000002</v>
      </c>
      <c r="K125" s="351">
        <v>0</v>
      </c>
      <c r="L125" s="351">
        <v>0</v>
      </c>
      <c r="M125" s="351">
        <v>0</v>
      </c>
      <c r="N125" s="351">
        <v>0</v>
      </c>
      <c r="O125" s="351">
        <v>0</v>
      </c>
      <c r="P125" s="351">
        <v>0</v>
      </c>
      <c r="Q125" s="351">
        <v>0</v>
      </c>
      <c r="R125" s="351">
        <v>0</v>
      </c>
      <c r="S125" s="351">
        <v>0</v>
      </c>
      <c r="T125" s="351">
        <v>0</v>
      </c>
      <c r="U125" s="351">
        <v>0</v>
      </c>
      <c r="V125" s="351">
        <v>0</v>
      </c>
      <c r="W125" s="351">
        <v>0</v>
      </c>
      <c r="X125" s="351">
        <v>0</v>
      </c>
      <c r="Y125" s="351">
        <v>0</v>
      </c>
      <c r="Z125" s="351">
        <v>0</v>
      </c>
      <c r="AA125" s="351">
        <v>0</v>
      </c>
      <c r="AB125" s="351">
        <v>0</v>
      </c>
      <c r="AC125" s="351">
        <v>0</v>
      </c>
      <c r="AD125" s="351">
        <v>0</v>
      </c>
      <c r="AE125" s="351">
        <v>0</v>
      </c>
      <c r="AF125" s="351"/>
      <c r="AG125" s="351">
        <v>0</v>
      </c>
      <c r="AH125" s="351">
        <v>0</v>
      </c>
      <c r="AI125" s="351">
        <v>0</v>
      </c>
      <c r="AJ125" s="351"/>
      <c r="AK125" s="347">
        <f>SUM(K125:AI125)</f>
        <v>0</v>
      </c>
      <c r="AL125" s="351"/>
      <c r="AM125" s="351"/>
      <c r="AN125" s="351"/>
      <c r="AO125" s="351">
        <v>0</v>
      </c>
      <c r="AP125" s="351"/>
      <c r="AQ125" s="351">
        <v>0</v>
      </c>
      <c r="AR125" s="351"/>
      <c r="AS125" s="351">
        <v>0</v>
      </c>
      <c r="AT125" s="351"/>
      <c r="AU125" s="351">
        <v>0</v>
      </c>
      <c r="AV125" s="351"/>
      <c r="AW125" s="351">
        <f>29087.19</f>
        <v>29087.19</v>
      </c>
      <c r="AX125" s="351"/>
      <c r="AY125" s="351">
        <v>0</v>
      </c>
      <c r="AZ125" s="351"/>
      <c r="BA125" s="351">
        <v>0</v>
      </c>
      <c r="BB125" s="351"/>
      <c r="BC125" s="351">
        <v>0</v>
      </c>
      <c r="BD125" s="351"/>
      <c r="BE125" s="351">
        <f>64551-29087</f>
        <v>35464</v>
      </c>
      <c r="BF125" s="351"/>
      <c r="BG125" s="351">
        <v>0</v>
      </c>
      <c r="BH125" s="351"/>
      <c r="BI125" s="351">
        <f>92401-64551</f>
        <v>27850</v>
      </c>
      <c r="BJ125" s="351"/>
      <c r="BK125" s="351">
        <v>0</v>
      </c>
      <c r="BL125" s="351"/>
      <c r="BM125" s="478">
        <f>SUM(AK125:BL125)</f>
        <v>92401.19</v>
      </c>
      <c r="BN125" s="351"/>
      <c r="BO125" s="199">
        <f>+MAX(0,G125-BM125+AM125)</f>
        <v>0</v>
      </c>
      <c r="BP125" s="347"/>
      <c r="BQ125" s="199">
        <f>SUM(BM125:BO125)</f>
        <v>92401.19</v>
      </c>
      <c r="BR125" s="347"/>
      <c r="BS125" s="350">
        <f>E125-BQ125</f>
        <v>200584.21000000002</v>
      </c>
    </row>
    <row r="126" spans="1:72">
      <c r="A126" s="197"/>
      <c r="B126" s="197" t="s">
        <v>1031</v>
      </c>
      <c r="C126" s="187"/>
      <c r="D126" s="187"/>
      <c r="E126" s="351">
        <v>106500</v>
      </c>
      <c r="F126" s="351">
        <v>399485</v>
      </c>
      <c r="G126" s="351">
        <v>269715</v>
      </c>
      <c r="I126" s="351">
        <f>G126-E126</f>
        <v>163215</v>
      </c>
      <c r="K126" s="351">
        <v>0</v>
      </c>
      <c r="L126" s="351">
        <v>0</v>
      </c>
      <c r="M126" s="351">
        <v>0</v>
      </c>
      <c r="N126" s="351">
        <v>0</v>
      </c>
      <c r="O126" s="351">
        <v>0</v>
      </c>
      <c r="P126" s="351">
        <v>0</v>
      </c>
      <c r="Q126" s="351">
        <v>0</v>
      </c>
      <c r="R126" s="351">
        <v>0</v>
      </c>
      <c r="S126" s="351">
        <v>0</v>
      </c>
      <c r="T126" s="351">
        <v>0</v>
      </c>
      <c r="U126" s="351">
        <v>0</v>
      </c>
      <c r="V126" s="351">
        <v>0</v>
      </c>
      <c r="W126" s="351">
        <v>0</v>
      </c>
      <c r="X126" s="351">
        <v>0</v>
      </c>
      <c r="Y126" s="351">
        <v>0</v>
      </c>
      <c r="Z126" s="351">
        <v>0</v>
      </c>
      <c r="AA126" s="351">
        <v>0</v>
      </c>
      <c r="AB126" s="351">
        <v>0</v>
      </c>
      <c r="AC126" s="351">
        <v>0</v>
      </c>
      <c r="AD126" s="351">
        <v>0</v>
      </c>
      <c r="AE126" s="351">
        <v>0</v>
      </c>
      <c r="AF126" s="351"/>
      <c r="AG126" s="351">
        <v>0</v>
      </c>
      <c r="AH126" s="351">
        <v>0</v>
      </c>
      <c r="AI126" s="351">
        <v>0</v>
      </c>
      <c r="AJ126" s="351"/>
      <c r="AK126" s="347">
        <f>SUM(K126:AI126)</f>
        <v>0</v>
      </c>
      <c r="AL126" s="351"/>
      <c r="AM126" s="351"/>
      <c r="AN126" s="351"/>
      <c r="AO126" s="351">
        <v>0</v>
      </c>
      <c r="AP126" s="351"/>
      <c r="AQ126" s="351">
        <v>0</v>
      </c>
      <c r="AR126" s="351"/>
      <c r="AS126" s="351">
        <v>0</v>
      </c>
      <c r="AT126" s="351"/>
      <c r="AU126" s="351">
        <v>13630.45</v>
      </c>
      <c r="AV126" s="351"/>
      <c r="AW126" s="351">
        <f>37098.78-13630.45</f>
        <v>23468.329999999998</v>
      </c>
      <c r="AX126" s="351"/>
      <c r="AY126" s="351">
        <f>62648.78-37098.78</f>
        <v>25550</v>
      </c>
      <c r="AZ126" s="351"/>
      <c r="BA126" s="351">
        <v>0</v>
      </c>
      <c r="BB126" s="351"/>
      <c r="BC126" s="351">
        <v>0</v>
      </c>
      <c r="BD126" s="351"/>
      <c r="BE126" s="351">
        <f>203191-62649</f>
        <v>140542</v>
      </c>
      <c r="BF126" s="351"/>
      <c r="BG126" s="351">
        <v>0</v>
      </c>
      <c r="BH126" s="351"/>
      <c r="BI126" s="351">
        <f>253706-203191</f>
        <v>50515</v>
      </c>
      <c r="BJ126" s="351"/>
      <c r="BK126" s="351">
        <v>0</v>
      </c>
      <c r="BL126" s="351"/>
      <c r="BM126" s="478">
        <f>SUM(AK126:BL126)</f>
        <v>253705.78</v>
      </c>
      <c r="BN126" s="351"/>
      <c r="BO126" s="199">
        <f>+MAX(0,G126-BM126+AM126)</f>
        <v>16009.220000000001</v>
      </c>
      <c r="BP126" s="347"/>
      <c r="BQ126" s="199">
        <f>SUM(BM126:BO126)</f>
        <v>269715</v>
      </c>
      <c r="BR126" s="347"/>
      <c r="BS126" s="350">
        <f>E126-BQ126</f>
        <v>-163215</v>
      </c>
    </row>
    <row r="127" spans="1:72">
      <c r="A127" s="197"/>
      <c r="B127" s="212" t="s">
        <v>1515</v>
      </c>
      <c r="C127" s="187"/>
      <c r="D127" s="187"/>
      <c r="E127" s="349">
        <f>SUM(E125:E126)</f>
        <v>399485.4</v>
      </c>
      <c r="G127" s="349">
        <f>SUBTOTAL(9,G125:G126)</f>
        <v>362116</v>
      </c>
      <c r="I127" s="349">
        <f t="shared" ref="I127:AD127" si="41">SUM(I125:I126)</f>
        <v>-37369.400000000023</v>
      </c>
      <c r="J127" s="348">
        <f t="shared" si="41"/>
        <v>0</v>
      </c>
      <c r="K127" s="349">
        <f t="shared" si="41"/>
        <v>0</v>
      </c>
      <c r="L127" s="348">
        <f t="shared" si="41"/>
        <v>0</v>
      </c>
      <c r="M127" s="349">
        <f t="shared" si="41"/>
        <v>0</v>
      </c>
      <c r="N127" s="348">
        <f t="shared" si="41"/>
        <v>0</v>
      </c>
      <c r="O127" s="349">
        <f t="shared" si="41"/>
        <v>0</v>
      </c>
      <c r="P127" s="348">
        <f t="shared" si="41"/>
        <v>0</v>
      </c>
      <c r="Q127" s="349">
        <f t="shared" si="41"/>
        <v>0</v>
      </c>
      <c r="R127" s="348">
        <f t="shared" si="41"/>
        <v>0</v>
      </c>
      <c r="S127" s="349">
        <f t="shared" si="41"/>
        <v>0</v>
      </c>
      <c r="T127" s="348">
        <f t="shared" si="41"/>
        <v>0</v>
      </c>
      <c r="U127" s="349">
        <f t="shared" si="41"/>
        <v>0</v>
      </c>
      <c r="V127" s="348">
        <f t="shared" si="41"/>
        <v>0</v>
      </c>
      <c r="W127" s="349">
        <f t="shared" si="41"/>
        <v>0</v>
      </c>
      <c r="X127" s="348">
        <f t="shared" si="41"/>
        <v>0</v>
      </c>
      <c r="Y127" s="349">
        <f t="shared" si="41"/>
        <v>0</v>
      </c>
      <c r="Z127" s="348">
        <f t="shared" si="41"/>
        <v>0</v>
      </c>
      <c r="AA127" s="349">
        <f t="shared" si="41"/>
        <v>0</v>
      </c>
      <c r="AB127" s="348">
        <f t="shared" si="41"/>
        <v>0</v>
      </c>
      <c r="AC127" s="349">
        <f t="shared" si="41"/>
        <v>0</v>
      </c>
      <c r="AD127" s="348">
        <f t="shared" si="41"/>
        <v>0</v>
      </c>
      <c r="AE127" s="349">
        <v>0</v>
      </c>
      <c r="AF127" s="348"/>
      <c r="AG127" s="349">
        <v>0</v>
      </c>
      <c r="AH127" s="348">
        <f>SUM(AH125:AH126)</f>
        <v>0</v>
      </c>
      <c r="AI127" s="349">
        <f>SUM(AI125:AI126)</f>
        <v>0</v>
      </c>
      <c r="AJ127" s="348"/>
      <c r="AK127" s="349">
        <f>SUM(AK125:AK126)</f>
        <v>0</v>
      </c>
      <c r="AL127" s="348">
        <f>SUM(AL125:AL126)</f>
        <v>0</v>
      </c>
      <c r="AM127" s="348">
        <f>SUM(AM125:AM126)</f>
        <v>0</v>
      </c>
      <c r="AN127" s="348">
        <f>SUM(AN125:AN126)</f>
        <v>0</v>
      </c>
      <c r="AO127" s="349">
        <f>SUM(AO125:AO126)</f>
        <v>0</v>
      </c>
      <c r="AP127" s="348"/>
      <c r="AQ127" s="349">
        <f>SUM(AQ125:AQ126)</f>
        <v>0</v>
      </c>
      <c r="AR127" s="348"/>
      <c r="AS127" s="349">
        <f>SUM(AS125:AS126)</f>
        <v>0</v>
      </c>
      <c r="AT127" s="348"/>
      <c r="AU127" s="349">
        <f>SUM(AU125:AU126)</f>
        <v>13630.45</v>
      </c>
      <c r="AV127" s="348"/>
      <c r="AW127" s="349">
        <f>SUM(AW125:AW126)</f>
        <v>52555.519999999997</v>
      </c>
      <c r="AX127" s="348"/>
      <c r="AY127" s="349">
        <f>SUM(AY125:AY126)</f>
        <v>25550</v>
      </c>
      <c r="AZ127" s="348"/>
      <c r="BA127" s="349">
        <f>SUM(BA125:BA126)</f>
        <v>0</v>
      </c>
      <c r="BB127" s="348"/>
      <c r="BC127" s="349">
        <f>SUM(BC125:BC126)</f>
        <v>0</v>
      </c>
      <c r="BD127" s="348"/>
      <c r="BE127" s="349">
        <f>SUM(BE125:BE126)</f>
        <v>176006</v>
      </c>
      <c r="BF127" s="348"/>
      <c r="BG127" s="349">
        <f>SUM(BG125:BG126)</f>
        <v>0</v>
      </c>
      <c r="BH127" s="348"/>
      <c r="BI127" s="349">
        <f>SUM(BI125:BI126)</f>
        <v>78365</v>
      </c>
      <c r="BJ127" s="348"/>
      <c r="BK127" s="349">
        <f>SUM(BK125:BK126)</f>
        <v>0</v>
      </c>
      <c r="BL127" s="348"/>
      <c r="BM127" s="483">
        <f>SUM(BM125:BM126)</f>
        <v>346106.97</v>
      </c>
      <c r="BN127" s="348"/>
      <c r="BO127" s="349">
        <f t="shared" ref="BO127:BT127" si="42">SUM(BO125:BO126)</f>
        <v>16009.220000000001</v>
      </c>
      <c r="BP127" s="348">
        <f t="shared" si="42"/>
        <v>0</v>
      </c>
      <c r="BQ127" s="349">
        <f t="shared" si="42"/>
        <v>362116.19</v>
      </c>
      <c r="BR127" s="348">
        <f t="shared" si="42"/>
        <v>0</v>
      </c>
      <c r="BS127" s="349">
        <f t="shared" si="42"/>
        <v>37369.210000000021</v>
      </c>
      <c r="BT127" s="348">
        <f t="shared" si="42"/>
        <v>0</v>
      </c>
    </row>
    <row r="128" spans="1:72">
      <c r="A128" s="197"/>
      <c r="B128" s="197"/>
      <c r="C128" s="187"/>
      <c r="D128" s="187"/>
      <c r="E128" s="347"/>
      <c r="G128" s="347"/>
      <c r="I128" s="347"/>
      <c r="K128" s="347"/>
      <c r="L128" s="347"/>
      <c r="M128" s="347"/>
      <c r="N128" s="347"/>
      <c r="O128" s="347"/>
      <c r="P128" s="347"/>
      <c r="Q128" s="347"/>
      <c r="R128" s="347"/>
      <c r="S128" s="347"/>
      <c r="T128" s="359"/>
      <c r="U128" s="347"/>
      <c r="V128" s="347"/>
      <c r="W128" s="347"/>
      <c r="X128" s="347"/>
      <c r="Y128" s="347"/>
      <c r="Z128" s="347"/>
      <c r="AA128" s="347"/>
      <c r="AB128" s="347"/>
      <c r="AC128" s="347"/>
      <c r="AD128" s="347"/>
      <c r="AE128" s="347"/>
      <c r="AF128" s="347"/>
      <c r="AG128" s="347"/>
      <c r="AH128" s="347"/>
      <c r="AI128" s="347"/>
      <c r="AJ128" s="347"/>
      <c r="AK128" s="347"/>
      <c r="AL128" s="347"/>
      <c r="AM128" s="347"/>
      <c r="AN128" s="347"/>
      <c r="AO128" s="347"/>
      <c r="AP128" s="347"/>
      <c r="AQ128" s="347"/>
      <c r="AR128" s="347"/>
      <c r="AS128" s="347"/>
      <c r="AT128" s="347"/>
      <c r="AU128" s="347"/>
      <c r="AV128" s="347"/>
      <c r="AW128" s="347"/>
      <c r="AX128" s="347"/>
      <c r="AY128" s="347"/>
      <c r="AZ128" s="347"/>
      <c r="BA128" s="347"/>
      <c r="BB128" s="347"/>
      <c r="BC128" s="347"/>
      <c r="BD128" s="347"/>
      <c r="BE128" s="347"/>
      <c r="BF128" s="347"/>
      <c r="BG128" s="347"/>
      <c r="BH128" s="347"/>
      <c r="BI128" s="347"/>
      <c r="BJ128" s="347"/>
      <c r="BK128" s="347"/>
      <c r="BL128" s="347"/>
      <c r="BM128" s="484"/>
      <c r="BN128" s="347"/>
      <c r="BO128" s="347"/>
      <c r="BP128" s="347"/>
      <c r="BQ128" s="347"/>
      <c r="BR128" s="347"/>
      <c r="BS128" s="351"/>
    </row>
    <row r="129" spans="1:72">
      <c r="A129" s="340" t="s">
        <v>1498</v>
      </c>
      <c r="C129" s="187"/>
      <c r="D129" s="187"/>
      <c r="E129" s="350"/>
      <c r="G129" s="350"/>
      <c r="I129" s="350"/>
      <c r="K129" s="350"/>
      <c r="L129" s="350"/>
      <c r="M129" s="350"/>
      <c r="N129" s="350"/>
      <c r="O129" s="350"/>
      <c r="P129" s="350"/>
      <c r="Q129" s="350"/>
      <c r="R129" s="350"/>
      <c r="S129" s="350"/>
      <c r="T129" s="361"/>
      <c r="U129" s="350"/>
      <c r="V129" s="350"/>
      <c r="W129" s="350"/>
      <c r="X129" s="350"/>
      <c r="Y129" s="350"/>
      <c r="Z129" s="350"/>
      <c r="AA129" s="350"/>
      <c r="AB129" s="350"/>
      <c r="AC129" s="350"/>
      <c r="AD129" s="350"/>
      <c r="AE129" s="350"/>
      <c r="AF129" s="350"/>
      <c r="AG129" s="350"/>
      <c r="AH129" s="350"/>
      <c r="AI129" s="350"/>
      <c r="AJ129" s="350"/>
      <c r="AK129" s="350"/>
      <c r="AL129" s="350"/>
      <c r="AM129" s="350"/>
      <c r="AN129" s="350"/>
      <c r="AO129" s="350"/>
      <c r="AP129" s="350"/>
      <c r="AQ129" s="350"/>
      <c r="AR129" s="350"/>
      <c r="AS129" s="350"/>
      <c r="AT129" s="350"/>
      <c r="AU129" s="350"/>
      <c r="AV129" s="350"/>
      <c r="AW129" s="350"/>
      <c r="AX129" s="350"/>
      <c r="AY129" s="350"/>
      <c r="AZ129" s="350"/>
      <c r="BA129" s="350"/>
      <c r="BB129" s="350"/>
      <c r="BC129" s="350"/>
      <c r="BD129" s="350"/>
      <c r="BE129" s="350"/>
      <c r="BF129" s="350"/>
      <c r="BG129" s="350"/>
      <c r="BH129" s="350"/>
      <c r="BI129" s="350"/>
      <c r="BJ129" s="350"/>
      <c r="BK129" s="350"/>
      <c r="BL129" s="350"/>
      <c r="BM129" s="482"/>
      <c r="BN129" s="350"/>
      <c r="BO129" s="350"/>
      <c r="BP129" s="350"/>
      <c r="BQ129" s="350"/>
      <c r="BR129" s="350"/>
      <c r="BS129" s="350"/>
    </row>
    <row r="130" spans="1:72">
      <c r="A130" s="197"/>
      <c r="B130" s="197" t="s">
        <v>1484</v>
      </c>
      <c r="C130" s="187"/>
      <c r="D130" s="187"/>
      <c r="E130" s="351">
        <v>1847148.4</v>
      </c>
      <c r="G130" s="351">
        <v>2254517</v>
      </c>
      <c r="I130" s="351">
        <f>G130-E130</f>
        <v>407368.60000000009</v>
      </c>
      <c r="K130" s="351">
        <v>0</v>
      </c>
      <c r="L130" s="351">
        <v>0</v>
      </c>
      <c r="M130" s="351">
        <v>0</v>
      </c>
      <c r="N130" s="351">
        <v>0</v>
      </c>
      <c r="O130" s="351">
        <v>0</v>
      </c>
      <c r="P130" s="351">
        <v>0</v>
      </c>
      <c r="Q130" s="351">
        <v>0</v>
      </c>
      <c r="R130" s="351">
        <v>0</v>
      </c>
      <c r="S130" s="351">
        <v>0</v>
      </c>
      <c r="T130" s="351">
        <v>0</v>
      </c>
      <c r="U130" s="351">
        <v>0</v>
      </c>
      <c r="V130" s="351">
        <v>0</v>
      </c>
      <c r="W130" s="351">
        <v>0</v>
      </c>
      <c r="X130" s="351">
        <v>0</v>
      </c>
      <c r="Y130" s="351">
        <v>0</v>
      </c>
      <c r="Z130" s="351">
        <v>0</v>
      </c>
      <c r="AA130" s="351">
        <v>0</v>
      </c>
      <c r="AB130" s="351"/>
      <c r="AC130" s="351">
        <v>0</v>
      </c>
      <c r="AD130" s="351"/>
      <c r="AE130" s="351">
        <v>0</v>
      </c>
      <c r="AF130" s="351"/>
      <c r="AG130" s="347">
        <v>0</v>
      </c>
      <c r="AH130" s="351"/>
      <c r="AI130" s="351">
        <v>0</v>
      </c>
      <c r="AJ130" s="351"/>
      <c r="AK130" s="347">
        <f>SUM(K130:AI130)</f>
        <v>0</v>
      </c>
      <c r="AL130" s="351"/>
      <c r="AM130" s="351"/>
      <c r="AN130" s="351"/>
      <c r="AO130" s="351">
        <f>31324+4633</f>
        <v>35957</v>
      </c>
      <c r="AP130" s="351"/>
      <c r="AQ130" s="351">
        <f>452525-31324-4633</f>
        <v>416568</v>
      </c>
      <c r="AR130" s="351"/>
      <c r="AS130" s="351">
        <f>685360.01-452525</f>
        <v>232835.01</v>
      </c>
      <c r="AT130" s="351"/>
      <c r="AU130" s="351">
        <f>1077214.15-685360.01</f>
        <v>391854.1399999999</v>
      </c>
      <c r="AV130" s="351"/>
      <c r="AW130" s="351">
        <f>1667992.67-1077214.15</f>
        <v>590778.52</v>
      </c>
      <c r="AX130" s="351"/>
      <c r="AY130" s="351">
        <f>1980047.28-1667992.67</f>
        <v>312054.6100000001</v>
      </c>
      <c r="AZ130" s="351"/>
      <c r="BA130" s="351">
        <v>0</v>
      </c>
      <c r="BB130" s="351"/>
      <c r="BC130" s="351">
        <v>0</v>
      </c>
      <c r="BD130" s="351"/>
      <c r="BE130" s="351">
        <f>2254502-1980047</f>
        <v>274455</v>
      </c>
      <c r="BF130" s="351"/>
      <c r="BG130" s="351"/>
      <c r="BH130" s="351"/>
      <c r="BI130" s="351">
        <f>2254502-2254502</f>
        <v>0</v>
      </c>
      <c r="BJ130" s="351"/>
      <c r="BK130" s="351">
        <f>2254502-2254502</f>
        <v>0</v>
      </c>
      <c r="BL130" s="351"/>
      <c r="BM130" s="478">
        <f>SUM(AK130:BL130)</f>
        <v>2254502.2800000003</v>
      </c>
      <c r="BN130" s="351"/>
      <c r="BO130" s="199">
        <f>+MAX(0,G130-BM130+AM130)</f>
        <v>14.71999999973923</v>
      </c>
      <c r="BP130" s="347"/>
      <c r="BQ130" s="199">
        <f>SUM(BM130:BO130)</f>
        <v>2254517</v>
      </c>
      <c r="BR130" s="347"/>
      <c r="BS130" s="351">
        <f>E130-BQ130</f>
        <v>-407368.60000000009</v>
      </c>
    </row>
    <row r="131" spans="1:72">
      <c r="A131" s="197"/>
      <c r="B131" s="197" t="s">
        <v>1486</v>
      </c>
      <c r="C131" s="187"/>
      <c r="D131" s="187"/>
      <c r="E131" s="351">
        <v>0</v>
      </c>
      <c r="F131" s="351"/>
      <c r="G131" s="351">
        <v>0</v>
      </c>
      <c r="I131" s="351">
        <f>G131-E131</f>
        <v>0</v>
      </c>
      <c r="K131" s="351">
        <v>0</v>
      </c>
      <c r="L131" s="351">
        <v>0</v>
      </c>
      <c r="M131" s="351">
        <v>0</v>
      </c>
      <c r="N131" s="351">
        <v>0</v>
      </c>
      <c r="O131" s="351">
        <v>0</v>
      </c>
      <c r="P131" s="351">
        <v>0</v>
      </c>
      <c r="Q131" s="351">
        <v>0</v>
      </c>
      <c r="R131" s="351">
        <v>0</v>
      </c>
      <c r="S131" s="351">
        <v>0</v>
      </c>
      <c r="T131" s="351">
        <v>0</v>
      </c>
      <c r="U131" s="351">
        <v>0</v>
      </c>
      <c r="V131" s="351">
        <v>0</v>
      </c>
      <c r="W131" s="351">
        <v>0</v>
      </c>
      <c r="X131" s="351">
        <v>0</v>
      </c>
      <c r="Y131" s="351">
        <v>0</v>
      </c>
      <c r="Z131" s="351">
        <v>0</v>
      </c>
      <c r="AA131" s="351">
        <v>0</v>
      </c>
      <c r="AB131" s="351"/>
      <c r="AC131" s="351">
        <v>0</v>
      </c>
      <c r="AD131" s="351"/>
      <c r="AE131" s="351">
        <v>0</v>
      </c>
      <c r="AF131" s="351"/>
      <c r="AG131" s="347">
        <v>0</v>
      </c>
      <c r="AH131" s="351"/>
      <c r="AI131" s="351">
        <v>0</v>
      </c>
      <c r="AJ131" s="351"/>
      <c r="AK131" s="347">
        <f>SUM(K131:AI131)</f>
        <v>0</v>
      </c>
      <c r="AL131" s="351"/>
      <c r="AM131" s="351"/>
      <c r="AN131" s="351"/>
      <c r="AO131" s="351">
        <v>0</v>
      </c>
      <c r="AP131" s="351"/>
      <c r="AQ131" s="351">
        <v>0</v>
      </c>
      <c r="AR131" s="351"/>
      <c r="AS131" s="351">
        <v>0</v>
      </c>
      <c r="AT131" s="351"/>
      <c r="AU131" s="351">
        <v>0</v>
      </c>
      <c r="AV131" s="351"/>
      <c r="AW131" s="351">
        <v>0</v>
      </c>
      <c r="AX131" s="351"/>
      <c r="AY131" s="351">
        <v>0</v>
      </c>
      <c r="AZ131" s="351"/>
      <c r="BA131" s="351">
        <v>0</v>
      </c>
      <c r="BB131" s="351"/>
      <c r="BC131" s="351">
        <v>0</v>
      </c>
      <c r="BD131" s="351"/>
      <c r="BE131" s="351">
        <v>0</v>
      </c>
      <c r="BF131" s="351"/>
      <c r="BG131" s="351">
        <v>0</v>
      </c>
      <c r="BH131" s="351"/>
      <c r="BI131" s="351">
        <v>0</v>
      </c>
      <c r="BJ131" s="351"/>
      <c r="BK131" s="351">
        <v>0</v>
      </c>
      <c r="BL131" s="351"/>
      <c r="BM131" s="478">
        <f>SUM(AK131:BL131)</f>
        <v>0</v>
      </c>
      <c r="BN131" s="351"/>
      <c r="BO131" s="199">
        <f>+MAX(0,G131-BM131+AM131)</f>
        <v>0</v>
      </c>
      <c r="BP131" s="347"/>
      <c r="BQ131" s="199">
        <f>SUM(BM131:BO131)</f>
        <v>0</v>
      </c>
      <c r="BR131" s="347"/>
      <c r="BS131" s="351">
        <f>E131-BQ131</f>
        <v>0</v>
      </c>
    </row>
    <row r="132" spans="1:72">
      <c r="A132" s="197"/>
      <c r="B132" s="212" t="s">
        <v>1516</v>
      </c>
      <c r="C132" s="187"/>
      <c r="D132" s="187"/>
      <c r="E132" s="349">
        <f>SUM(E130:E131)</f>
        <v>1847148.4</v>
      </c>
      <c r="G132" s="349">
        <f>SUBTOTAL(9,G130:G131)</f>
        <v>2254517</v>
      </c>
      <c r="I132" s="349">
        <f>SUM(I130:I131)</f>
        <v>407368.60000000009</v>
      </c>
      <c r="J132" s="348">
        <f t="shared" ref="J132:AO132" si="43">SUM(J130:J131)</f>
        <v>0</v>
      </c>
      <c r="K132" s="349">
        <f t="shared" si="43"/>
        <v>0</v>
      </c>
      <c r="L132" s="348">
        <f t="shared" si="43"/>
        <v>0</v>
      </c>
      <c r="M132" s="349">
        <f t="shared" si="43"/>
        <v>0</v>
      </c>
      <c r="N132" s="348">
        <f t="shared" si="43"/>
        <v>0</v>
      </c>
      <c r="O132" s="349">
        <f t="shared" si="43"/>
        <v>0</v>
      </c>
      <c r="P132" s="348">
        <f t="shared" si="43"/>
        <v>0</v>
      </c>
      <c r="Q132" s="349">
        <f t="shared" si="43"/>
        <v>0</v>
      </c>
      <c r="R132" s="348">
        <f t="shared" si="43"/>
        <v>0</v>
      </c>
      <c r="S132" s="349">
        <f t="shared" si="43"/>
        <v>0</v>
      </c>
      <c r="T132" s="348">
        <f t="shared" si="43"/>
        <v>0</v>
      </c>
      <c r="U132" s="349">
        <f t="shared" si="43"/>
        <v>0</v>
      </c>
      <c r="V132" s="348">
        <f t="shared" si="43"/>
        <v>0</v>
      </c>
      <c r="W132" s="349">
        <f t="shared" si="43"/>
        <v>0</v>
      </c>
      <c r="X132" s="348">
        <f t="shared" si="43"/>
        <v>0</v>
      </c>
      <c r="Y132" s="349">
        <f t="shared" si="43"/>
        <v>0</v>
      </c>
      <c r="Z132" s="348">
        <f t="shared" si="43"/>
        <v>0</v>
      </c>
      <c r="AA132" s="349">
        <f t="shared" si="43"/>
        <v>0</v>
      </c>
      <c r="AB132" s="348">
        <f t="shared" si="43"/>
        <v>0</v>
      </c>
      <c r="AC132" s="349">
        <f>SUM(AC130:AC131)</f>
        <v>0</v>
      </c>
      <c r="AD132" s="348">
        <f t="shared" si="43"/>
        <v>0</v>
      </c>
      <c r="AE132" s="349">
        <v>0</v>
      </c>
      <c r="AF132" s="348"/>
      <c r="AG132" s="349">
        <f>SUM(AG130:AG131)</f>
        <v>0</v>
      </c>
      <c r="AH132" s="348">
        <f t="shared" si="43"/>
        <v>0</v>
      </c>
      <c r="AI132" s="349">
        <f t="shared" si="43"/>
        <v>0</v>
      </c>
      <c r="AJ132" s="348"/>
      <c r="AK132" s="349">
        <f>SUM(AK130:AK131)</f>
        <v>0</v>
      </c>
      <c r="AL132" s="348">
        <f t="shared" si="43"/>
        <v>0</v>
      </c>
      <c r="AM132" s="348">
        <f t="shared" si="43"/>
        <v>0</v>
      </c>
      <c r="AN132" s="348">
        <f t="shared" si="43"/>
        <v>0</v>
      </c>
      <c r="AO132" s="349">
        <f t="shared" si="43"/>
        <v>35957</v>
      </c>
      <c r="AP132" s="348"/>
      <c r="AQ132" s="349">
        <f>SUM(AQ130:AQ131)</f>
        <v>416568</v>
      </c>
      <c r="AR132" s="348"/>
      <c r="AS132" s="349">
        <f>SUM(AS130:AS131)</f>
        <v>232835.01</v>
      </c>
      <c r="AT132" s="348"/>
      <c r="AU132" s="349">
        <f>SUM(AU130:AU131)</f>
        <v>391854.1399999999</v>
      </c>
      <c r="AV132" s="348"/>
      <c r="AW132" s="349">
        <f>SUM(AW130:AW131)</f>
        <v>590778.52</v>
      </c>
      <c r="AX132" s="348"/>
      <c r="AY132" s="349">
        <f>SUM(AY130:AY131)</f>
        <v>312054.6100000001</v>
      </c>
      <c r="AZ132" s="348"/>
      <c r="BA132" s="349">
        <f>SUM(BA130:BA131)</f>
        <v>0</v>
      </c>
      <c r="BB132" s="348"/>
      <c r="BC132" s="349">
        <f>SUM(BC130:BC131)</f>
        <v>0</v>
      </c>
      <c r="BD132" s="348"/>
      <c r="BE132" s="349">
        <f>SUM(BE130:BE131)</f>
        <v>274455</v>
      </c>
      <c r="BF132" s="348"/>
      <c r="BG132" s="349">
        <f>SUM(BG130:BG131)</f>
        <v>0</v>
      </c>
      <c r="BH132" s="348"/>
      <c r="BI132" s="349">
        <f>SUM(BI130:BI131)</f>
        <v>0</v>
      </c>
      <c r="BJ132" s="348"/>
      <c r="BK132" s="349">
        <f>SUM(BK130:BK131)</f>
        <v>0</v>
      </c>
      <c r="BL132" s="348"/>
      <c r="BM132" s="483">
        <f>SUM(BM130:BM131)</f>
        <v>2254502.2800000003</v>
      </c>
      <c r="BN132" s="348"/>
      <c r="BO132" s="349">
        <f t="shared" ref="BO132:BT132" si="44">SUM(BO130:BO131)</f>
        <v>14.71999999973923</v>
      </c>
      <c r="BP132" s="348">
        <f t="shared" si="44"/>
        <v>0</v>
      </c>
      <c r="BQ132" s="349">
        <f t="shared" si="44"/>
        <v>2254517</v>
      </c>
      <c r="BR132" s="348">
        <f t="shared" si="44"/>
        <v>0</v>
      </c>
      <c r="BS132" s="349">
        <f t="shared" si="44"/>
        <v>-407368.60000000009</v>
      </c>
      <c r="BT132" s="349">
        <f t="shared" si="44"/>
        <v>0</v>
      </c>
    </row>
    <row r="133" spans="1:72" hidden="1">
      <c r="A133" s="197"/>
      <c r="B133" s="197"/>
      <c r="C133" s="187"/>
      <c r="D133" s="187"/>
      <c r="E133" s="347"/>
      <c r="G133" s="347"/>
      <c r="I133" s="347"/>
      <c r="K133" s="347"/>
      <c r="L133" s="347"/>
      <c r="M133" s="347"/>
      <c r="N133" s="347"/>
      <c r="O133" s="347"/>
      <c r="P133" s="347"/>
      <c r="Q133" s="347"/>
      <c r="R133" s="347"/>
      <c r="S133" s="347"/>
      <c r="T133" s="359"/>
      <c r="U133" s="347"/>
      <c r="V133" s="347"/>
      <c r="W133" s="347"/>
      <c r="X133" s="347"/>
      <c r="Y133" s="347"/>
      <c r="Z133" s="347"/>
      <c r="AA133" s="347"/>
      <c r="AB133" s="347"/>
      <c r="AC133" s="347"/>
      <c r="AD133" s="347"/>
      <c r="AE133" s="347"/>
      <c r="AF133" s="347"/>
      <c r="AG133" s="347"/>
      <c r="AH133" s="347"/>
      <c r="AI133" s="347"/>
      <c r="AJ133" s="347"/>
      <c r="AK133" s="347"/>
      <c r="AL133" s="347"/>
      <c r="AM133" s="347"/>
      <c r="AN133" s="347"/>
      <c r="AO133" s="347"/>
      <c r="AP133" s="347"/>
      <c r="AQ133" s="347"/>
      <c r="AR133" s="347"/>
      <c r="AS133" s="347"/>
      <c r="AT133" s="347"/>
      <c r="AU133" s="347"/>
      <c r="AV133" s="347"/>
      <c r="AW133" s="347"/>
      <c r="AX133" s="347"/>
      <c r="AY133" s="347"/>
      <c r="AZ133" s="347"/>
      <c r="BA133" s="347"/>
      <c r="BB133" s="347"/>
      <c r="BC133" s="347"/>
      <c r="BD133" s="347"/>
      <c r="BE133" s="347"/>
      <c r="BF133" s="347"/>
      <c r="BG133" s="347"/>
      <c r="BH133" s="347"/>
      <c r="BI133" s="347"/>
      <c r="BJ133" s="347"/>
      <c r="BK133" s="347"/>
      <c r="BL133" s="347"/>
      <c r="BM133" s="484"/>
      <c r="BN133" s="347"/>
      <c r="BO133" s="347"/>
      <c r="BP133" s="347"/>
      <c r="BQ133" s="347"/>
      <c r="BR133" s="347"/>
      <c r="BS133" s="351"/>
    </row>
    <row r="134" spans="1:72" s="221" customFormat="1" hidden="1">
      <c r="A134" s="340" t="s">
        <v>1499</v>
      </c>
      <c r="E134" s="350">
        <v>0</v>
      </c>
      <c r="F134" s="350">
        <v>0</v>
      </c>
      <c r="G134" s="350">
        <v>0</v>
      </c>
      <c r="H134" s="225"/>
      <c r="I134" s="350">
        <f>G134-E134</f>
        <v>0</v>
      </c>
      <c r="J134" s="225"/>
      <c r="K134" s="350">
        <v>0</v>
      </c>
      <c r="L134" s="350">
        <v>0</v>
      </c>
      <c r="M134" s="350">
        <v>0</v>
      </c>
      <c r="N134" s="350">
        <v>0</v>
      </c>
      <c r="O134" s="350">
        <v>0</v>
      </c>
      <c r="P134" s="350">
        <v>0</v>
      </c>
      <c r="Q134" s="350">
        <v>0</v>
      </c>
      <c r="R134" s="350">
        <v>0</v>
      </c>
      <c r="S134" s="350">
        <v>0</v>
      </c>
      <c r="T134" s="350">
        <v>0</v>
      </c>
      <c r="U134" s="350">
        <v>0</v>
      </c>
      <c r="V134" s="350">
        <v>0</v>
      </c>
      <c r="W134" s="350">
        <v>0</v>
      </c>
      <c r="X134" s="350">
        <v>0</v>
      </c>
      <c r="Y134" s="350">
        <v>0</v>
      </c>
      <c r="Z134" s="350">
        <v>0</v>
      </c>
      <c r="AA134" s="350">
        <v>0</v>
      </c>
      <c r="AB134" s="350"/>
      <c r="AC134" s="350">
        <v>0</v>
      </c>
      <c r="AD134" s="350"/>
      <c r="AE134" s="350">
        <v>0</v>
      </c>
      <c r="AF134" s="350"/>
      <c r="AG134" s="350">
        <v>0</v>
      </c>
      <c r="AH134" s="350"/>
      <c r="AI134" s="350"/>
      <c r="AJ134" s="350"/>
      <c r="AK134" s="350">
        <f>SUM(K134:AI134)</f>
        <v>0</v>
      </c>
      <c r="AL134" s="350"/>
      <c r="AM134" s="350"/>
      <c r="AN134" s="350"/>
      <c r="AO134" s="350">
        <v>0</v>
      </c>
      <c r="AP134" s="350"/>
      <c r="AQ134" s="350">
        <v>0</v>
      </c>
      <c r="AR134" s="350"/>
      <c r="AS134" s="350">
        <v>0</v>
      </c>
      <c r="AT134" s="350"/>
      <c r="AU134" s="350">
        <v>0</v>
      </c>
      <c r="AV134" s="350"/>
      <c r="AW134" s="350">
        <v>0</v>
      </c>
      <c r="AX134" s="350"/>
      <c r="AY134" s="350">
        <v>0</v>
      </c>
      <c r="AZ134" s="350"/>
      <c r="BA134" s="350">
        <v>0</v>
      </c>
      <c r="BB134" s="350"/>
      <c r="BC134" s="350">
        <v>0</v>
      </c>
      <c r="BD134" s="350"/>
      <c r="BE134" s="350">
        <v>0</v>
      </c>
      <c r="BF134" s="350"/>
      <c r="BG134" s="350">
        <v>0</v>
      </c>
      <c r="BH134" s="350"/>
      <c r="BI134" s="350">
        <v>0</v>
      </c>
      <c r="BJ134" s="350"/>
      <c r="BK134" s="350">
        <v>0</v>
      </c>
      <c r="BL134" s="350"/>
      <c r="BM134" s="482">
        <f>SUM(AK134:AT134)</f>
        <v>0</v>
      </c>
      <c r="BN134" s="350"/>
      <c r="BO134" s="221">
        <f>+MAX(0,G134-BM134+AM134)</f>
        <v>0</v>
      </c>
      <c r="BP134" s="350"/>
      <c r="BQ134" s="221">
        <f>SUM(BM134:BO134)</f>
        <v>0</v>
      </c>
      <c r="BR134" s="350"/>
      <c r="BS134" s="350">
        <f>G134-BQ134</f>
        <v>0</v>
      </c>
      <c r="BT134" s="225"/>
    </row>
    <row r="135" spans="1:72" ht="12" customHeight="1">
      <c r="A135" s="197"/>
      <c r="B135" s="197"/>
      <c r="C135" s="187"/>
      <c r="D135" s="187"/>
      <c r="E135" s="347"/>
      <c r="G135" s="347"/>
      <c r="I135" s="347"/>
      <c r="K135" s="347"/>
      <c r="L135" s="347"/>
      <c r="M135" s="347"/>
      <c r="N135" s="347"/>
      <c r="O135" s="347"/>
      <c r="P135" s="347"/>
      <c r="Q135" s="347"/>
      <c r="R135" s="347"/>
      <c r="S135" s="347"/>
      <c r="T135" s="359"/>
      <c r="U135" s="347"/>
      <c r="V135" s="347"/>
      <c r="W135" s="347"/>
      <c r="X135" s="347"/>
      <c r="Y135" s="347"/>
      <c r="Z135" s="347"/>
      <c r="AA135" s="347"/>
      <c r="AB135" s="347"/>
      <c r="AC135" s="347"/>
      <c r="AD135" s="347"/>
      <c r="AE135" s="347"/>
      <c r="AF135" s="347"/>
      <c r="AG135" s="347"/>
      <c r="AH135" s="347"/>
      <c r="AI135" s="347"/>
      <c r="AJ135" s="347"/>
      <c r="AK135" s="347"/>
      <c r="AL135" s="347"/>
      <c r="AM135" s="347"/>
      <c r="AN135" s="347"/>
      <c r="AO135" s="347"/>
      <c r="AP135" s="347"/>
      <c r="AQ135" s="347"/>
      <c r="AR135" s="347"/>
      <c r="AS135" s="347"/>
      <c r="AT135" s="347"/>
      <c r="AU135" s="347"/>
      <c r="AV135" s="347"/>
      <c r="AW135" s="347"/>
      <c r="AX135" s="347"/>
      <c r="AY135" s="347"/>
      <c r="AZ135" s="347"/>
      <c r="BA135" s="347"/>
      <c r="BB135" s="347"/>
      <c r="BC135" s="347"/>
      <c r="BD135" s="347"/>
      <c r="BE135" s="347"/>
      <c r="BF135" s="347"/>
      <c r="BG135" s="347"/>
      <c r="BH135" s="347"/>
      <c r="BI135" s="347"/>
      <c r="BJ135" s="347"/>
      <c r="BK135" s="347"/>
      <c r="BL135" s="347"/>
      <c r="BM135" s="484"/>
      <c r="BN135" s="347"/>
      <c r="BO135" s="347"/>
      <c r="BP135" s="347"/>
      <c r="BQ135" s="347"/>
      <c r="BR135" s="347"/>
      <c r="BS135" s="351"/>
    </row>
    <row r="136" spans="1:72">
      <c r="A136" s="340" t="s">
        <v>1500</v>
      </c>
      <c r="C136" s="187"/>
      <c r="D136" s="187"/>
      <c r="E136" s="350"/>
      <c r="G136" s="350"/>
      <c r="I136" s="350"/>
      <c r="K136" s="350"/>
      <c r="L136" s="350"/>
      <c r="M136" s="350"/>
      <c r="N136" s="350"/>
      <c r="O136" s="350"/>
      <c r="P136" s="350"/>
      <c r="Q136" s="350"/>
      <c r="R136" s="350"/>
      <c r="S136" s="350"/>
      <c r="T136" s="361"/>
      <c r="U136" s="350"/>
      <c r="V136" s="350"/>
      <c r="W136" s="350"/>
      <c r="X136" s="350"/>
      <c r="Y136" s="350"/>
      <c r="Z136" s="350"/>
      <c r="AA136" s="350"/>
      <c r="AB136" s="350"/>
      <c r="AC136" s="350"/>
      <c r="AD136" s="350"/>
      <c r="AE136" s="350"/>
      <c r="AF136" s="350"/>
      <c r="AG136" s="350"/>
      <c r="AH136" s="350"/>
      <c r="AI136" s="350"/>
      <c r="AJ136" s="350"/>
      <c r="AK136" s="350"/>
      <c r="AL136" s="350"/>
      <c r="AM136" s="350"/>
      <c r="AN136" s="350"/>
      <c r="AO136" s="350"/>
      <c r="AP136" s="350"/>
      <c r="AQ136" s="350"/>
      <c r="AR136" s="350"/>
      <c r="AS136" s="350"/>
      <c r="AT136" s="350"/>
      <c r="AU136" s="350"/>
      <c r="AV136" s="350"/>
      <c r="AW136" s="350"/>
      <c r="AX136" s="350"/>
      <c r="AY136" s="350"/>
      <c r="AZ136" s="350"/>
      <c r="BA136" s="350"/>
      <c r="BB136" s="350"/>
      <c r="BC136" s="350"/>
      <c r="BD136" s="350"/>
      <c r="BE136" s="350"/>
      <c r="BF136" s="350"/>
      <c r="BG136" s="350"/>
      <c r="BH136" s="350"/>
      <c r="BI136" s="350"/>
      <c r="BJ136" s="350"/>
      <c r="BK136" s="350"/>
      <c r="BL136" s="350"/>
      <c r="BM136" s="482"/>
      <c r="BN136" s="350"/>
      <c r="BO136" s="350"/>
      <c r="BP136" s="350"/>
      <c r="BQ136" s="350"/>
      <c r="BR136" s="350"/>
      <c r="BS136" s="350"/>
    </row>
    <row r="137" spans="1:72">
      <c r="A137" s="197"/>
      <c r="B137" s="197" t="s">
        <v>1028</v>
      </c>
      <c r="C137" s="187"/>
      <c r="D137" s="187"/>
      <c r="E137" s="351">
        <v>610650.4</v>
      </c>
      <c r="F137" s="351">
        <v>448332</v>
      </c>
      <c r="G137" s="351">
        <v>2305920</v>
      </c>
      <c r="I137" s="351">
        <f>G137-E137</f>
        <v>1695269.6</v>
      </c>
      <c r="K137" s="351">
        <v>0</v>
      </c>
      <c r="L137" s="351">
        <v>0</v>
      </c>
      <c r="M137" s="351">
        <v>0</v>
      </c>
      <c r="N137" s="351">
        <v>0</v>
      </c>
      <c r="O137" s="351">
        <v>0</v>
      </c>
      <c r="P137" s="351">
        <v>0</v>
      </c>
      <c r="Q137" s="351">
        <v>0</v>
      </c>
      <c r="R137" s="351">
        <v>0</v>
      </c>
      <c r="S137" s="351">
        <v>0</v>
      </c>
      <c r="T137" s="351">
        <v>0</v>
      </c>
      <c r="U137" s="351">
        <v>0</v>
      </c>
      <c r="V137" s="351">
        <v>0</v>
      </c>
      <c r="W137" s="351">
        <v>0</v>
      </c>
      <c r="X137" s="351">
        <v>0</v>
      </c>
      <c r="Y137" s="351">
        <v>0</v>
      </c>
      <c r="Z137" s="351">
        <v>0</v>
      </c>
      <c r="AA137" s="351">
        <v>0</v>
      </c>
      <c r="AB137" s="351"/>
      <c r="AC137" s="351">
        <v>0</v>
      </c>
      <c r="AD137" s="351"/>
      <c r="AE137" s="351">
        <v>0</v>
      </c>
      <c r="AF137" s="351"/>
      <c r="AG137" s="347">
        <v>0</v>
      </c>
      <c r="AH137" s="351"/>
      <c r="AI137" s="351">
        <v>0</v>
      </c>
      <c r="AJ137" s="351"/>
      <c r="AK137" s="347">
        <f>SUM(K137:AI137)</f>
        <v>0</v>
      </c>
      <c r="AL137" s="351"/>
      <c r="AM137" s="351"/>
      <c r="AN137" s="351"/>
      <c r="AO137" s="351">
        <f>26998+1050</f>
        <v>28048</v>
      </c>
      <c r="AP137" s="351"/>
      <c r="AQ137" s="351">
        <f>178369-26998-1050</f>
        <v>150321</v>
      </c>
      <c r="AR137" s="351"/>
      <c r="AS137" s="351">
        <f>368860.73-178369</f>
        <v>190491.72999999998</v>
      </c>
      <c r="AT137" s="351"/>
      <c r="AU137" s="351">
        <f>487385.14-368860.73</f>
        <v>118524.41000000003</v>
      </c>
      <c r="AV137" s="351"/>
      <c r="AW137" s="351">
        <f>1250055.47-487385.14</f>
        <v>762670.33</v>
      </c>
      <c r="AX137" s="351"/>
      <c r="AY137" s="351">
        <f>1685922.37-1250055.47</f>
        <v>435866.90000000014</v>
      </c>
      <c r="AZ137" s="351"/>
      <c r="BA137" s="351">
        <v>0</v>
      </c>
      <c r="BB137" s="351"/>
      <c r="BC137" s="351">
        <v>0</v>
      </c>
      <c r="BD137" s="351"/>
      <c r="BE137" s="351">
        <f>2138218-1685922</f>
        <v>452296</v>
      </c>
      <c r="BF137" s="351"/>
      <c r="BG137" s="351">
        <f>2154993-2138218</f>
        <v>16775</v>
      </c>
      <c r="BH137" s="351"/>
      <c r="BI137" s="351">
        <f>2206150-2154993</f>
        <v>51157</v>
      </c>
      <c r="BJ137" s="351"/>
      <c r="BK137" s="351">
        <v>0</v>
      </c>
      <c r="BL137" s="351"/>
      <c r="BM137" s="478">
        <f>SUM(AK137:BL137)</f>
        <v>2206150.37</v>
      </c>
      <c r="BN137" s="351"/>
      <c r="BO137" s="199">
        <f>+MAX(0,G137-BM137+AM137)</f>
        <v>99769.629999999888</v>
      </c>
      <c r="BP137" s="347"/>
      <c r="BQ137" s="199">
        <f>SUM(BM137:BO137)</f>
        <v>2305920</v>
      </c>
      <c r="BR137" s="347"/>
      <c r="BS137" s="351">
        <f>E137-BQ137</f>
        <v>-1695269.6</v>
      </c>
    </row>
    <row r="138" spans="1:72">
      <c r="A138" s="197"/>
      <c r="B138" s="197" t="s">
        <v>1029</v>
      </c>
      <c r="C138" s="187"/>
      <c r="D138" s="187"/>
      <c r="E138" s="351">
        <v>210000</v>
      </c>
      <c r="F138" s="351">
        <v>155150</v>
      </c>
      <c r="G138" s="351">
        <v>0</v>
      </c>
      <c r="I138" s="351">
        <f>G138-E138</f>
        <v>-210000</v>
      </c>
      <c r="K138" s="351">
        <v>0</v>
      </c>
      <c r="L138" s="351">
        <v>0</v>
      </c>
      <c r="M138" s="351">
        <v>0</v>
      </c>
      <c r="N138" s="351">
        <v>0</v>
      </c>
      <c r="O138" s="351">
        <v>0</v>
      </c>
      <c r="P138" s="351">
        <v>0</v>
      </c>
      <c r="Q138" s="351">
        <v>0</v>
      </c>
      <c r="R138" s="351">
        <v>0</v>
      </c>
      <c r="S138" s="351">
        <v>0</v>
      </c>
      <c r="T138" s="351">
        <v>0</v>
      </c>
      <c r="U138" s="351">
        <v>0</v>
      </c>
      <c r="V138" s="351">
        <v>0</v>
      </c>
      <c r="W138" s="351">
        <v>0</v>
      </c>
      <c r="X138" s="351">
        <v>0</v>
      </c>
      <c r="Y138" s="351">
        <v>0</v>
      </c>
      <c r="Z138" s="351">
        <v>0</v>
      </c>
      <c r="AA138" s="351">
        <v>0</v>
      </c>
      <c r="AB138" s="351"/>
      <c r="AC138" s="351">
        <v>0</v>
      </c>
      <c r="AD138" s="351"/>
      <c r="AE138" s="351">
        <v>0</v>
      </c>
      <c r="AF138" s="351"/>
      <c r="AG138" s="347">
        <v>0</v>
      </c>
      <c r="AH138" s="351"/>
      <c r="AI138" s="351">
        <v>0</v>
      </c>
      <c r="AJ138" s="351"/>
      <c r="AK138" s="347">
        <f>SUM(K138:AI138)</f>
        <v>0</v>
      </c>
      <c r="AL138" s="351"/>
      <c r="AM138" s="351"/>
      <c r="AN138" s="351"/>
      <c r="AO138" s="351">
        <v>0</v>
      </c>
      <c r="AP138" s="351"/>
      <c r="AQ138" s="351">
        <v>0</v>
      </c>
      <c r="AR138" s="351"/>
      <c r="AS138" s="351">
        <v>0</v>
      </c>
      <c r="AT138" s="351"/>
      <c r="AU138" s="351">
        <v>0</v>
      </c>
      <c r="AV138" s="351"/>
      <c r="AW138" s="351">
        <v>0</v>
      </c>
      <c r="AX138" s="351"/>
      <c r="AY138" s="351">
        <v>0</v>
      </c>
      <c r="AZ138" s="351"/>
      <c r="BA138" s="351">
        <v>0</v>
      </c>
      <c r="BB138" s="351"/>
      <c r="BC138" s="351">
        <v>0</v>
      </c>
      <c r="BD138" s="351"/>
      <c r="BE138" s="351">
        <v>0</v>
      </c>
      <c r="BF138" s="351"/>
      <c r="BG138" s="351">
        <v>0</v>
      </c>
      <c r="BH138" s="351"/>
      <c r="BI138" s="351">
        <f>0-0</f>
        <v>0</v>
      </c>
      <c r="BJ138" s="351"/>
      <c r="BK138" s="351">
        <f>0-0</f>
        <v>0</v>
      </c>
      <c r="BL138" s="351"/>
      <c r="BM138" s="478">
        <f>SUM(AK138:BL138)</f>
        <v>0</v>
      </c>
      <c r="BN138" s="351"/>
      <c r="BO138" s="199">
        <f>+MAX(0,G138-BM138+AM138)</f>
        <v>0</v>
      </c>
      <c r="BP138" s="347"/>
      <c r="BQ138" s="199">
        <f>SUM(BM138:BO138)</f>
        <v>0</v>
      </c>
      <c r="BR138" s="347"/>
      <c r="BS138" s="351">
        <f>E138-BQ138</f>
        <v>210000</v>
      </c>
    </row>
    <row r="139" spans="1:72">
      <c r="A139" s="197"/>
      <c r="B139" s="212" t="s">
        <v>1517</v>
      </c>
      <c r="C139" s="187"/>
      <c r="D139" s="187"/>
      <c r="E139" s="349">
        <f>SUM(E137:E138)</f>
        <v>820650.4</v>
      </c>
      <c r="G139" s="349">
        <f>SUBTOTAL(9,G137:G138)</f>
        <v>2305920</v>
      </c>
      <c r="I139" s="349">
        <f t="shared" ref="I139:AE139" si="45">SUM(I137:I138)</f>
        <v>1485269.6</v>
      </c>
      <c r="J139" s="348">
        <f t="shared" si="45"/>
        <v>0</v>
      </c>
      <c r="K139" s="349">
        <f t="shared" si="45"/>
        <v>0</v>
      </c>
      <c r="L139" s="348">
        <f t="shared" si="45"/>
        <v>0</v>
      </c>
      <c r="M139" s="349">
        <f t="shared" si="45"/>
        <v>0</v>
      </c>
      <c r="N139" s="348">
        <f t="shared" si="45"/>
        <v>0</v>
      </c>
      <c r="O139" s="349">
        <f t="shared" si="45"/>
        <v>0</v>
      </c>
      <c r="P139" s="348">
        <f t="shared" si="45"/>
        <v>0</v>
      </c>
      <c r="Q139" s="349">
        <f t="shared" si="45"/>
        <v>0</v>
      </c>
      <c r="R139" s="348">
        <f t="shared" si="45"/>
        <v>0</v>
      </c>
      <c r="S139" s="349">
        <f t="shared" si="45"/>
        <v>0</v>
      </c>
      <c r="T139" s="348">
        <f t="shared" si="45"/>
        <v>0</v>
      </c>
      <c r="U139" s="349">
        <f t="shared" si="45"/>
        <v>0</v>
      </c>
      <c r="V139" s="348">
        <f t="shared" si="45"/>
        <v>0</v>
      </c>
      <c r="W139" s="349">
        <f t="shared" si="45"/>
        <v>0</v>
      </c>
      <c r="X139" s="348">
        <f t="shared" si="45"/>
        <v>0</v>
      </c>
      <c r="Y139" s="349">
        <f t="shared" si="45"/>
        <v>0</v>
      </c>
      <c r="Z139" s="348">
        <f t="shared" si="45"/>
        <v>0</v>
      </c>
      <c r="AA139" s="349">
        <f t="shared" si="45"/>
        <v>0</v>
      </c>
      <c r="AB139" s="348">
        <f t="shared" si="45"/>
        <v>0</v>
      </c>
      <c r="AC139" s="349">
        <f t="shared" si="45"/>
        <v>0</v>
      </c>
      <c r="AD139" s="348">
        <f t="shared" si="45"/>
        <v>0</v>
      </c>
      <c r="AE139" s="349">
        <f t="shared" si="45"/>
        <v>0</v>
      </c>
      <c r="AF139" s="348"/>
      <c r="AG139" s="349">
        <f>SUM(AG137:AG138)</f>
        <v>0</v>
      </c>
      <c r="AH139" s="348">
        <f>SUM(AH137:AH138)</f>
        <v>0</v>
      </c>
      <c r="AI139" s="349">
        <f>SUM(AI137:AI138)</f>
        <v>0</v>
      </c>
      <c r="AJ139" s="348"/>
      <c r="AK139" s="349">
        <f>SUM(AK137:AK138)</f>
        <v>0</v>
      </c>
      <c r="AL139" s="348">
        <f>SUM(AL137:AL138)</f>
        <v>0</v>
      </c>
      <c r="AM139" s="348">
        <f>SUM(AM137:AM138)</f>
        <v>0</v>
      </c>
      <c r="AN139" s="348">
        <f>SUM(AN137:AN138)</f>
        <v>0</v>
      </c>
      <c r="AO139" s="349">
        <f>SUM(AO137:AO138)</f>
        <v>28048</v>
      </c>
      <c r="AP139" s="348"/>
      <c r="AQ139" s="349">
        <f>SUM(AQ137:AQ138)</f>
        <v>150321</v>
      </c>
      <c r="AR139" s="348"/>
      <c r="AS139" s="349">
        <f>SUM(AS137:AS138)</f>
        <v>190491.72999999998</v>
      </c>
      <c r="AT139" s="348"/>
      <c r="AU139" s="349">
        <f>SUM(AU137:AU138)</f>
        <v>118524.41000000003</v>
      </c>
      <c r="AV139" s="348"/>
      <c r="AW139" s="349">
        <f>SUM(AW137:AW138)</f>
        <v>762670.33</v>
      </c>
      <c r="AX139" s="348"/>
      <c r="AY139" s="349">
        <f>SUM(AY137:AY138)</f>
        <v>435866.90000000014</v>
      </c>
      <c r="AZ139" s="348"/>
      <c r="BA139" s="349">
        <f>SUM(BA137:BA138)</f>
        <v>0</v>
      </c>
      <c r="BB139" s="348"/>
      <c r="BC139" s="349">
        <f>SUM(BC137:BC138)</f>
        <v>0</v>
      </c>
      <c r="BD139" s="348"/>
      <c r="BE139" s="349">
        <f>SUM(BE137:BE138)</f>
        <v>452296</v>
      </c>
      <c r="BF139" s="348"/>
      <c r="BG139" s="349">
        <f>SUM(BG137:BG138)</f>
        <v>16775</v>
      </c>
      <c r="BH139" s="348"/>
      <c r="BI139" s="349">
        <f>SUM(BI137:BI138)</f>
        <v>51157</v>
      </c>
      <c r="BJ139" s="348"/>
      <c r="BK139" s="349">
        <f>SUM(BK137:BK138)</f>
        <v>0</v>
      </c>
      <c r="BL139" s="348"/>
      <c r="BM139" s="483">
        <f>SUM(BM137:BM138)</f>
        <v>2206150.37</v>
      </c>
      <c r="BN139" s="348"/>
      <c r="BO139" s="349">
        <f t="shared" ref="BO139:BT139" si="46">SUM(BO137:BO138)</f>
        <v>99769.629999999888</v>
      </c>
      <c r="BP139" s="348">
        <f t="shared" si="46"/>
        <v>0</v>
      </c>
      <c r="BQ139" s="349">
        <f t="shared" si="46"/>
        <v>2305920</v>
      </c>
      <c r="BR139" s="348">
        <f t="shared" si="46"/>
        <v>0</v>
      </c>
      <c r="BS139" s="349">
        <f t="shared" si="46"/>
        <v>-1485269.6</v>
      </c>
      <c r="BT139" s="348">
        <f t="shared" si="46"/>
        <v>0</v>
      </c>
    </row>
    <row r="140" spans="1:72">
      <c r="A140" s="197"/>
      <c r="B140" s="212"/>
      <c r="C140" s="187"/>
      <c r="D140" s="187"/>
      <c r="E140" s="348"/>
      <c r="G140" s="348"/>
      <c r="I140" s="348"/>
      <c r="J140" s="348"/>
      <c r="K140" s="348"/>
      <c r="L140" s="348"/>
      <c r="M140" s="348"/>
      <c r="N140" s="348"/>
      <c r="O140" s="348"/>
      <c r="P140" s="348"/>
      <c r="Q140" s="348"/>
      <c r="R140" s="348"/>
      <c r="S140" s="348"/>
      <c r="T140" s="348"/>
      <c r="U140" s="348"/>
      <c r="V140" s="348"/>
      <c r="W140" s="348"/>
      <c r="X140" s="348"/>
      <c r="Y140" s="348"/>
      <c r="Z140" s="348"/>
      <c r="AA140" s="348"/>
      <c r="AB140" s="348"/>
      <c r="AC140" s="348"/>
      <c r="AD140" s="348"/>
      <c r="AE140" s="348"/>
      <c r="AF140" s="348"/>
      <c r="AG140" s="348"/>
      <c r="AH140" s="348"/>
      <c r="AI140" s="348"/>
      <c r="AJ140" s="348"/>
      <c r="AK140" s="348"/>
      <c r="AL140" s="348"/>
      <c r="AM140" s="348"/>
      <c r="AN140" s="348"/>
      <c r="AO140" s="348"/>
      <c r="AP140" s="348"/>
      <c r="AQ140" s="348"/>
      <c r="AR140" s="348"/>
      <c r="AS140" s="348"/>
      <c r="AT140" s="348"/>
      <c r="AU140" s="348"/>
      <c r="AV140" s="348"/>
      <c r="AW140" s="348"/>
      <c r="AX140" s="348"/>
      <c r="AY140" s="348"/>
      <c r="AZ140" s="348"/>
      <c r="BA140" s="348"/>
      <c r="BB140" s="348"/>
      <c r="BC140" s="348"/>
      <c r="BD140" s="348"/>
      <c r="BE140" s="348"/>
      <c r="BF140" s="348"/>
      <c r="BG140" s="348"/>
      <c r="BH140" s="348"/>
      <c r="BI140" s="348"/>
      <c r="BJ140" s="348"/>
      <c r="BK140" s="348"/>
      <c r="BL140" s="348"/>
      <c r="BM140" s="482"/>
      <c r="BN140" s="348"/>
      <c r="BO140" s="348"/>
      <c r="BP140" s="348"/>
      <c r="BQ140" s="348"/>
      <c r="BR140" s="348"/>
      <c r="BS140" s="348"/>
      <c r="BT140" s="348"/>
    </row>
    <row r="141" spans="1:72">
      <c r="A141" s="498" t="s">
        <v>1033</v>
      </c>
      <c r="E141" s="351">
        <v>155000</v>
      </c>
      <c r="F141" s="351">
        <f>170512+125000</f>
        <v>295512</v>
      </c>
      <c r="G141" s="351">
        <v>0</v>
      </c>
      <c r="I141" s="351">
        <f>G141-E141</f>
        <v>-155000</v>
      </c>
      <c r="J141" s="351">
        <f>H141-F141</f>
        <v>-295512</v>
      </c>
      <c r="K141" s="351">
        <v>0</v>
      </c>
      <c r="L141" s="351">
        <v>0</v>
      </c>
      <c r="M141" s="351">
        <v>0</v>
      </c>
      <c r="N141" s="351">
        <v>0</v>
      </c>
      <c r="O141" s="351">
        <v>0</v>
      </c>
      <c r="P141" s="351">
        <v>0</v>
      </c>
      <c r="Q141" s="351">
        <v>0</v>
      </c>
      <c r="R141" s="351">
        <v>0</v>
      </c>
      <c r="S141" s="351">
        <v>0</v>
      </c>
      <c r="T141" s="351">
        <v>0</v>
      </c>
      <c r="U141" s="351">
        <v>0</v>
      </c>
      <c r="V141" s="351">
        <v>0</v>
      </c>
      <c r="W141" s="351">
        <v>0</v>
      </c>
      <c r="X141" s="351">
        <v>0</v>
      </c>
      <c r="Y141" s="351">
        <v>0</v>
      </c>
      <c r="Z141" s="351">
        <v>0</v>
      </c>
      <c r="AA141" s="351">
        <v>0</v>
      </c>
      <c r="AB141" s="351"/>
      <c r="AC141" s="351">
        <v>0</v>
      </c>
      <c r="AD141" s="351"/>
      <c r="AE141" s="351">
        <v>0</v>
      </c>
      <c r="AF141" s="351"/>
      <c r="AG141" s="351">
        <v>0</v>
      </c>
      <c r="AH141" s="351"/>
      <c r="AI141" s="351">
        <v>0</v>
      </c>
      <c r="AJ141" s="351"/>
      <c r="AK141" s="351">
        <f>SUM(K141:AI141)</f>
        <v>0</v>
      </c>
      <c r="AL141" s="351"/>
      <c r="AM141" s="351"/>
      <c r="AN141" s="351"/>
      <c r="AO141" s="351">
        <v>0</v>
      </c>
      <c r="AP141" s="351"/>
      <c r="AQ141" s="351">
        <v>0</v>
      </c>
      <c r="AR141" s="351"/>
      <c r="AS141" s="351">
        <v>0</v>
      </c>
      <c r="AT141" s="351"/>
      <c r="AU141" s="351">
        <v>0</v>
      </c>
      <c r="AV141" s="351"/>
      <c r="AW141" s="351">
        <v>0</v>
      </c>
      <c r="AX141" s="351"/>
      <c r="AY141" s="351">
        <v>0</v>
      </c>
      <c r="AZ141" s="351"/>
      <c r="BA141" s="351">
        <v>0</v>
      </c>
      <c r="BB141" s="351"/>
      <c r="BC141" s="351">
        <v>0</v>
      </c>
      <c r="BD141" s="351"/>
      <c r="BE141" s="351">
        <v>0</v>
      </c>
      <c r="BF141" s="351"/>
      <c r="BG141" s="351">
        <v>0</v>
      </c>
      <c r="BH141" s="351"/>
      <c r="BI141" s="351">
        <f>0-0</f>
        <v>0</v>
      </c>
      <c r="BJ141" s="351"/>
      <c r="BK141" s="351">
        <f>0-0</f>
        <v>0</v>
      </c>
      <c r="BL141" s="351"/>
      <c r="BM141" s="478">
        <f>SUM(AK141:BL141)</f>
        <v>0</v>
      </c>
      <c r="BN141" s="351"/>
      <c r="BO141" s="199">
        <f>+MAX(0,G141-BM141+AM141)</f>
        <v>0</v>
      </c>
      <c r="BP141" s="351"/>
      <c r="BQ141" s="199">
        <f>SUM(BM141:BO141)</f>
        <v>0</v>
      </c>
      <c r="BR141" s="351"/>
      <c r="BS141" s="351">
        <f>E141-BQ141</f>
        <v>155000</v>
      </c>
    </row>
    <row r="142" spans="1:72">
      <c r="A142" s="197"/>
      <c r="B142" s="197"/>
      <c r="E142" s="436"/>
      <c r="G142" s="436"/>
      <c r="I142" s="436"/>
      <c r="J142" s="436"/>
      <c r="K142" s="436"/>
      <c r="L142" s="436"/>
      <c r="M142" s="436"/>
      <c r="N142" s="436"/>
      <c r="O142" s="436"/>
      <c r="P142" s="436"/>
      <c r="Q142" s="436"/>
      <c r="R142" s="436"/>
      <c r="S142" s="436"/>
      <c r="T142" s="436"/>
      <c r="U142" s="436"/>
      <c r="V142" s="436"/>
      <c r="W142" s="436"/>
      <c r="X142" s="436"/>
      <c r="Y142" s="436"/>
      <c r="Z142" s="436"/>
      <c r="AA142" s="436"/>
      <c r="AB142" s="436"/>
      <c r="AC142" s="436"/>
      <c r="AD142" s="436"/>
      <c r="AE142" s="436"/>
      <c r="AF142" s="436"/>
      <c r="AG142" s="436"/>
      <c r="AH142" s="436"/>
      <c r="AI142" s="436"/>
      <c r="AJ142" s="436"/>
      <c r="AK142" s="436"/>
      <c r="AL142" s="436"/>
      <c r="AM142" s="436"/>
      <c r="AN142" s="436"/>
      <c r="AO142" s="436"/>
      <c r="AP142" s="436"/>
      <c r="AQ142" s="436"/>
      <c r="AR142" s="436"/>
      <c r="AS142" s="436"/>
      <c r="AT142" s="436"/>
      <c r="AU142" s="436"/>
      <c r="AV142" s="436"/>
      <c r="AW142" s="436"/>
      <c r="AX142" s="436"/>
      <c r="AY142" s="436"/>
      <c r="AZ142" s="436"/>
      <c r="BA142" s="436"/>
      <c r="BB142" s="436"/>
      <c r="BC142" s="436"/>
      <c r="BD142" s="436"/>
      <c r="BE142" s="436"/>
      <c r="BF142" s="436"/>
      <c r="BG142" s="436"/>
      <c r="BH142" s="436"/>
      <c r="BI142" s="436"/>
      <c r="BJ142" s="436"/>
      <c r="BK142" s="436"/>
      <c r="BL142" s="436"/>
      <c r="BM142" s="487"/>
      <c r="BN142" s="436"/>
      <c r="BO142" s="436"/>
      <c r="BP142" s="436"/>
      <c r="BQ142" s="436"/>
      <c r="BR142" s="436"/>
      <c r="BS142" s="436"/>
      <c r="BT142" s="436"/>
    </row>
    <row r="143" spans="1:72">
      <c r="A143" s="498" t="s">
        <v>1034</v>
      </c>
      <c r="E143" s="351">
        <v>0</v>
      </c>
      <c r="F143" s="351">
        <f>170512+125000</f>
        <v>295512</v>
      </c>
      <c r="G143" s="351">
        <v>23713</v>
      </c>
      <c r="I143" s="351">
        <f>G143-E143</f>
        <v>23713</v>
      </c>
      <c r="J143" s="351">
        <f>H143-F143</f>
        <v>-295512</v>
      </c>
      <c r="K143" s="351">
        <v>0</v>
      </c>
      <c r="L143" s="351">
        <v>0</v>
      </c>
      <c r="M143" s="351">
        <v>0</v>
      </c>
      <c r="N143" s="351">
        <v>0</v>
      </c>
      <c r="O143" s="351">
        <v>0</v>
      </c>
      <c r="P143" s="351">
        <v>0</v>
      </c>
      <c r="Q143" s="351">
        <v>0</v>
      </c>
      <c r="R143" s="351">
        <v>0</v>
      </c>
      <c r="S143" s="351">
        <v>0</v>
      </c>
      <c r="T143" s="351">
        <v>0</v>
      </c>
      <c r="U143" s="351">
        <v>0</v>
      </c>
      <c r="V143" s="351">
        <v>0</v>
      </c>
      <c r="W143" s="351">
        <v>0</v>
      </c>
      <c r="X143" s="351">
        <v>0</v>
      </c>
      <c r="Y143" s="351">
        <v>0</v>
      </c>
      <c r="Z143" s="351">
        <v>0</v>
      </c>
      <c r="AA143" s="351">
        <v>0</v>
      </c>
      <c r="AB143" s="351"/>
      <c r="AC143" s="351">
        <v>0</v>
      </c>
      <c r="AD143" s="351"/>
      <c r="AE143" s="351">
        <v>0</v>
      </c>
      <c r="AF143" s="351"/>
      <c r="AG143" s="351">
        <v>0</v>
      </c>
      <c r="AH143" s="351"/>
      <c r="AI143" s="351">
        <v>0</v>
      </c>
      <c r="AJ143" s="351"/>
      <c r="AK143" s="351">
        <f>SUM(K143:AI143)</f>
        <v>0</v>
      </c>
      <c r="AL143" s="351"/>
      <c r="AM143" s="351"/>
      <c r="AN143" s="351"/>
      <c r="AO143" s="351">
        <v>0</v>
      </c>
      <c r="AP143" s="351"/>
      <c r="AQ143" s="351">
        <v>588</v>
      </c>
      <c r="AR143" s="351"/>
      <c r="AS143" s="351">
        <f>6042.33-588</f>
        <v>5454.33</v>
      </c>
      <c r="AT143" s="351"/>
      <c r="AU143" s="351">
        <f>15592.11-6042.33</f>
        <v>9549.7800000000007</v>
      </c>
      <c r="AV143" s="351"/>
      <c r="AW143" s="351">
        <f>16703.2-15592.11</f>
        <v>1111.0900000000001</v>
      </c>
      <c r="AX143" s="351"/>
      <c r="AY143" s="351">
        <f>22136.95-16703.2</f>
        <v>5433.75</v>
      </c>
      <c r="AZ143" s="351"/>
      <c r="BA143" s="351">
        <v>0</v>
      </c>
      <c r="BB143" s="351"/>
      <c r="BC143" s="351">
        <v>0</v>
      </c>
      <c r="BD143" s="351"/>
      <c r="BE143" s="351">
        <v>0</v>
      </c>
      <c r="BF143" s="351"/>
      <c r="BG143" s="351">
        <f>23707-22137+5</f>
        <v>1575</v>
      </c>
      <c r="BH143" s="351"/>
      <c r="BI143" s="351">
        <f>23707-23712-3</f>
        <v>-8</v>
      </c>
      <c r="BJ143" s="351"/>
      <c r="BK143" s="351">
        <v>0</v>
      </c>
      <c r="BL143" s="351"/>
      <c r="BM143" s="478">
        <f>SUM(AK143:BL143)</f>
        <v>23703.95</v>
      </c>
      <c r="BN143" s="351"/>
      <c r="BO143" s="199">
        <f>+MAX(0,G143-BM143+AM143)</f>
        <v>9.0499999999992724</v>
      </c>
      <c r="BP143" s="351"/>
      <c r="BQ143" s="199">
        <f>SUM(BM143:BO143)</f>
        <v>23713</v>
      </c>
      <c r="BR143" s="351"/>
      <c r="BS143" s="351">
        <f>E143-BQ143</f>
        <v>-23713</v>
      </c>
    </row>
    <row r="144" spans="1:72">
      <c r="A144" s="197"/>
      <c r="B144" s="197"/>
      <c r="E144" s="436"/>
      <c r="G144" s="436"/>
      <c r="I144" s="436"/>
      <c r="J144" s="436"/>
      <c r="K144" s="436"/>
      <c r="L144" s="436"/>
      <c r="M144" s="436"/>
      <c r="N144" s="436"/>
      <c r="O144" s="436"/>
      <c r="P144" s="436"/>
      <c r="Q144" s="436"/>
      <c r="R144" s="436"/>
      <c r="S144" s="436"/>
      <c r="T144" s="436"/>
      <c r="U144" s="436"/>
      <c r="V144" s="436"/>
      <c r="W144" s="436"/>
      <c r="X144" s="436"/>
      <c r="Y144" s="436"/>
      <c r="Z144" s="436"/>
      <c r="AA144" s="436"/>
      <c r="AB144" s="436"/>
      <c r="AC144" s="436"/>
      <c r="AD144" s="436"/>
      <c r="AE144" s="436"/>
      <c r="AF144" s="436"/>
      <c r="AG144" s="436"/>
      <c r="AH144" s="436"/>
      <c r="AI144" s="436"/>
      <c r="AJ144" s="436"/>
      <c r="AK144" s="436"/>
      <c r="AL144" s="436"/>
      <c r="AM144" s="436"/>
      <c r="AN144" s="436"/>
      <c r="AO144" s="436"/>
      <c r="AP144" s="436"/>
      <c r="AQ144" s="436"/>
      <c r="AR144" s="436"/>
      <c r="AS144" s="436"/>
      <c r="AT144" s="436"/>
      <c r="AU144" s="436"/>
      <c r="AV144" s="436"/>
      <c r="AW144" s="436"/>
      <c r="AX144" s="436"/>
      <c r="AY144" s="436"/>
      <c r="AZ144" s="436"/>
      <c r="BA144" s="436"/>
      <c r="BB144" s="436"/>
      <c r="BC144" s="436"/>
      <c r="BD144" s="436"/>
      <c r="BE144" s="436"/>
      <c r="BF144" s="436"/>
      <c r="BG144" s="436"/>
      <c r="BH144" s="436"/>
      <c r="BI144" s="436"/>
      <c r="BJ144" s="436"/>
      <c r="BK144" s="436"/>
      <c r="BL144" s="436"/>
      <c r="BM144" s="487"/>
      <c r="BN144" s="436"/>
      <c r="BO144" s="436"/>
      <c r="BP144" s="436"/>
      <c r="BQ144" s="436"/>
      <c r="BR144" s="436"/>
      <c r="BS144" s="436"/>
      <c r="BT144" s="436"/>
    </row>
    <row r="145" spans="1:72">
      <c r="A145" s="197"/>
      <c r="B145" s="197"/>
      <c r="E145" s="436"/>
      <c r="G145" s="436"/>
      <c r="I145" s="436"/>
      <c r="J145" s="436"/>
      <c r="K145" s="436"/>
      <c r="L145" s="436"/>
      <c r="M145" s="436"/>
      <c r="N145" s="436"/>
      <c r="O145" s="436"/>
      <c r="P145" s="436"/>
      <c r="Q145" s="436"/>
      <c r="R145" s="436"/>
      <c r="S145" s="436"/>
      <c r="T145" s="436"/>
      <c r="U145" s="436"/>
      <c r="V145" s="436"/>
      <c r="W145" s="436"/>
      <c r="X145" s="436"/>
      <c r="Y145" s="436"/>
      <c r="Z145" s="436"/>
      <c r="AA145" s="436"/>
      <c r="AB145" s="436"/>
      <c r="AC145" s="436"/>
      <c r="AD145" s="436"/>
      <c r="AE145" s="436"/>
      <c r="AF145" s="436"/>
      <c r="AG145" s="436"/>
      <c r="AH145" s="436"/>
      <c r="AI145" s="436"/>
      <c r="AJ145" s="436"/>
      <c r="AK145" s="436"/>
      <c r="AL145" s="436"/>
      <c r="AM145" s="436"/>
      <c r="AN145" s="436"/>
      <c r="AO145" s="436"/>
      <c r="AP145" s="436"/>
      <c r="AQ145" s="436"/>
      <c r="AR145" s="436"/>
      <c r="AS145" s="436"/>
      <c r="AT145" s="436"/>
      <c r="AU145" s="436"/>
      <c r="AV145" s="436"/>
      <c r="AW145" s="436"/>
      <c r="AX145" s="436"/>
      <c r="AY145" s="436"/>
      <c r="AZ145" s="436"/>
      <c r="BA145" s="436"/>
      <c r="BB145" s="436"/>
      <c r="BC145" s="436"/>
      <c r="BD145" s="436"/>
      <c r="BE145" s="436"/>
      <c r="BF145" s="436"/>
      <c r="BG145" s="436"/>
      <c r="BH145" s="436"/>
      <c r="BI145" s="436"/>
      <c r="BJ145" s="436"/>
      <c r="BK145" s="436"/>
      <c r="BL145" s="436"/>
      <c r="BM145" s="487"/>
      <c r="BN145" s="436"/>
      <c r="BO145" s="436"/>
      <c r="BP145" s="436"/>
      <c r="BQ145" s="436"/>
      <c r="BR145" s="436"/>
      <c r="BS145" s="436"/>
      <c r="BT145" s="436"/>
    </row>
    <row r="146" spans="1:72">
      <c r="A146" s="498" t="s">
        <v>1035</v>
      </c>
      <c r="E146" s="351">
        <v>0</v>
      </c>
      <c r="F146" s="351">
        <f>170512+125000</f>
        <v>295512</v>
      </c>
      <c r="G146" s="351">
        <v>1770005</v>
      </c>
      <c r="I146" s="351">
        <f>G146-E146</f>
        <v>1770005</v>
      </c>
      <c r="J146" s="351">
        <f>H146-F146</f>
        <v>-295512</v>
      </c>
      <c r="K146" s="351">
        <v>0</v>
      </c>
      <c r="L146" s="351">
        <v>0</v>
      </c>
      <c r="M146" s="351">
        <v>0</v>
      </c>
      <c r="N146" s="351">
        <v>0</v>
      </c>
      <c r="O146" s="351">
        <v>0</v>
      </c>
      <c r="P146" s="351">
        <v>0</v>
      </c>
      <c r="Q146" s="351">
        <v>0</v>
      </c>
      <c r="R146" s="351">
        <v>0</v>
      </c>
      <c r="S146" s="351">
        <v>0</v>
      </c>
      <c r="T146" s="351">
        <v>0</v>
      </c>
      <c r="U146" s="351">
        <v>0</v>
      </c>
      <c r="V146" s="351">
        <v>0</v>
      </c>
      <c r="W146" s="351">
        <v>0</v>
      </c>
      <c r="X146" s="351">
        <v>0</v>
      </c>
      <c r="Y146" s="351">
        <v>0</v>
      </c>
      <c r="Z146" s="351">
        <v>0</v>
      </c>
      <c r="AA146" s="351">
        <v>0</v>
      </c>
      <c r="AB146" s="351"/>
      <c r="AC146" s="351">
        <v>0</v>
      </c>
      <c r="AD146" s="351"/>
      <c r="AE146" s="351">
        <v>0</v>
      </c>
      <c r="AF146" s="351"/>
      <c r="AG146" s="351">
        <v>0</v>
      </c>
      <c r="AH146" s="351"/>
      <c r="AI146" s="351">
        <v>0</v>
      </c>
      <c r="AJ146" s="351"/>
      <c r="AK146" s="351">
        <f>SUM(K146:AI146)</f>
        <v>0</v>
      </c>
      <c r="AL146" s="351"/>
      <c r="AM146" s="351"/>
      <c r="AN146" s="351"/>
      <c r="AO146" s="351">
        <v>0</v>
      </c>
      <c r="AP146" s="351"/>
      <c r="AQ146" s="351">
        <v>108874</v>
      </c>
      <c r="AR146" s="351"/>
      <c r="AS146" s="351">
        <f>179059.8-108874</f>
        <v>70185.799999999988</v>
      </c>
      <c r="AT146" s="351"/>
      <c r="AU146" s="351">
        <f>285203.85-179059.8</f>
        <v>106144.04999999999</v>
      </c>
      <c r="AV146" s="351"/>
      <c r="AW146" s="351">
        <f>430314.08-285203.85</f>
        <v>145110.23000000004</v>
      </c>
      <c r="AX146" s="351"/>
      <c r="AY146" s="351">
        <f>676932.92-430314.08</f>
        <v>246618.84000000003</v>
      </c>
      <c r="AZ146" s="351"/>
      <c r="BA146" s="351">
        <v>0</v>
      </c>
      <c r="BB146" s="351"/>
      <c r="BC146" s="351">
        <v>0</v>
      </c>
      <c r="BD146" s="351"/>
      <c r="BE146" s="351">
        <f>1639345-676933</f>
        <v>962412</v>
      </c>
      <c r="BF146" s="351"/>
      <c r="BG146" s="351">
        <f>1651447-1639345</f>
        <v>12102</v>
      </c>
      <c r="BH146" s="351"/>
      <c r="BI146" s="351">
        <f>1746882-1651447</f>
        <v>95435</v>
      </c>
      <c r="BJ146" s="351"/>
      <c r="BK146" s="351">
        <v>0</v>
      </c>
      <c r="BL146" s="351"/>
      <c r="BM146" s="478">
        <f t="shared" ref="BM146:BM158" si="47">SUM(AK146:BL146)</f>
        <v>1746881.92</v>
      </c>
      <c r="BN146" s="351"/>
      <c r="BO146" s="199">
        <f>+MAX(0,G146-BM146+AM146)</f>
        <v>23123.080000000075</v>
      </c>
      <c r="BP146" s="351"/>
      <c r="BQ146" s="199">
        <f>SUM(BM146:BO146)</f>
        <v>1770005</v>
      </c>
      <c r="BR146" s="351"/>
      <c r="BS146" s="351">
        <f>E146-BQ146</f>
        <v>-1770005</v>
      </c>
    </row>
    <row r="147" spans="1:72">
      <c r="A147" s="197"/>
      <c r="B147" s="212"/>
      <c r="C147" s="187"/>
      <c r="D147" s="187"/>
      <c r="E147" s="348"/>
      <c r="G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348"/>
      <c r="Z147" s="348"/>
      <c r="AA147" s="348"/>
      <c r="AB147" s="348"/>
      <c r="AC147" s="348"/>
      <c r="AD147" s="348"/>
      <c r="AE147" s="348"/>
      <c r="AF147" s="348"/>
      <c r="AG147" s="348"/>
      <c r="AH147" s="348"/>
      <c r="AI147" s="348"/>
      <c r="AJ147" s="348"/>
      <c r="AK147" s="348"/>
      <c r="AL147" s="348"/>
      <c r="AM147" s="348"/>
      <c r="AN147" s="348"/>
      <c r="AO147" s="348"/>
      <c r="AP147" s="348"/>
      <c r="AQ147" s="348"/>
      <c r="AR147" s="348"/>
      <c r="AS147" s="348"/>
      <c r="AT147" s="348"/>
      <c r="AU147" s="348"/>
      <c r="AV147" s="348"/>
      <c r="AW147" s="348"/>
      <c r="AX147" s="348"/>
      <c r="AY147" s="348"/>
      <c r="AZ147" s="348"/>
      <c r="BA147" s="348"/>
      <c r="BB147" s="348"/>
      <c r="BC147" s="348"/>
      <c r="BD147" s="348"/>
      <c r="BE147" s="348"/>
      <c r="BF147" s="348"/>
      <c r="BG147" s="348"/>
      <c r="BH147" s="348"/>
      <c r="BI147" s="348"/>
      <c r="BJ147" s="348"/>
      <c r="BK147" s="348"/>
      <c r="BL147" s="348"/>
      <c r="BM147" s="482"/>
      <c r="BN147" s="348"/>
      <c r="BO147" s="348"/>
      <c r="BP147" s="348"/>
      <c r="BQ147" s="348"/>
      <c r="BR147" s="348"/>
      <c r="BS147" s="348"/>
      <c r="BT147" s="348"/>
    </row>
    <row r="148" spans="1:72" s="200" customFormat="1">
      <c r="A148" s="197"/>
      <c r="B148" s="212" t="s">
        <v>364</v>
      </c>
      <c r="C148" s="239"/>
      <c r="D148" s="239"/>
      <c r="E148" s="360">
        <f>E146+E143+E141+E139+E134+E132+E127+E122+E120+E115+E110+E106+E102+E98+E94+E90+E86+E81+E66+E53+E48+E108</f>
        <v>18803320.799999997</v>
      </c>
      <c r="F148" s="360">
        <f>F139+F134+F132+F127+F122+F120+F115+F110+F106+F102+F98+F94+F90+F86+F81+F66</f>
        <v>592152</v>
      </c>
      <c r="G148" s="360">
        <f>G146+G143+G141+G139+G134+G132+G127+G122+G120+G115+G110+G106+G102+G98+G94+G90+G86+G81+G66+G53+G48+G108</f>
        <v>22529040.960000001</v>
      </c>
      <c r="H148" s="360">
        <f>H139+H134+H132+H127+H122+H120+H115+H110+H106+H102+H98+H94+H90+H86+H81+H66</f>
        <v>0</v>
      </c>
      <c r="I148" s="360">
        <f>I146+I143+I141+I139+I134+I132+I127+I122+I120+I115+I110+I106+I102+I98+I94+I90+I86+I81+I66+I53+I48+I108</f>
        <v>3799715.1600000011</v>
      </c>
      <c r="J148" s="360">
        <f>J139+J134+J132+J127+J122+J120+J115+J110+J106+J102+J98+J94+J90+J86+J81+J66</f>
        <v>-295512</v>
      </c>
      <c r="K148" s="360">
        <f>K146+K143+K141+K139+K134+K132+K127+K122+K120+K115+K110+K106+K102+K98+K94+K90+K86+K81+K66+K53+K48+K108</f>
        <v>0</v>
      </c>
      <c r="L148" s="360">
        <f>L139+L134+L132+L127+L122+L120+L115+L110+L106+L102+L98+L94+L90+L86+L81+L66</f>
        <v>0</v>
      </c>
      <c r="M148" s="360">
        <f>M146+M143+M141+M139+M134+M132+M127+M122+M120+M115+M110+M106+M102+M98+M94+M90+M86+M81+M66+M53+M48+M108</f>
        <v>0</v>
      </c>
      <c r="N148" s="360">
        <f>N139+N134+N132+N127+N122+N120+N115+N110+N106+N102+N98+N94+N90+N86+N81+N66</f>
        <v>0</v>
      </c>
      <c r="O148" s="360">
        <f>O146+O143+O141+O139+O134+O132+O127+O122+O120+O115+O110+O106+O102+O98+O94+O90+O86+O81+O66+O53+O48+O108</f>
        <v>0</v>
      </c>
      <c r="P148" s="360">
        <f>P139+P134+P132+P127+P122+P120+P115+P110+P106+P102+P98+P94+P90+P86+P81+P66</f>
        <v>0</v>
      </c>
      <c r="Q148" s="360">
        <f>Q146+Q143+Q141+Q139+Q134+Q132+Q127+Q122+Q120+Q115+Q110+Q106+Q102+Q98+Q94+Q90+Q86+Q81+Q66+Q53+Q48+Q108</f>
        <v>0</v>
      </c>
      <c r="R148" s="360">
        <f>R139+R134+R132+R127+R122+R120+R115+R110+R106+R102+R98+R94+R90+R86+R81+R66</f>
        <v>0</v>
      </c>
      <c r="S148" s="360">
        <f>S146+S143+S141+S139+S134+S132+S127+S122+S120+S115+S110+S106+S102+S98+S94+S90+S86+S81+S66+S53+S48+S108</f>
        <v>0</v>
      </c>
      <c r="T148" s="360">
        <f>T139+T134+T132+T127+T122+T120+T115+T110+T106+T102+T98+T94+T90+T86+T81+T66</f>
        <v>0</v>
      </c>
      <c r="U148" s="360">
        <f>U146+U143+U141+U139+U134+U132+U127+U122+U120+U115+U110+U106+U102+U98+U94+U90+U86+U81+U66+U53+U48+U108</f>
        <v>0</v>
      </c>
      <c r="V148" s="360">
        <f>V139+V134+V132+V127+V122+V120+V115+V110+V106+V102+V98+V94+V90+V86+V81+V66</f>
        <v>0</v>
      </c>
      <c r="W148" s="360">
        <f>W146+W143+W141+W139+W134+W132+W127+W122+W120+W115+W110+W106+W102+W98+W94+W90+W86+W81+W66+W53+W48+W108</f>
        <v>0</v>
      </c>
      <c r="X148" s="360">
        <f>X139+X134+X132+X127+X122+X120+X115+X110+X106+X102+X98+X94+X90+X86+X81+X66</f>
        <v>0</v>
      </c>
      <c r="Y148" s="360">
        <f>Y146+Y143+Y141+Y139+Y134+Y132+Y127+Y122+Y120+Y115+Y110+Y106+Y102+Y98+Y94+Y90+Y86+Y81+Y66+Y53+Y48+Y108</f>
        <v>0</v>
      </c>
      <c r="Z148" s="360">
        <f>Z139+Z134+Z132+Z127+Z122+Z120+Z115+Z110+Z106+Z102+Z98+Z94+Z90+Z86+Z81+Z66</f>
        <v>0</v>
      </c>
      <c r="AA148" s="360">
        <f>AA146+AA143+AA141+AA139+AA134+AA132+AA127+AA122+AA120+AA115+AA110+AA106+AA102+AA98+AA94+AA90+AA86+AA81+AA66+AA53+AA48+AA108</f>
        <v>0</v>
      </c>
      <c r="AB148" s="360">
        <f>AB139+AB134+AB132+AB127+AB122+AB120+AB115+AB110+AB106+AB102+AB98+AB94+AB90+AB86+AB81+AB66</f>
        <v>0</v>
      </c>
      <c r="AC148" s="360">
        <f>AC146+AC143+AC141+AC139+AC134+AC132+AC127+AC122+AC120+AC115+AC110+AC106+AC102+AC98+AC94+AC90+AC86+AC81+AC66+AC53+AC48+AC108</f>
        <v>0</v>
      </c>
      <c r="AD148" s="360">
        <f>AD139+AD134+AD132+AD127+AD122+AD120+AD115+AD110+AD106+AD102+AD98+AD94+AD90+AD86+AD81+AD66</f>
        <v>0</v>
      </c>
      <c r="AE148" s="360">
        <f>AE146+AE143+AE141+AE139+AE134+AE132+AE127+AE122+AE120+AE115+AE110+AE106+AE102+AE98+AE94+AE90+AE86+AE81+AE66+AE53+AE48+AE108</f>
        <v>0</v>
      </c>
      <c r="AF148" s="360">
        <f>AF139+AF134+AF132+AF127+AF122+AF120+AF115+AF110+AF106+AF102+AF98+AF94+AF90+AF86+AF81+AF66</f>
        <v>0</v>
      </c>
      <c r="AG148" s="360">
        <f>AG146+AG143+AG141+AG139+AG134+AG132+AG127+AG122+AG120+AG115+AG110+AG106+AG102+AG98+AG94+AG90+AG86+AG81+AG66+AG53+AG48+AG108</f>
        <v>257461</v>
      </c>
      <c r="AH148" s="360">
        <f>AH139+AH134+AH132+AH127+AH122+AH120+AH115+AH110+AH106+AH102+AH98+AH94+AH90+AH86+AH81+AH66</f>
        <v>4681</v>
      </c>
      <c r="AI148" s="360">
        <f>AI146+AI143+AI141+AI139+AI134+AI132+AI127+AI122+AI120+AI115+AI110+AI106+AI102+AI98+AI94+AI90+AI86+AI81+AI66+AI53+AI48+AI108</f>
        <v>544960</v>
      </c>
      <c r="AJ148" s="360">
        <f>AJ139+AJ134+AJ132+AJ127+AJ122+AJ120+AJ115+AJ110+AJ106+AJ102+AJ98+AJ94+AJ90+AJ86+AJ81+AJ66</f>
        <v>0</v>
      </c>
      <c r="AK148" s="360">
        <f>AK146+AK143+AK141+AK139+AK134+AK132+AK127+AK122+AK120+AK115+AK110+AK106+AK102+AK98+AK94+AK90+AK86+AK81+AK66+AK53+AK48+AK108</f>
        <v>802421</v>
      </c>
      <c r="AL148" s="360">
        <f>AL139+AL134+AL132+AL127+AL122+AL120+AL115+AL110+AL106+AL102+AL98+AL94+AL90+AL86+AL81+AL66</f>
        <v>0</v>
      </c>
      <c r="AM148" s="360">
        <f>AM146+AM143+AM141+AM139+AM134+AM132+AM127+AM122+AM120+AM115+AM110+AM106+AM102+AM98+AM94+AM90+AM86+AM81+AM66+AM53+AM48+AM108</f>
        <v>0</v>
      </c>
      <c r="AN148" s="360">
        <f>AN139+AN134+AN132+AN127+AN122+AN120+AN115+AN110+AN106+AN102+AN98+AN94+AN90+AN86+AN81+AN66</f>
        <v>0</v>
      </c>
      <c r="AO148" s="360">
        <f>AO146+AO143+AO141+AO139+AO134+AO132+AO127+AO122+AO120+AO115+AO110+AO106+AO102+AO98+AO94+AO90+AO86+AO81+AO66+AO53+AO48+AO108</f>
        <v>3183348.54</v>
      </c>
      <c r="AP148" s="360">
        <f>AP139+AP134+AP132+AP127+AP122+AP120+AP115+AP110+AP106+AP102+AP98+AP94+AP90+AP86+AP81+AP66</f>
        <v>0</v>
      </c>
      <c r="AQ148" s="360">
        <f>AQ146+AQ143+AQ141+AQ139+AQ134+AQ132+AQ127+AQ122+AQ120+AQ115+AQ110+AQ106+AQ102+AQ98+AQ94+AQ90+AQ86+AQ81+AQ66+AQ53+AQ48+AQ108</f>
        <v>2411459.5</v>
      </c>
      <c r="AR148" s="360">
        <f>AR139+AR134+AR132+AR127+AR122+AR120+AR115+AR110+AR106+AR102+AR98+AR94+AR90+AR86+AR81+AR66</f>
        <v>0</v>
      </c>
      <c r="AS148" s="360">
        <f>AS146+AS143+AS141+AS139+AS134+AS132+AS127+AS122+AS120+AS115+AS110+AS106+AS102+AS98+AS94+AS90+AS86+AS81+AS66+AS53+AS48+AS108</f>
        <v>2245594.11</v>
      </c>
      <c r="AT148" s="360">
        <f>AT139+AT134+AT132+AT127+AT122+AT120+AT115+AT110+AT106+AT102+AT98+AT94+AT90+AT86+AT81+AT66</f>
        <v>0</v>
      </c>
      <c r="AU148" s="360">
        <f>AU146+AU143+AU141+AU139+AU134+AU132+AU127+AU122+AU120+AU115+AU110+AU106+AU102+AU98+AU94+AU90+AU86+AU81+AU66+AU53+AU48+AU108</f>
        <v>2333286.5499999993</v>
      </c>
      <c r="AV148" s="360">
        <f>AV139+AV134+AV132+AV127+AV122+AV120+AV115+AV110+AV106+AV102+AV98+AV94+AV90+AV86+AV81+AV66</f>
        <v>0</v>
      </c>
      <c r="AW148" s="360">
        <f>AW146+AW143+AW141+AW139+AW134+AW132+AW127+AW122+AW120+AW115+AW110+AW106+AW102+AW98+AW94+AW90+AW86+AW81+AW66+AW53+AW48+AW108</f>
        <v>4774540.4200000009</v>
      </c>
      <c r="AX148" s="360"/>
      <c r="AY148" s="360">
        <f>AY146+AY143+AY141+AY139+AY134+AY132+AY127+AY122+AY120+AY115+AY110+AY106+AY102+AY98+AY94+AY90+AY86+AY81+AY66+AY53+AY48+AY108</f>
        <v>2313048.2100000004</v>
      </c>
      <c r="AZ148" s="360">
        <f>AZ139+AZ134+AZ132+AZ127+AZ122+AZ120+AZ115+AZ110+AZ106+AZ102+AZ98+AZ94+AZ90+AZ86+AZ81+AZ66</f>
        <v>0</v>
      </c>
      <c r="BA148" s="360">
        <f>BA146+BA143+BA141+BA139+BA134+BA132+BA127+BA122+BA120+BA115+BA110+BA106+BA102+BA98+BA94+BA90+BA86+BA81+BA66+BA53+BA48+BA108</f>
        <v>0</v>
      </c>
      <c r="BB148" s="360"/>
      <c r="BC148" s="360">
        <f>BC146+BC143+BC141+BC139+BC134+BC132+BC127+BC122+BC120+BC115+BC110+BC106+BC102+BC98+BC94+BC90+BC86+BC81+BC66+BC53+BC48+BC108</f>
        <v>0</v>
      </c>
      <c r="BD148" s="360"/>
      <c r="BE148" s="360">
        <f>BE146+BE143+BE141+BE139+BE134+BE132+BE127+BE122+BE120+BE115+BE110+BE106+BE102+BE98+BE94+BE90+BE86+BE81+BE66+BE53+BE48+BE108</f>
        <v>3312625</v>
      </c>
      <c r="BF148" s="360"/>
      <c r="BG148" s="360">
        <f>BG146+BG143+BG141+BG139+BG134+BG132+BG127+BG122+BG120+BG115+BG110+BG106+BG102+BG98+BG94+BG90+BG86+BG81+BG66+BG53+BG48+BG108</f>
        <v>370485</v>
      </c>
      <c r="BH148" s="360"/>
      <c r="BI148" s="360">
        <f>BI146+BI143+BI141+BI139+BI134+BI132+BI127+BI122+BI120+BI115+BI110+BI106+BI102+BI98+BI94+BI90+BI86+BI81+BI66+BI53+BI48+BI108</f>
        <v>454813</v>
      </c>
      <c r="BJ148" s="360"/>
      <c r="BK148" s="360">
        <f>BK146+BK143+BK141+BK139+BK134+BK132+BK127+BK122+BK120+BK115+BK110+BK106+BK102+BK98+BK94+BK90+BK86+BK81+BK66+BK53+BK48+BK108</f>
        <v>0</v>
      </c>
      <c r="BL148" s="360"/>
      <c r="BM148" s="440">
        <f t="shared" si="47"/>
        <v>22201621.330000002</v>
      </c>
      <c r="BN148" s="360">
        <f>BN139+BN134+BN132+BN127+BN122+BN120+BN115+BN110+BN106+BN102+BN98+BN94+BN90+BN86+BN81+BN66</f>
        <v>0</v>
      </c>
      <c r="BO148" s="360">
        <f>BO146+BO143+BO141+BO139+BO134+BO132+BO127+BO122+BO120+BO115+BO110+BO106+BO102+BO98+BO94+BO90+BO86+BO81+BO66+BO53+BO48+BO108</f>
        <v>327420.71000000002</v>
      </c>
      <c r="BP148" s="360">
        <f>BP139+BP134+BP132+BP127+BP122+BP120+BP115+BP110+BP106+BP102+BP98+BP94+BP90+BP86+BP81+BP66</f>
        <v>0</v>
      </c>
      <c r="BQ148" s="360">
        <f>BQ146+BQ143+BQ141+BQ139+BQ134+BQ132+BQ127+BQ122+BQ120+BQ115+BQ110+BQ106+BQ102+BQ98+BQ94+BQ90+BQ86+BQ81+BQ66+BQ53+BQ48+BQ108</f>
        <v>22529042.040000003</v>
      </c>
      <c r="BR148" s="360">
        <f>BR139+BR134+BR132+BR127+BR122+BR120+BR115+BR110+BR106+BR102+BR98+BR94+BR90+BR86+BR81+BR66</f>
        <v>0</v>
      </c>
      <c r="BS148" s="360">
        <f>BS146+BS143+BS141+BS139+BS134+BS132+BS127+BS122+BS120+BS115+BS110+BS106+BS102+BS98+BS94+BS90+BS86+BS81+BS66+BS53+BS48+BS108</f>
        <v>-3725721.2400000007</v>
      </c>
      <c r="BT148" s="360">
        <f>BT139+BT134+BT132+BT127+BT122+BT120+BT115+BT110+BT106+BT102+BT98+BT94+BT90+BT86+BT81+BT66</f>
        <v>0</v>
      </c>
    </row>
    <row r="149" spans="1:72">
      <c r="A149" s="197"/>
      <c r="B149" s="212"/>
      <c r="C149" s="187"/>
      <c r="D149" s="187"/>
      <c r="E149" s="348"/>
      <c r="G149" s="348"/>
      <c r="I149" s="348"/>
      <c r="J149" s="348"/>
      <c r="K149" s="348"/>
      <c r="L149" s="348"/>
      <c r="M149" s="348"/>
      <c r="N149" s="348"/>
      <c r="O149" s="348"/>
      <c r="P149" s="348"/>
      <c r="Q149" s="348"/>
      <c r="R149" s="348"/>
      <c r="S149" s="348"/>
      <c r="T149" s="348"/>
      <c r="U149" s="348"/>
      <c r="V149" s="348"/>
      <c r="W149" s="348"/>
      <c r="X149" s="348"/>
      <c r="Y149" s="348"/>
      <c r="Z149" s="348"/>
      <c r="AA149" s="348"/>
      <c r="AB149" s="348"/>
      <c r="AC149" s="348"/>
      <c r="AD149" s="348"/>
      <c r="AE149" s="348"/>
      <c r="AF149" s="348"/>
      <c r="AG149" s="348"/>
      <c r="AH149" s="348"/>
      <c r="AI149" s="348"/>
      <c r="AJ149" s="348"/>
      <c r="AK149" s="348"/>
      <c r="AL149" s="348"/>
      <c r="AM149" s="348"/>
      <c r="AN149" s="348"/>
      <c r="AO149" s="348"/>
      <c r="AP149" s="348"/>
      <c r="AQ149" s="348"/>
      <c r="AR149" s="348"/>
      <c r="AS149" s="348"/>
      <c r="AT149" s="348"/>
      <c r="AU149" s="348"/>
      <c r="AV149" s="348"/>
      <c r="AW149" s="348"/>
      <c r="AX149" s="348"/>
      <c r="AY149" s="348"/>
      <c r="AZ149" s="348"/>
      <c r="BA149" s="348"/>
      <c r="BB149" s="348"/>
      <c r="BC149" s="348"/>
      <c r="BD149" s="348"/>
      <c r="BE149" s="348"/>
      <c r="BF149" s="348"/>
      <c r="BG149" s="348"/>
      <c r="BH149" s="348"/>
      <c r="BI149" s="348"/>
      <c r="BJ149" s="348"/>
      <c r="BK149" s="348"/>
      <c r="BL149" s="348"/>
      <c r="BM149" s="482"/>
      <c r="BN149" s="348"/>
      <c r="BO149" s="348"/>
      <c r="BP149" s="348"/>
      <c r="BQ149" s="348"/>
      <c r="BR149" s="348"/>
      <c r="BS149" s="348"/>
    </row>
    <row r="150" spans="1:72" s="221" customFormat="1">
      <c r="A150" s="340" t="s">
        <v>1518</v>
      </c>
      <c r="B150" s="212"/>
      <c r="E150" s="348">
        <v>2048928</v>
      </c>
      <c r="F150" s="225"/>
      <c r="G150" s="348">
        <v>2049926</v>
      </c>
      <c r="H150" s="225"/>
      <c r="I150" s="348">
        <f>G150-E150</f>
        <v>998</v>
      </c>
      <c r="J150" s="348"/>
      <c r="K150" s="348">
        <v>0</v>
      </c>
      <c r="L150" s="348">
        <v>0</v>
      </c>
      <c r="M150" s="348">
        <v>0</v>
      </c>
      <c r="N150" s="348">
        <v>0</v>
      </c>
      <c r="O150" s="348">
        <v>0</v>
      </c>
      <c r="P150" s="348">
        <v>0</v>
      </c>
      <c r="Q150" s="348">
        <v>0</v>
      </c>
      <c r="R150" s="348">
        <v>0</v>
      </c>
      <c r="S150" s="348">
        <v>0</v>
      </c>
      <c r="T150" s="348">
        <v>0</v>
      </c>
      <c r="U150" s="348">
        <v>0</v>
      </c>
      <c r="V150" s="348">
        <v>0</v>
      </c>
      <c r="W150" s="348">
        <v>0</v>
      </c>
      <c r="X150" s="348">
        <v>0</v>
      </c>
      <c r="Y150" s="348">
        <v>0</v>
      </c>
      <c r="Z150" s="348">
        <v>0</v>
      </c>
      <c r="AA150" s="348">
        <v>0</v>
      </c>
      <c r="AB150" s="348">
        <v>0</v>
      </c>
      <c r="AC150" s="348">
        <v>0</v>
      </c>
      <c r="AD150" s="348">
        <v>0</v>
      </c>
      <c r="AE150" s="348">
        <v>0</v>
      </c>
      <c r="AF150" s="348"/>
      <c r="AG150" s="348">
        <f>151015+151015</f>
        <v>302030</v>
      </c>
      <c r="AH150" s="348"/>
      <c r="AI150" s="348">
        <v>328718</v>
      </c>
      <c r="AJ150" s="348"/>
      <c r="AK150" s="348">
        <f>SUM(K150:AJ150)</f>
        <v>630748</v>
      </c>
      <c r="AL150" s="348"/>
      <c r="AM150" s="348"/>
      <c r="AN150" s="348"/>
      <c r="AO150" s="348">
        <v>157687</v>
      </c>
      <c r="AP150" s="348"/>
      <c r="AQ150" s="348">
        <v>0</v>
      </c>
      <c r="AR150" s="348"/>
      <c r="AS150" s="348">
        <v>157687</v>
      </c>
      <c r="AT150" s="348"/>
      <c r="AU150" s="348">
        <v>157687</v>
      </c>
      <c r="AV150" s="348"/>
      <c r="AW150" s="348">
        <v>0</v>
      </c>
      <c r="AX150" s="348"/>
      <c r="AY150" s="348">
        <f>157687+157687+157687</f>
        <v>473061</v>
      </c>
      <c r="AZ150" s="348"/>
      <c r="BA150" s="348">
        <v>0</v>
      </c>
      <c r="BB150" s="348"/>
      <c r="BC150" s="348">
        <v>0</v>
      </c>
      <c r="BD150" s="348"/>
      <c r="BE150" s="348">
        <f>157687*2+157682</f>
        <v>473056</v>
      </c>
      <c r="BF150" s="348"/>
      <c r="BG150" s="348">
        <v>0</v>
      </c>
      <c r="BH150" s="348"/>
      <c r="BI150" s="348">
        <v>0</v>
      </c>
      <c r="BJ150" s="348"/>
      <c r="BK150" s="348">
        <v>0</v>
      </c>
      <c r="BL150" s="348"/>
      <c r="BM150" s="440">
        <f t="shared" si="47"/>
        <v>2049926</v>
      </c>
      <c r="BN150" s="348"/>
      <c r="BO150" s="221">
        <f>+MAX(0,G150-BM150+AM150)</f>
        <v>0</v>
      </c>
      <c r="BP150" s="348"/>
      <c r="BQ150" s="221">
        <f>SUM(BM150:BO150)</f>
        <v>2049926</v>
      </c>
      <c r="BR150" s="348"/>
      <c r="BS150" s="348">
        <f>E150-BQ150</f>
        <v>-998</v>
      </c>
      <c r="BT150" s="225"/>
    </row>
    <row r="151" spans="1:72">
      <c r="A151" s="197"/>
      <c r="B151" s="212"/>
      <c r="C151" s="187"/>
      <c r="D151" s="187"/>
      <c r="E151" s="348"/>
      <c r="G151" s="348"/>
      <c r="I151" s="348"/>
      <c r="J151" s="348"/>
      <c r="K151" s="348"/>
      <c r="L151" s="348"/>
      <c r="M151" s="348"/>
      <c r="N151" s="348"/>
      <c r="O151" s="348"/>
      <c r="P151" s="348"/>
      <c r="Q151" s="348"/>
      <c r="R151" s="348"/>
      <c r="S151" s="348"/>
      <c r="T151" s="348"/>
      <c r="U151" s="348"/>
      <c r="V151" s="348"/>
      <c r="W151" s="348"/>
      <c r="X151" s="348"/>
      <c r="Y151" s="348"/>
      <c r="Z151" s="348"/>
      <c r="AA151" s="348"/>
      <c r="AB151" s="348"/>
      <c r="AC151" s="348"/>
      <c r="AD151" s="348"/>
      <c r="AE151" s="348"/>
      <c r="AF151" s="348"/>
      <c r="AG151" s="348"/>
      <c r="AH151" s="348"/>
      <c r="AI151" s="348"/>
      <c r="AJ151" s="348"/>
      <c r="AK151" s="348"/>
      <c r="AL151" s="348"/>
      <c r="AM151" s="348"/>
      <c r="AN151" s="348"/>
      <c r="AO151" s="348"/>
      <c r="AP151" s="348"/>
      <c r="AQ151" s="348"/>
      <c r="AR151" s="348"/>
      <c r="AS151" s="348"/>
      <c r="AT151" s="348"/>
      <c r="AU151" s="348"/>
      <c r="AV151" s="348"/>
      <c r="AW151" s="348"/>
      <c r="AX151" s="348"/>
      <c r="AY151" s="348"/>
      <c r="AZ151" s="348"/>
      <c r="BA151" s="348"/>
      <c r="BB151" s="348"/>
      <c r="BC151" s="348"/>
      <c r="BD151" s="348"/>
      <c r="BE151" s="348"/>
      <c r="BF151" s="348"/>
      <c r="BG151" s="348"/>
      <c r="BH151" s="348"/>
      <c r="BI151" s="348"/>
      <c r="BJ151" s="348"/>
      <c r="BK151" s="348"/>
      <c r="BL151" s="348"/>
      <c r="BM151" s="482"/>
      <c r="BN151" s="348"/>
      <c r="BO151" s="348"/>
      <c r="BP151" s="348"/>
      <c r="BQ151" s="348"/>
      <c r="BR151" s="348"/>
      <c r="BS151" s="348"/>
    </row>
    <row r="152" spans="1:72" s="221" customFormat="1">
      <c r="A152" s="340" t="s">
        <v>1519</v>
      </c>
      <c r="B152" s="212"/>
      <c r="E152" s="348">
        <v>1251833</v>
      </c>
      <c r="F152" s="225"/>
      <c r="G152" s="348">
        <f>1207802</f>
        <v>1207802</v>
      </c>
      <c r="H152" s="225"/>
      <c r="I152" s="348">
        <f>G152-E152</f>
        <v>-44031</v>
      </c>
      <c r="J152" s="348"/>
      <c r="K152" s="348">
        <v>0</v>
      </c>
      <c r="L152" s="348">
        <v>0</v>
      </c>
      <c r="M152" s="348">
        <v>0</v>
      </c>
      <c r="N152" s="348">
        <v>0</v>
      </c>
      <c r="O152" s="348">
        <v>0</v>
      </c>
      <c r="P152" s="348">
        <v>0</v>
      </c>
      <c r="Q152" s="348">
        <v>0</v>
      </c>
      <c r="R152" s="348">
        <v>0</v>
      </c>
      <c r="S152" s="348">
        <v>0</v>
      </c>
      <c r="T152" s="348">
        <v>0</v>
      </c>
      <c r="U152" s="348">
        <v>0</v>
      </c>
      <c r="V152" s="348">
        <v>0</v>
      </c>
      <c r="W152" s="348">
        <v>0</v>
      </c>
      <c r="X152" s="348">
        <v>0</v>
      </c>
      <c r="Y152" s="348">
        <v>0</v>
      </c>
      <c r="Z152" s="348">
        <v>0</v>
      </c>
      <c r="AA152" s="348">
        <v>0</v>
      </c>
      <c r="AB152" s="348">
        <v>0</v>
      </c>
      <c r="AC152" s="348">
        <v>0</v>
      </c>
      <c r="AD152" s="348">
        <v>0</v>
      </c>
      <c r="AE152" s="348">
        <v>0</v>
      </c>
      <c r="AF152" s="348"/>
      <c r="AG152" s="348">
        <v>0</v>
      </c>
      <c r="AH152" s="348"/>
      <c r="AI152" s="348">
        <v>0</v>
      </c>
      <c r="AJ152" s="348"/>
      <c r="AK152" s="348">
        <f>SUM(K152:AJ152)</f>
        <v>0</v>
      </c>
      <c r="AL152" s="348"/>
      <c r="AM152" s="348"/>
      <c r="AN152" s="348"/>
      <c r="AO152" s="348">
        <v>0</v>
      </c>
      <c r="AP152" s="348"/>
      <c r="AQ152" s="348">
        <v>0</v>
      </c>
      <c r="AR152" s="348"/>
      <c r="AS152" s="348">
        <v>0</v>
      </c>
      <c r="AT152" s="348"/>
      <c r="AU152" s="348">
        <v>0</v>
      </c>
      <c r="AV152" s="348"/>
      <c r="AW152" s="348">
        <v>0</v>
      </c>
      <c r="AX152" s="348"/>
      <c r="AY152" s="348">
        <v>0</v>
      </c>
      <c r="AZ152" s="348"/>
      <c r="BA152" s="348">
        <v>0</v>
      </c>
      <c r="BB152" s="348"/>
      <c r="BC152" s="348">
        <v>0</v>
      </c>
      <c r="BD152" s="348"/>
      <c r="BE152" s="348">
        <f>362341+483121+241560+120780</f>
        <v>1207802</v>
      </c>
      <c r="BF152" s="348"/>
      <c r="BG152" s="348">
        <v>0</v>
      </c>
      <c r="BH152" s="348"/>
      <c r="BI152" s="348">
        <v>0</v>
      </c>
      <c r="BJ152" s="348"/>
      <c r="BK152" s="348">
        <v>0</v>
      </c>
      <c r="BL152" s="348"/>
      <c r="BM152" s="440">
        <f t="shared" si="47"/>
        <v>1207802</v>
      </c>
      <c r="BN152" s="348"/>
      <c r="BO152" s="221">
        <f>+MAX(0,G152-BM152+AM152)</f>
        <v>0</v>
      </c>
      <c r="BP152" s="348"/>
      <c r="BQ152" s="221">
        <f>SUM(BM152:BO152)</f>
        <v>1207802</v>
      </c>
      <c r="BR152" s="348"/>
      <c r="BS152" s="360">
        <f>E152-BQ152</f>
        <v>44031</v>
      </c>
      <c r="BT152" s="225"/>
    </row>
    <row r="153" spans="1:72" s="221" customFormat="1">
      <c r="A153" s="340"/>
      <c r="B153" s="212"/>
      <c r="E153" s="348"/>
      <c r="F153" s="225"/>
      <c r="G153" s="348"/>
      <c r="H153" s="225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348"/>
      <c r="AB153" s="348"/>
      <c r="AC153" s="348"/>
      <c r="AD153" s="348"/>
      <c r="AE153" s="348"/>
      <c r="AF153" s="348"/>
      <c r="AG153" s="348"/>
      <c r="AH153" s="348"/>
      <c r="AI153" s="348"/>
      <c r="AJ153" s="348"/>
      <c r="AK153" s="348"/>
      <c r="AL153" s="348"/>
      <c r="AM153" s="348"/>
      <c r="AN153" s="348"/>
      <c r="AO153" s="348"/>
      <c r="AP153" s="348"/>
      <c r="AQ153" s="348"/>
      <c r="AR153" s="348"/>
      <c r="AS153" s="348"/>
      <c r="AT153" s="348"/>
      <c r="AU153" s="348"/>
      <c r="AV153" s="348"/>
      <c r="AW153" s="348"/>
      <c r="AX153" s="348"/>
      <c r="AY153" s="348"/>
      <c r="AZ153" s="348"/>
      <c r="BA153" s="348"/>
      <c r="BB153" s="348"/>
      <c r="BC153" s="348"/>
      <c r="BD153" s="348"/>
      <c r="BE153" s="348"/>
      <c r="BF153" s="348"/>
      <c r="BG153" s="348"/>
      <c r="BH153" s="348"/>
      <c r="BI153" s="348"/>
      <c r="BJ153" s="348"/>
      <c r="BK153" s="348"/>
      <c r="BL153" s="348"/>
      <c r="BM153" s="482"/>
      <c r="BN153" s="348"/>
      <c r="BP153" s="348"/>
      <c r="BR153" s="348"/>
      <c r="BS153" s="360"/>
      <c r="BT153" s="225"/>
    </row>
    <row r="154" spans="1:72" s="221" customFormat="1">
      <c r="A154" s="340" t="s">
        <v>1460</v>
      </c>
      <c r="B154" s="212"/>
      <c r="E154" s="360">
        <v>149000</v>
      </c>
      <c r="F154" s="360">
        <v>777891</v>
      </c>
      <c r="G154" s="360">
        <v>0</v>
      </c>
      <c r="H154" s="225"/>
      <c r="I154" s="348">
        <f>G154-E154</f>
        <v>-149000</v>
      </c>
      <c r="J154" s="348"/>
      <c r="K154" s="348">
        <v>0</v>
      </c>
      <c r="L154" s="348">
        <v>0</v>
      </c>
      <c r="M154" s="348">
        <v>0</v>
      </c>
      <c r="N154" s="348">
        <v>0</v>
      </c>
      <c r="O154" s="348">
        <v>0</v>
      </c>
      <c r="P154" s="348">
        <v>0</v>
      </c>
      <c r="Q154" s="348">
        <v>0</v>
      </c>
      <c r="R154" s="348">
        <v>0</v>
      </c>
      <c r="S154" s="348">
        <v>0</v>
      </c>
      <c r="T154" s="348">
        <v>0</v>
      </c>
      <c r="U154" s="348">
        <v>0</v>
      </c>
      <c r="V154" s="348">
        <v>0</v>
      </c>
      <c r="W154" s="348">
        <v>0</v>
      </c>
      <c r="X154" s="348">
        <v>0</v>
      </c>
      <c r="Y154" s="348">
        <v>0</v>
      </c>
      <c r="Z154" s="348">
        <v>0</v>
      </c>
      <c r="AA154" s="348">
        <v>0</v>
      </c>
      <c r="AB154" s="348">
        <v>0</v>
      </c>
      <c r="AC154" s="348">
        <v>0</v>
      </c>
      <c r="AD154" s="348">
        <v>0</v>
      </c>
      <c r="AE154" s="348">
        <v>0</v>
      </c>
      <c r="AF154" s="348"/>
      <c r="AG154" s="348">
        <v>0</v>
      </c>
      <c r="AH154" s="348"/>
      <c r="AI154" s="348">
        <v>0</v>
      </c>
      <c r="AJ154" s="348"/>
      <c r="AK154" s="348">
        <f>SUM(K154:AJ154)</f>
        <v>0</v>
      </c>
      <c r="AL154" s="348"/>
      <c r="AM154" s="348"/>
      <c r="AN154" s="348"/>
      <c r="AO154" s="348">
        <v>0</v>
      </c>
      <c r="AP154" s="348"/>
      <c r="AQ154" s="348">
        <v>0</v>
      </c>
      <c r="AR154" s="348"/>
      <c r="AS154" s="348">
        <v>0</v>
      </c>
      <c r="AT154" s="348"/>
      <c r="AU154" s="348">
        <v>0</v>
      </c>
      <c r="AV154" s="348"/>
      <c r="AW154" s="348">
        <v>0</v>
      </c>
      <c r="AX154" s="348"/>
      <c r="AY154" s="348">
        <v>0</v>
      </c>
      <c r="AZ154" s="348"/>
      <c r="BA154" s="348">
        <v>0</v>
      </c>
      <c r="BB154" s="348"/>
      <c r="BC154" s="348">
        <v>0</v>
      </c>
      <c r="BD154" s="348"/>
      <c r="BE154" s="348">
        <v>0</v>
      </c>
      <c r="BF154" s="348"/>
      <c r="BG154" s="348">
        <v>0</v>
      </c>
      <c r="BH154" s="348"/>
      <c r="BI154" s="348">
        <v>0</v>
      </c>
      <c r="BJ154" s="348"/>
      <c r="BK154" s="348">
        <v>0</v>
      </c>
      <c r="BL154" s="348"/>
      <c r="BM154" s="440">
        <f t="shared" si="47"/>
        <v>0</v>
      </c>
      <c r="BN154" s="348"/>
      <c r="BO154" s="221">
        <f>+MAX(0,G154-BM154+AM154)</f>
        <v>0</v>
      </c>
      <c r="BP154" s="348"/>
      <c r="BQ154" s="221">
        <f>SUM(BM154:BO154)</f>
        <v>0</v>
      </c>
      <c r="BR154" s="348"/>
      <c r="BS154" s="360">
        <f>E154-BQ154</f>
        <v>149000</v>
      </c>
      <c r="BT154" s="225"/>
    </row>
    <row r="155" spans="1:72" s="221" customFormat="1">
      <c r="A155" s="340"/>
      <c r="B155" s="212"/>
      <c r="E155" s="348"/>
      <c r="F155" s="348"/>
      <c r="G155" s="348"/>
      <c r="H155" s="225"/>
      <c r="I155" s="348"/>
      <c r="J155" s="348"/>
      <c r="K155" s="348"/>
      <c r="L155" s="348"/>
      <c r="M155" s="348"/>
      <c r="N155" s="348"/>
      <c r="O155" s="348"/>
      <c r="P155" s="348"/>
      <c r="Q155" s="348"/>
      <c r="R155" s="348"/>
      <c r="S155" s="348"/>
      <c r="T155" s="348"/>
      <c r="U155" s="348"/>
      <c r="V155" s="348"/>
      <c r="W155" s="348"/>
      <c r="X155" s="348"/>
      <c r="Y155" s="348"/>
      <c r="Z155" s="348"/>
      <c r="AA155" s="348"/>
      <c r="AB155" s="348"/>
      <c r="AC155" s="348"/>
      <c r="AD155" s="348"/>
      <c r="AE155" s="348"/>
      <c r="AF155" s="348"/>
      <c r="AG155" s="348"/>
      <c r="AH155" s="348"/>
      <c r="AI155" s="348"/>
      <c r="AJ155" s="348"/>
      <c r="AK155" s="348"/>
      <c r="AL155" s="348"/>
      <c r="AM155" s="348"/>
      <c r="AN155" s="348"/>
      <c r="AO155" s="348"/>
      <c r="AP155" s="348"/>
      <c r="AQ155" s="348"/>
      <c r="AR155" s="348"/>
      <c r="AS155" s="348"/>
      <c r="AT155" s="348"/>
      <c r="AU155" s="348"/>
      <c r="AV155" s="348"/>
      <c r="AW155" s="348"/>
      <c r="AX155" s="348"/>
      <c r="AY155" s="348"/>
      <c r="AZ155" s="348"/>
      <c r="BA155" s="348"/>
      <c r="BB155" s="348"/>
      <c r="BC155" s="348"/>
      <c r="BD155" s="348"/>
      <c r="BE155" s="348"/>
      <c r="BF155" s="348"/>
      <c r="BG155" s="348"/>
      <c r="BH155" s="348"/>
      <c r="BI155" s="348"/>
      <c r="BJ155" s="348"/>
      <c r="BK155" s="348"/>
      <c r="BL155" s="348"/>
      <c r="BM155" s="482"/>
      <c r="BN155" s="348"/>
      <c r="BP155" s="348"/>
      <c r="BR155" s="348"/>
      <c r="BS155" s="360"/>
      <c r="BT155" s="225"/>
    </row>
    <row r="156" spans="1:72" s="221" customFormat="1">
      <c r="A156" s="340" t="s">
        <v>1414</v>
      </c>
      <c r="E156" s="348">
        <v>0</v>
      </c>
      <c r="F156" s="348"/>
      <c r="G156" s="348">
        <v>279713</v>
      </c>
      <c r="H156" s="225"/>
      <c r="I156" s="348">
        <f>G156-E156</f>
        <v>279713</v>
      </c>
      <c r="J156" s="348"/>
      <c r="K156" s="348">
        <v>0</v>
      </c>
      <c r="L156" s="348"/>
      <c r="M156" s="348">
        <v>0</v>
      </c>
      <c r="N156" s="348"/>
      <c r="O156" s="348">
        <v>0</v>
      </c>
      <c r="P156" s="348"/>
      <c r="Q156" s="348">
        <v>0</v>
      </c>
      <c r="R156" s="348"/>
      <c r="S156" s="348">
        <v>0</v>
      </c>
      <c r="T156" s="348"/>
      <c r="U156" s="348">
        <v>0</v>
      </c>
      <c r="V156" s="348"/>
      <c r="W156" s="348">
        <v>0</v>
      </c>
      <c r="X156" s="348"/>
      <c r="Y156" s="348">
        <v>0</v>
      </c>
      <c r="Z156" s="348"/>
      <c r="AA156" s="348">
        <v>0</v>
      </c>
      <c r="AB156" s="348"/>
      <c r="AC156" s="348"/>
      <c r="AD156" s="348"/>
      <c r="AE156" s="348"/>
      <c r="AF156" s="348"/>
      <c r="AG156" s="348"/>
      <c r="AH156" s="348"/>
      <c r="AI156" s="436">
        <f>6359</f>
        <v>6359</v>
      </c>
      <c r="AJ156" s="348"/>
      <c r="AK156" s="348">
        <f>SUM(K156:AJ156)</f>
        <v>6359</v>
      </c>
      <c r="AL156" s="348"/>
      <c r="AM156" s="348"/>
      <c r="AN156" s="348"/>
      <c r="AO156" s="436">
        <v>25613</v>
      </c>
      <c r="AP156" s="348"/>
      <c r="AQ156" s="436">
        <v>5200</v>
      </c>
      <c r="AR156" s="348"/>
      <c r="AS156" s="436">
        <f>27607</f>
        <v>27607</v>
      </c>
      <c r="AT156" s="348"/>
      <c r="AU156" s="436">
        <f>114343.46-64779</f>
        <v>49564.460000000006</v>
      </c>
      <c r="AV156" s="348"/>
      <c r="AW156" s="348">
        <f>193174.62-114343.46</f>
        <v>78831.159999999989</v>
      </c>
      <c r="AX156" s="348"/>
      <c r="AY156" s="348">
        <f>227305.17-193174.62</f>
        <v>34130.550000000017</v>
      </c>
      <c r="AZ156" s="348"/>
      <c r="BA156" s="348">
        <v>0</v>
      </c>
      <c r="BB156" s="348"/>
      <c r="BC156" s="348">
        <v>0</v>
      </c>
      <c r="BD156" s="348"/>
      <c r="BE156" s="348">
        <f>236375-227305</f>
        <v>9070</v>
      </c>
      <c r="BF156" s="348"/>
      <c r="BG156" s="348"/>
      <c r="BH156" s="348"/>
      <c r="BI156" s="348">
        <f>236375-236375</f>
        <v>0</v>
      </c>
      <c r="BJ156" s="348"/>
      <c r="BK156" s="348">
        <f>236375-236375</f>
        <v>0</v>
      </c>
      <c r="BL156" s="348"/>
      <c r="BM156" s="440">
        <f t="shared" si="47"/>
        <v>236375.17</v>
      </c>
      <c r="BN156" s="348"/>
      <c r="BO156" s="221">
        <f>G156-BM156</f>
        <v>43337.829999999987</v>
      </c>
      <c r="BP156" s="348"/>
      <c r="BQ156" s="221">
        <f>SUM(BM156:BO156)</f>
        <v>279713</v>
      </c>
      <c r="BR156" s="348"/>
      <c r="BS156" s="360">
        <f>E156-BQ156</f>
        <v>-279713</v>
      </c>
      <c r="BT156" s="225"/>
    </row>
    <row r="157" spans="1:72" s="221" customFormat="1">
      <c r="A157" s="340"/>
      <c r="E157" s="348"/>
      <c r="F157" s="348"/>
      <c r="G157" s="348"/>
      <c r="H157" s="225"/>
      <c r="I157" s="348"/>
      <c r="J157" s="348"/>
      <c r="K157" s="348"/>
      <c r="L157" s="348"/>
      <c r="M157" s="348"/>
      <c r="N157" s="348"/>
      <c r="O157" s="348"/>
      <c r="P157" s="348"/>
      <c r="Q157" s="348"/>
      <c r="R157" s="348"/>
      <c r="S157" s="348"/>
      <c r="T157" s="348"/>
      <c r="U157" s="348"/>
      <c r="V157" s="348"/>
      <c r="W157" s="348"/>
      <c r="X157" s="348"/>
      <c r="Y157" s="348"/>
      <c r="Z157" s="348"/>
      <c r="AA157" s="348"/>
      <c r="AB157" s="348"/>
      <c r="AC157" s="348"/>
      <c r="AD157" s="348"/>
      <c r="AE157" s="348"/>
      <c r="AF157" s="348"/>
      <c r="AG157" s="348"/>
      <c r="AH157" s="348"/>
      <c r="AI157" s="436"/>
      <c r="AJ157" s="348"/>
      <c r="AK157" s="348"/>
      <c r="AL157" s="348"/>
      <c r="AM157" s="348"/>
      <c r="AN157" s="348"/>
      <c r="AO157" s="436"/>
      <c r="AP157" s="348"/>
      <c r="AQ157" s="436"/>
      <c r="AR157" s="348"/>
      <c r="AS157" s="436"/>
      <c r="AT157" s="348"/>
      <c r="AU157" s="348"/>
      <c r="AV157" s="348"/>
      <c r="AW157" s="348"/>
      <c r="AX157" s="348"/>
      <c r="AY157" s="348"/>
      <c r="AZ157" s="348"/>
      <c r="BA157" s="348"/>
      <c r="BB157" s="348"/>
      <c r="BC157" s="348"/>
      <c r="BD157" s="348"/>
      <c r="BE157" s="348"/>
      <c r="BF157" s="348"/>
      <c r="BG157" s="348"/>
      <c r="BH157" s="348"/>
      <c r="BI157" s="348"/>
      <c r="BJ157" s="348"/>
      <c r="BK157" s="348"/>
      <c r="BL157" s="348"/>
      <c r="BM157" s="482"/>
      <c r="BN157" s="348"/>
      <c r="BP157" s="348"/>
      <c r="BR157" s="348"/>
      <c r="BS157" s="360"/>
      <c r="BT157" s="225"/>
    </row>
    <row r="158" spans="1:72" s="221" customFormat="1">
      <c r="A158" s="220" t="s">
        <v>861</v>
      </c>
      <c r="E158" s="348">
        <v>-137360</v>
      </c>
      <c r="F158" s="348"/>
      <c r="G158" s="348">
        <v>0</v>
      </c>
      <c r="H158" s="225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48"/>
      <c r="Z158" s="348"/>
      <c r="AA158" s="348"/>
      <c r="AB158" s="348"/>
      <c r="AC158" s="348"/>
      <c r="AD158" s="348"/>
      <c r="AE158" s="348"/>
      <c r="AF158" s="348"/>
      <c r="AG158" s="348"/>
      <c r="AH158" s="348"/>
      <c r="AI158" s="436"/>
      <c r="AJ158" s="348"/>
      <c r="AK158" s="348"/>
      <c r="AL158" s="348"/>
      <c r="AM158" s="348"/>
      <c r="AN158" s="348"/>
      <c r="AO158" s="436"/>
      <c r="AP158" s="348"/>
      <c r="AQ158" s="436"/>
      <c r="AR158" s="348"/>
      <c r="AS158" s="436"/>
      <c r="AT158" s="348"/>
      <c r="AU158" s="348"/>
      <c r="AV158" s="348"/>
      <c r="AW158" s="348"/>
      <c r="AX158" s="348"/>
      <c r="AY158" s="348"/>
      <c r="AZ158" s="348"/>
      <c r="BA158" s="348"/>
      <c r="BB158" s="348"/>
      <c r="BC158" s="348"/>
      <c r="BD158" s="348"/>
      <c r="BE158" s="348"/>
      <c r="BF158" s="348"/>
      <c r="BG158" s="348"/>
      <c r="BH158" s="348"/>
      <c r="BI158" s="348"/>
      <c r="BJ158" s="348"/>
      <c r="BK158" s="348"/>
      <c r="BL158" s="348"/>
      <c r="BM158" s="440">
        <f t="shared" si="47"/>
        <v>0</v>
      </c>
      <c r="BN158" s="348"/>
      <c r="BO158" s="221">
        <v>0</v>
      </c>
      <c r="BP158" s="348"/>
      <c r="BQ158" s="221">
        <v>0</v>
      </c>
      <c r="BR158" s="348"/>
      <c r="BS158" s="360">
        <f>E158-BQ158</f>
        <v>-137360</v>
      </c>
      <c r="BT158" s="225"/>
    </row>
    <row r="159" spans="1:72" s="221" customFormat="1" hidden="1">
      <c r="A159" s="340"/>
      <c r="E159" s="348"/>
      <c r="F159" s="348"/>
      <c r="G159" s="348"/>
      <c r="H159" s="225"/>
      <c r="I159" s="348"/>
      <c r="J159" s="348"/>
      <c r="K159" s="348"/>
      <c r="L159" s="348"/>
      <c r="M159" s="348"/>
      <c r="N159" s="34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  <c r="Y159" s="348"/>
      <c r="Z159" s="348"/>
      <c r="AA159" s="348"/>
      <c r="AB159" s="348"/>
      <c r="AC159" s="348"/>
      <c r="AD159" s="348"/>
      <c r="AE159" s="348"/>
      <c r="AF159" s="348"/>
      <c r="AG159" s="348"/>
      <c r="AH159" s="348"/>
      <c r="AI159" s="348"/>
      <c r="AJ159" s="348"/>
      <c r="AK159" s="348"/>
      <c r="AL159" s="348"/>
      <c r="AM159" s="348"/>
      <c r="AN159" s="348"/>
      <c r="AO159" s="348"/>
      <c r="AP159" s="348"/>
      <c r="AQ159" s="348"/>
      <c r="AR159" s="348"/>
      <c r="AS159" s="348"/>
      <c r="AT159" s="348"/>
      <c r="AU159" s="348"/>
      <c r="AV159" s="348"/>
      <c r="AW159" s="348"/>
      <c r="AX159" s="348"/>
      <c r="AY159" s="348"/>
      <c r="AZ159" s="348"/>
      <c r="BA159" s="348"/>
      <c r="BB159" s="348"/>
      <c r="BC159" s="348"/>
      <c r="BD159" s="348"/>
      <c r="BE159" s="348"/>
      <c r="BF159" s="348"/>
      <c r="BG159" s="348"/>
      <c r="BH159" s="348"/>
      <c r="BI159" s="348"/>
      <c r="BJ159" s="348"/>
      <c r="BK159" s="348"/>
      <c r="BL159" s="348"/>
      <c r="BM159" s="482"/>
      <c r="BN159" s="348"/>
      <c r="BP159" s="348"/>
      <c r="BR159" s="348"/>
      <c r="BS159" s="360"/>
      <c r="BT159" s="225"/>
    </row>
    <row r="160" spans="1:72" s="221" customFormat="1" hidden="1">
      <c r="A160" s="340" t="s">
        <v>1415</v>
      </c>
      <c r="E160" s="348">
        <v>0</v>
      </c>
      <c r="F160" s="348"/>
      <c r="G160" s="348">
        <v>0</v>
      </c>
      <c r="H160" s="225"/>
      <c r="I160" s="348">
        <f>G160-E160</f>
        <v>0</v>
      </c>
      <c r="J160" s="348"/>
      <c r="K160" s="348">
        <v>0</v>
      </c>
      <c r="L160" s="348"/>
      <c r="M160" s="348">
        <v>0</v>
      </c>
      <c r="N160" s="348"/>
      <c r="O160" s="348">
        <v>0</v>
      </c>
      <c r="P160" s="348"/>
      <c r="Q160" s="348">
        <v>0</v>
      </c>
      <c r="R160" s="348"/>
      <c r="S160" s="348">
        <v>0</v>
      </c>
      <c r="T160" s="348"/>
      <c r="U160" s="348">
        <v>0</v>
      </c>
      <c r="V160" s="348"/>
      <c r="W160" s="348">
        <v>0</v>
      </c>
      <c r="X160" s="348"/>
      <c r="Y160" s="348">
        <v>0</v>
      </c>
      <c r="Z160" s="348"/>
      <c r="AA160" s="348">
        <v>0</v>
      </c>
      <c r="AB160" s="348"/>
      <c r="AC160" s="348"/>
      <c r="AD160" s="348"/>
      <c r="AE160" s="348"/>
      <c r="AF160" s="348"/>
      <c r="AG160" s="348"/>
      <c r="AH160" s="348"/>
      <c r="AI160" s="348"/>
      <c r="AJ160" s="348"/>
      <c r="AK160" s="348">
        <f>SUM(K160:AJ160)</f>
        <v>0</v>
      </c>
      <c r="AL160" s="348"/>
      <c r="AM160" s="348"/>
      <c r="AN160" s="348"/>
      <c r="AO160" s="348">
        <v>0</v>
      </c>
      <c r="AP160" s="348"/>
      <c r="AQ160" s="348">
        <v>0</v>
      </c>
      <c r="AR160" s="348"/>
      <c r="AS160" s="348">
        <v>0</v>
      </c>
      <c r="AT160" s="348"/>
      <c r="AU160" s="348">
        <v>0</v>
      </c>
      <c r="AV160" s="348"/>
      <c r="AW160" s="348">
        <v>0</v>
      </c>
      <c r="AX160" s="348"/>
      <c r="AY160" s="348">
        <v>0</v>
      </c>
      <c r="AZ160" s="348"/>
      <c r="BA160" s="348">
        <v>0</v>
      </c>
      <c r="BB160" s="348"/>
      <c r="BC160" s="348">
        <v>0</v>
      </c>
      <c r="BD160" s="348"/>
      <c r="BE160" s="348">
        <v>0</v>
      </c>
      <c r="BF160" s="348"/>
      <c r="BG160" s="348">
        <v>0</v>
      </c>
      <c r="BH160" s="348"/>
      <c r="BI160" s="348">
        <v>0</v>
      </c>
      <c r="BJ160" s="348"/>
      <c r="BK160" s="348">
        <v>0</v>
      </c>
      <c r="BL160" s="348"/>
      <c r="BM160" s="482">
        <f>SUM(AK160:BB160)</f>
        <v>0</v>
      </c>
      <c r="BN160" s="348"/>
      <c r="BO160" s="221">
        <f>G160-BM160</f>
        <v>0</v>
      </c>
      <c r="BP160" s="348"/>
      <c r="BQ160" s="221">
        <f>SUM(BM160:BO160)</f>
        <v>0</v>
      </c>
      <c r="BR160" s="348"/>
      <c r="BS160" s="360">
        <f>E160-BQ160</f>
        <v>0</v>
      </c>
      <c r="BT160" s="225"/>
    </row>
    <row r="161" spans="1:72">
      <c r="A161" s="340"/>
      <c r="B161" s="212"/>
      <c r="C161" s="187"/>
      <c r="D161" s="187"/>
      <c r="E161" s="348"/>
      <c r="G161" s="348"/>
      <c r="I161" s="348"/>
      <c r="J161" s="348"/>
      <c r="K161" s="348"/>
      <c r="L161" s="348"/>
      <c r="M161" s="348"/>
      <c r="N161" s="348"/>
      <c r="O161" s="348"/>
      <c r="P161" s="348"/>
      <c r="Q161" s="348"/>
      <c r="R161" s="348"/>
      <c r="S161" s="348"/>
      <c r="T161" s="348"/>
      <c r="U161" s="348"/>
      <c r="V161" s="348"/>
      <c r="W161" s="348"/>
      <c r="X161" s="348"/>
      <c r="Y161" s="348"/>
      <c r="Z161" s="348"/>
      <c r="AA161" s="348"/>
      <c r="AB161" s="348"/>
      <c r="AC161" s="348"/>
      <c r="AD161" s="348"/>
      <c r="AE161" s="348"/>
      <c r="AF161" s="348"/>
      <c r="AG161" s="348"/>
      <c r="AH161" s="348"/>
      <c r="AI161" s="348"/>
      <c r="AJ161" s="348"/>
      <c r="AK161" s="348"/>
      <c r="AL161" s="348"/>
      <c r="AM161" s="348"/>
      <c r="AN161" s="348"/>
      <c r="AO161" s="348"/>
      <c r="AP161" s="348"/>
      <c r="AQ161" s="348"/>
      <c r="AR161" s="348"/>
      <c r="AS161" s="348"/>
      <c r="AT161" s="348"/>
      <c r="AU161" s="348"/>
      <c r="AV161" s="348"/>
      <c r="AW161" s="348"/>
      <c r="AX161" s="348"/>
      <c r="AY161" s="348"/>
      <c r="AZ161" s="348"/>
      <c r="BA161" s="348"/>
      <c r="BB161" s="348"/>
      <c r="BC161" s="348"/>
      <c r="BD161" s="348"/>
      <c r="BE161" s="348"/>
      <c r="BF161" s="348"/>
      <c r="BG161" s="348"/>
      <c r="BH161" s="348"/>
      <c r="BI161" s="348"/>
      <c r="BJ161" s="348"/>
      <c r="BK161" s="348"/>
      <c r="BL161" s="348"/>
      <c r="BM161" s="482"/>
      <c r="BN161" s="348"/>
      <c r="BO161" s="221"/>
      <c r="BP161" s="348"/>
      <c r="BQ161" s="221"/>
      <c r="BR161" s="348"/>
      <c r="BS161" s="348"/>
    </row>
    <row r="162" spans="1:72" s="221" customFormat="1">
      <c r="A162" s="340" t="s">
        <v>1571</v>
      </c>
      <c r="B162" s="212"/>
      <c r="E162" s="348">
        <v>0</v>
      </c>
      <c r="F162" s="225"/>
      <c r="G162" s="348">
        <v>0</v>
      </c>
      <c r="H162" s="225"/>
      <c r="I162" s="348"/>
      <c r="J162" s="348"/>
      <c r="K162" s="348"/>
      <c r="L162" s="348"/>
      <c r="M162" s="348"/>
      <c r="N162" s="348"/>
      <c r="O162" s="348"/>
      <c r="P162" s="348"/>
      <c r="Q162" s="348"/>
      <c r="R162" s="348"/>
      <c r="S162" s="348"/>
      <c r="T162" s="348"/>
      <c r="U162" s="348"/>
      <c r="V162" s="348"/>
      <c r="W162" s="348"/>
      <c r="X162" s="348"/>
      <c r="Y162" s="348"/>
      <c r="Z162" s="348"/>
      <c r="AA162" s="348"/>
      <c r="AB162" s="348"/>
      <c r="AC162" s="348"/>
      <c r="AD162" s="348"/>
      <c r="AE162" s="348"/>
      <c r="AF162" s="348"/>
      <c r="AG162" s="348">
        <f>-AG148+201869+82855</f>
        <v>27263</v>
      </c>
      <c r="AH162" s="348"/>
      <c r="AI162" s="348">
        <f>2173279-6359-AI148</f>
        <v>1621960</v>
      </c>
      <c r="AJ162" s="348"/>
      <c r="AK162" s="348">
        <f>SUM(K162:AJ162)</f>
        <v>1649223</v>
      </c>
      <c r="AL162" s="348"/>
      <c r="AM162" s="348"/>
      <c r="AN162" s="348"/>
      <c r="AO162" s="348">
        <f>5151338-(31972-6359)-AO148</f>
        <v>1942376.46</v>
      </c>
      <c r="AP162" s="348"/>
      <c r="AQ162" s="348">
        <f>0-AQ148-5200</f>
        <v>-2416659.5</v>
      </c>
      <c r="AR162" s="348"/>
      <c r="AS162" s="348">
        <f>0-2245594.11-27607.29-157687</f>
        <v>-2430888.4</v>
      </c>
      <c r="AT162" s="348"/>
      <c r="AU162" s="348">
        <f>3769589-AU148-AU156</f>
        <v>1386737.9900000007</v>
      </c>
      <c r="AV162" s="348"/>
      <c r="AW162" s="348">
        <f>1724478+157687-AW148-AW156</f>
        <v>-2971206.580000001</v>
      </c>
      <c r="AX162" s="348"/>
      <c r="AY162" s="348">
        <v>1353159.24</v>
      </c>
      <c r="AZ162" s="348"/>
      <c r="BA162" s="348">
        <v>0</v>
      </c>
      <c r="BB162" s="348"/>
      <c r="BC162" s="348">
        <v>0</v>
      </c>
      <c r="BD162" s="348"/>
      <c r="BE162" s="348">
        <f>2500081+1828546-BE148-BE156</f>
        <v>1006932</v>
      </c>
      <c r="BF162" s="348"/>
      <c r="BG162" s="348">
        <f>480326+777441-850811</f>
        <v>406956</v>
      </c>
      <c r="BH162" s="348"/>
      <c r="BI162" s="348">
        <v>-454813</v>
      </c>
      <c r="BJ162" s="348"/>
      <c r="BK162" s="348">
        <v>0</v>
      </c>
      <c r="BL162" s="348"/>
      <c r="BM162" s="440">
        <f>SUM(AK162:BL162)</f>
        <v>-528182.79000000027</v>
      </c>
      <c r="BN162" s="348"/>
      <c r="BO162" s="221">
        <f>-BM162</f>
        <v>528182.79000000027</v>
      </c>
      <c r="BP162" s="348"/>
      <c r="BQ162" s="221">
        <f>SUM(BM162:BO162)</f>
        <v>0</v>
      </c>
      <c r="BR162" s="348"/>
      <c r="BS162" s="348">
        <f>E162-BQ162</f>
        <v>0</v>
      </c>
      <c r="BT162" s="225"/>
    </row>
    <row r="163" spans="1:72">
      <c r="A163" s="197"/>
      <c r="B163" s="212"/>
      <c r="C163" s="187"/>
      <c r="D163" s="187"/>
      <c r="E163" s="348"/>
      <c r="G163" s="348"/>
      <c r="I163" s="348"/>
      <c r="J163" s="348"/>
      <c r="K163" s="348"/>
      <c r="L163" s="348"/>
      <c r="M163" s="348"/>
      <c r="N163" s="348"/>
      <c r="O163" s="348"/>
      <c r="P163" s="348"/>
      <c r="Q163" s="348"/>
      <c r="R163" s="348"/>
      <c r="S163" s="348"/>
      <c r="T163" s="348"/>
      <c r="U163" s="348"/>
      <c r="V163" s="348"/>
      <c r="W163" s="348"/>
      <c r="X163" s="348"/>
      <c r="Y163" s="348"/>
      <c r="Z163" s="348"/>
      <c r="AA163" s="348"/>
      <c r="AB163" s="348"/>
      <c r="AC163" s="348"/>
      <c r="AD163" s="348"/>
      <c r="AE163" s="348"/>
      <c r="AF163" s="348"/>
      <c r="AG163" s="348"/>
      <c r="AH163" s="348"/>
      <c r="AI163" s="348"/>
      <c r="AJ163" s="348"/>
      <c r="AK163" s="348"/>
      <c r="AL163" s="348"/>
      <c r="AM163" s="348"/>
      <c r="AN163" s="348"/>
      <c r="AO163" s="348"/>
      <c r="AP163" s="348"/>
      <c r="AQ163" s="348"/>
      <c r="AR163" s="348"/>
      <c r="AS163" s="348"/>
      <c r="AT163" s="348"/>
      <c r="AU163" s="348"/>
      <c r="AV163" s="348"/>
      <c r="AW163" s="348"/>
      <c r="AX163" s="348"/>
      <c r="AY163" s="348"/>
      <c r="AZ163" s="348"/>
      <c r="BA163" s="348"/>
      <c r="BB163" s="348"/>
      <c r="BC163" s="348"/>
      <c r="BD163" s="348"/>
      <c r="BE163" s="348"/>
      <c r="BF163" s="348"/>
      <c r="BG163" s="348"/>
      <c r="BH163" s="348"/>
      <c r="BI163" s="348"/>
      <c r="BJ163" s="348"/>
      <c r="BK163" s="348"/>
      <c r="BL163" s="348"/>
      <c r="BM163" s="482"/>
      <c r="BN163" s="348"/>
      <c r="BO163" s="348"/>
      <c r="BP163" s="348"/>
      <c r="BQ163" s="348"/>
      <c r="BR163" s="348"/>
      <c r="BS163" s="348"/>
    </row>
    <row r="164" spans="1:72" s="214" customFormat="1">
      <c r="A164" s="219" t="s">
        <v>300</v>
      </c>
      <c r="B164" s="213"/>
      <c r="E164" s="214">
        <f>E162+E152+E150+E148+E154+E156+E160+E158</f>
        <v>22115721.799999997</v>
      </c>
      <c r="F164" s="214" t="e">
        <f>F162+F152+F150+F148+#REF!+F154+#REF!</f>
        <v>#REF!</v>
      </c>
      <c r="G164" s="214">
        <f>G162+G152+G150+G148+G154+G156+G160</f>
        <v>26066481.960000001</v>
      </c>
      <c r="H164" s="214" t="e">
        <f>H162+H152+H150+H148+#REF!+H154+#REF!</f>
        <v>#REF!</v>
      </c>
      <c r="I164" s="214">
        <f>I162+I152+I150+I148+I154+I156+I160</f>
        <v>3887395.1600000011</v>
      </c>
      <c r="J164" s="214" t="e">
        <f>J162+J152+J150+J148+#REF!+J154+#REF!</f>
        <v>#REF!</v>
      </c>
      <c r="K164" s="214">
        <f>K162+K152+K150+K148+K154+K156+K160</f>
        <v>0</v>
      </c>
      <c r="L164" s="214" t="e">
        <f>L162+L152+L150+L148+#REF!+L154+#REF!</f>
        <v>#REF!</v>
      </c>
      <c r="M164" s="214">
        <f>M162+M152+M150+M148+M154+M156+M160</f>
        <v>0</v>
      </c>
      <c r="N164" s="214" t="e">
        <f>N162+N152+N150+N148+#REF!+N154+#REF!</f>
        <v>#REF!</v>
      </c>
      <c r="O164" s="214">
        <f>O162+O152+O150+O148+O154+O156+O160</f>
        <v>0</v>
      </c>
      <c r="P164" s="214" t="e">
        <f>P162+P152+P150+P148+#REF!+P154+#REF!</f>
        <v>#REF!</v>
      </c>
      <c r="Q164" s="214">
        <f>Q162+Q152+Q150+Q148+Q154+Q156+Q160</f>
        <v>0</v>
      </c>
      <c r="R164" s="214" t="e">
        <f>R162+R152+R150+R148+#REF!+R154+#REF!</f>
        <v>#REF!</v>
      </c>
      <c r="S164" s="214">
        <f>S162+S152+S150+S148+S154+S156+S160</f>
        <v>0</v>
      </c>
      <c r="T164" s="214" t="e">
        <f>T162+T152+T150+T148+#REF!+T154+#REF!</f>
        <v>#REF!</v>
      </c>
      <c r="U164" s="214">
        <f>U162+U152+U150+U148+U154+U156+U160</f>
        <v>0</v>
      </c>
      <c r="V164" s="214" t="e">
        <f>V162+V152+V150+V148+#REF!+V154+#REF!</f>
        <v>#REF!</v>
      </c>
      <c r="W164" s="214">
        <f>W162+W152+W150+W148+W154+W156+W160</f>
        <v>0</v>
      </c>
      <c r="X164" s="214" t="e">
        <f>X162+X152+X150+X148+#REF!+X154+#REF!</f>
        <v>#REF!</v>
      </c>
      <c r="Y164" s="214">
        <f>Y162+Y152+Y150+Y148+Y154+Y156+Y160</f>
        <v>0</v>
      </c>
      <c r="Z164" s="214" t="e">
        <f>Z162+Z152+Z150+Z148+#REF!+Z154+#REF!</f>
        <v>#REF!</v>
      </c>
      <c r="AA164" s="214">
        <f>AA162+AA152+AA150+AA148+AA154+AA156+AA160</f>
        <v>0</v>
      </c>
      <c r="AB164" s="214" t="e">
        <f>AB162+AB152+AB150+AB148+#REF!+AB154+#REF!</f>
        <v>#REF!</v>
      </c>
      <c r="AC164" s="214">
        <f>AC162+AC152+AC150+AC148+AC154+AC156+AC160</f>
        <v>0</v>
      </c>
      <c r="AD164" s="214" t="e">
        <f>AD162+AD152+AD150+AD148+#REF!+AD154+#REF!</f>
        <v>#REF!</v>
      </c>
      <c r="AE164" s="214">
        <f>AE162+AE152+AE150+AE148+AE154+AE156+AE160</f>
        <v>0</v>
      </c>
      <c r="AF164" s="214" t="e">
        <f>AF162+AF152+AF150+AF148+#REF!+AF154+#REF!</f>
        <v>#REF!</v>
      </c>
      <c r="AG164" s="214">
        <f>AG162+AG152+AG150+AG148+AG154+AG156+AG160</f>
        <v>586754</v>
      </c>
      <c r="AH164" s="214" t="e">
        <f>AH162+AH152+AH150+AH148+#REF!+AH154+#REF!</f>
        <v>#REF!</v>
      </c>
      <c r="AI164" s="214">
        <f>AI162+AI152+AI150+AI148+AI154+AI156+AI160</f>
        <v>2501997</v>
      </c>
      <c r="AJ164" s="214" t="e">
        <f>AJ162+AJ152+AJ150+AJ148+#REF!+AJ154+#REF!</f>
        <v>#REF!</v>
      </c>
      <c r="AK164" s="214">
        <f>AK162+AK152+AK150+AK148+AK154+AK156+AK160</f>
        <v>3088751</v>
      </c>
      <c r="AL164" s="214" t="e">
        <f>AL162+AL152+AL150+AL148+#REF!+AL154+#REF!</f>
        <v>#REF!</v>
      </c>
      <c r="AM164" s="214">
        <f>AM162+AM152+AM150+AM148+AM154+AM156+AM160</f>
        <v>0</v>
      </c>
      <c r="AN164" s="214" t="e">
        <f>AN162+AN152+AN150+AN148+#REF!+AN154+#REF!</f>
        <v>#REF!</v>
      </c>
      <c r="AO164" s="214">
        <f>AO162+AO152+AO150+AO148+AO154+AO156+AO160</f>
        <v>5309025</v>
      </c>
      <c r="AP164" s="214" t="e">
        <f>AP162+AP152+AP150+AP148+#REF!+AP154+#REF!</f>
        <v>#REF!</v>
      </c>
      <c r="AQ164" s="214">
        <f>AQ162+AQ152+AQ150+AQ148+AQ154+AQ156+AQ160</f>
        <v>0</v>
      </c>
      <c r="AR164" s="214" t="e">
        <f>AR162+AR152+AR150+AR148+#REF!+AR154+#REF!</f>
        <v>#REF!</v>
      </c>
      <c r="AS164" s="214">
        <f>AS162+AS152+AS150+AS148+AS154+AS156+AS160</f>
        <v>-0.2900000000372529</v>
      </c>
      <c r="AT164" s="214" t="e">
        <f>AT162+AT152+AT150+AT148+#REF!+AT154+#REF!</f>
        <v>#REF!</v>
      </c>
      <c r="AU164" s="214">
        <f>AU162+AU152+AU150+AU148+AU154+AU156+AU160</f>
        <v>3927276</v>
      </c>
      <c r="AW164" s="214">
        <f>AW162+AW152+AW150+AW148+AW154+AW156+AW160</f>
        <v>1882164.9999999998</v>
      </c>
      <c r="AY164" s="463">
        <f>AY162+AY152+AY150+AY148+AY154+AY156+AY160</f>
        <v>4173399</v>
      </c>
      <c r="BA164" s="463">
        <f>BA162+BA152+BA150+BA148+BA154+BA156+BA160</f>
        <v>0</v>
      </c>
      <c r="BC164" s="463">
        <f>BC162+BC152+BC150+BC148+BC154+BC156+BC160</f>
        <v>0</v>
      </c>
      <c r="BD164" s="463"/>
      <c r="BE164" s="214">
        <f>BE162+BE152+BE150+BE148+BE154+BE156+BE158</f>
        <v>6009485</v>
      </c>
      <c r="BG164" s="214">
        <f>BG162+BG152+BG150+BG148+BG154+BG156+BG160</f>
        <v>777441</v>
      </c>
      <c r="BI164" s="214">
        <f>BI162+BI152+BI150+BI148+BI154+BI156+BI160</f>
        <v>0</v>
      </c>
      <c r="BK164" s="214">
        <f>BK162+BK152+BK150+BK148+BK154+BK156+BK160</f>
        <v>0</v>
      </c>
      <c r="BM164" s="481">
        <f>BM162+BM152+BM150+BM148+BM154+BM156+BM160</f>
        <v>25167541.710000005</v>
      </c>
      <c r="BN164" s="214" t="e">
        <f>BN162+BN152+BN150+BN148+#REF!+BN154+#REF!</f>
        <v>#REF!</v>
      </c>
      <c r="BO164" s="214">
        <f>BO162+BO152+BO150+BO148+BO154+BO156+BO160+BO158</f>
        <v>898941.33000000019</v>
      </c>
      <c r="BP164" s="214" t="e">
        <f>BP162+BP152+BP150+BP148+#REF!+BP154+#REF!</f>
        <v>#REF!</v>
      </c>
      <c r="BQ164" s="214">
        <f>BQ162+BQ152+BQ150+BQ148+BQ154+BQ156+BQ160+BQ158</f>
        <v>26066483.040000003</v>
      </c>
      <c r="BR164" s="214" t="e">
        <f>BR162+BR152+BR150+BR148+#REF!+BR154+#REF!</f>
        <v>#REF!</v>
      </c>
      <c r="BS164" s="214">
        <f>BS162+BS152+BS150+BS148+BS154+BS156+BS160+BS158</f>
        <v>-3950761.2400000007</v>
      </c>
      <c r="BT164" s="214" t="e">
        <f>BT162+BT152+BT150+BT148+#REF!+BT154+#REF!</f>
        <v>#REF!</v>
      </c>
    </row>
    <row r="165" spans="1:72">
      <c r="A165" s="197"/>
      <c r="B165" s="212"/>
      <c r="C165" s="187"/>
      <c r="D165" s="187"/>
      <c r="G165" s="348"/>
      <c r="K165" s="199"/>
      <c r="L165" s="206"/>
      <c r="M165" s="199"/>
      <c r="O165" s="199"/>
      <c r="Q165" s="199"/>
      <c r="S165" s="199"/>
      <c r="U165" s="199"/>
      <c r="V165" s="206"/>
      <c r="W165" s="199"/>
      <c r="X165" s="206"/>
      <c r="Y165" s="199"/>
      <c r="Z165" s="206"/>
      <c r="AA165" s="199"/>
      <c r="AB165" s="206"/>
      <c r="AC165" s="199"/>
      <c r="AD165" s="206"/>
      <c r="AE165" s="199"/>
      <c r="AF165" s="206"/>
      <c r="AM165" s="206"/>
      <c r="BS165" s="348"/>
    </row>
    <row r="166" spans="1:72" s="229" customFormat="1">
      <c r="A166" s="228"/>
      <c r="B166" s="228" t="s">
        <v>258</v>
      </c>
      <c r="E166" s="229">
        <f t="shared" ref="E166:AE166" si="48">+E164+E46+E36</f>
        <v>104098333.63</v>
      </c>
      <c r="F166" s="236" t="e">
        <f t="shared" si="48"/>
        <v>#REF!</v>
      </c>
      <c r="G166" s="229">
        <f t="shared" si="48"/>
        <v>114418957.59</v>
      </c>
      <c r="H166" s="236" t="e">
        <f t="shared" si="48"/>
        <v>#REF!</v>
      </c>
      <c r="I166" s="229">
        <f t="shared" si="48"/>
        <v>10257258.960000001</v>
      </c>
      <c r="J166" s="236" t="e">
        <f t="shared" si="48"/>
        <v>#REF!</v>
      </c>
      <c r="K166" s="229">
        <f t="shared" si="48"/>
        <v>21150000</v>
      </c>
      <c r="L166" s="236" t="e">
        <f t="shared" si="48"/>
        <v>#REF!</v>
      </c>
      <c r="M166" s="229">
        <f t="shared" si="48"/>
        <v>4263906.4800000004</v>
      </c>
      <c r="N166" s="236" t="e">
        <f t="shared" si="48"/>
        <v>#REF!</v>
      </c>
      <c r="O166" s="229">
        <f t="shared" si="48"/>
        <v>3055146.4</v>
      </c>
      <c r="P166" s="236" t="e">
        <f t="shared" si="48"/>
        <v>#REF!</v>
      </c>
      <c r="Q166" s="229">
        <f t="shared" si="48"/>
        <v>1650000</v>
      </c>
      <c r="R166" s="236" t="e">
        <f t="shared" si="48"/>
        <v>#REF!</v>
      </c>
      <c r="S166" s="229">
        <f t="shared" si="48"/>
        <v>2814117</v>
      </c>
      <c r="T166" s="236" t="e">
        <f t="shared" si="48"/>
        <v>#REF!</v>
      </c>
      <c r="U166" s="229">
        <f t="shared" si="48"/>
        <v>4389866.41</v>
      </c>
      <c r="V166" s="236" t="e">
        <f t="shared" si="48"/>
        <v>#REF!</v>
      </c>
      <c r="W166" s="229">
        <f t="shared" si="48"/>
        <v>2662213.1399999997</v>
      </c>
      <c r="X166" s="236" t="e">
        <f t="shared" si="48"/>
        <v>#REF!</v>
      </c>
      <c r="Y166" s="229">
        <f t="shared" si="48"/>
        <v>167441.37000000011</v>
      </c>
      <c r="Z166" s="236" t="e">
        <f t="shared" si="48"/>
        <v>#REF!</v>
      </c>
      <c r="AA166" s="229">
        <f t="shared" si="48"/>
        <v>3251216.99</v>
      </c>
      <c r="AB166" s="236" t="e">
        <f t="shared" si="48"/>
        <v>#REF!</v>
      </c>
      <c r="AC166" s="229">
        <f t="shared" si="48"/>
        <v>3706870.16</v>
      </c>
      <c r="AD166" s="236" t="e">
        <f t="shared" si="48"/>
        <v>#REF!</v>
      </c>
      <c r="AE166" s="229">
        <f t="shared" si="48"/>
        <v>5927496.9900000002</v>
      </c>
      <c r="AF166" s="236"/>
      <c r="AG166" s="229">
        <f>+AG164+AG46+AG36</f>
        <v>6264886</v>
      </c>
      <c r="AH166" s="236" t="e">
        <f>+AH164+AH46+AH36</f>
        <v>#REF!</v>
      </c>
      <c r="AI166" s="229">
        <f>+AI164+AI46+AI36</f>
        <v>6419680.7300000004</v>
      </c>
      <c r="AJ166" s="236"/>
      <c r="AK166" s="229">
        <f>+AK164+AK46+AK36</f>
        <v>65722841.670000002</v>
      </c>
      <c r="AL166" s="236" t="e">
        <f>+AL164+AL46+AL36</f>
        <v>#REF!</v>
      </c>
      <c r="AM166" s="236">
        <f>+AM164+AM46+AM36</f>
        <v>0</v>
      </c>
      <c r="AN166" s="236" t="e">
        <f>+AN164+AN46+AN36</f>
        <v>#REF!</v>
      </c>
      <c r="AO166" s="229">
        <f>+AO164+AO46+AO36</f>
        <v>9100937.0899999999</v>
      </c>
      <c r="AP166" s="236"/>
      <c r="AQ166" s="236">
        <f>+AQ164+AQ46+AQ36</f>
        <v>3296835.1199999996</v>
      </c>
      <c r="AR166" s="236"/>
      <c r="AS166" s="236">
        <f>+AS164+AS46+AS36</f>
        <v>8907308.0200000014</v>
      </c>
      <c r="AT166" s="236"/>
      <c r="AU166" s="236">
        <f>+AU164+AU46+AU36</f>
        <v>5580688.1600000001</v>
      </c>
      <c r="AV166" s="236"/>
      <c r="AW166" s="236">
        <f>+AW164+AW46+AW36</f>
        <v>3716051.11</v>
      </c>
      <c r="AX166" s="236"/>
      <c r="AY166" s="236">
        <f>+AY164+AY46+AY36</f>
        <v>4469888.7</v>
      </c>
      <c r="AZ166" s="236"/>
      <c r="BA166" s="236">
        <f>+BA164+BA46+BA36</f>
        <v>4551557.76</v>
      </c>
      <c r="BB166" s="236"/>
      <c r="BC166" s="236">
        <f>+BC164+BC46+BC36</f>
        <v>3892184</v>
      </c>
      <c r="BD166" s="236"/>
      <c r="BE166" s="236">
        <f>+BE164+BE46+BE36</f>
        <v>6578122</v>
      </c>
      <c r="BF166" s="236"/>
      <c r="BG166" s="236">
        <f>+BG164+BG46+BG36</f>
        <v>1362831</v>
      </c>
      <c r="BH166" s="236"/>
      <c r="BI166" s="236">
        <f>+BI164+BI46+BI36</f>
        <v>1246306</v>
      </c>
      <c r="BJ166" s="236"/>
      <c r="BK166" s="236">
        <f>+BK164+BK46+BK36</f>
        <v>51404</v>
      </c>
      <c r="BL166" s="236"/>
      <c r="BM166" s="485">
        <f>+BM164+BM46+BM36</f>
        <v>118476954.63000001</v>
      </c>
      <c r="BN166" s="236"/>
      <c r="BO166" s="229">
        <f>+BO164+BO46+BO36</f>
        <v>-3958283.0499999993</v>
      </c>
      <c r="BP166" s="236" t="e">
        <f>+BP164+BP46+BP36</f>
        <v>#REF!</v>
      </c>
      <c r="BQ166" s="229">
        <f>+BQ164+BQ46+BQ36</f>
        <v>114518671.58000001</v>
      </c>
      <c r="BR166" s="236" t="e">
        <f>+BR164+BR46+BR36</f>
        <v>#REF!</v>
      </c>
      <c r="BS166" s="229">
        <f>BS164+BS46+BS36</f>
        <v>-10420337.950000007</v>
      </c>
      <c r="BT166" s="236" t="e">
        <f>+BT164+BT46+BT36</f>
        <v>#REF!</v>
      </c>
    </row>
    <row r="167" spans="1:72" s="222" customFormat="1">
      <c r="A167" s="212"/>
      <c r="B167" s="212"/>
      <c r="F167" s="223"/>
      <c r="H167" s="223"/>
      <c r="J167" s="223"/>
      <c r="L167" s="223"/>
      <c r="N167" s="223"/>
      <c r="P167" s="223"/>
      <c r="R167" s="223"/>
      <c r="T167" s="223"/>
      <c r="V167" s="223"/>
      <c r="X167" s="223"/>
      <c r="Z167" s="223"/>
      <c r="AB167" s="223"/>
      <c r="AD167" s="223"/>
      <c r="AF167" s="223"/>
      <c r="AH167" s="223"/>
      <c r="AJ167" s="223"/>
      <c r="AL167" s="223"/>
      <c r="AM167" s="223"/>
      <c r="AN167" s="223"/>
      <c r="AP167" s="223"/>
      <c r="AQ167" s="223"/>
      <c r="AR167" s="223"/>
      <c r="AS167" s="223"/>
      <c r="AT167" s="223"/>
      <c r="AU167" s="223"/>
      <c r="AV167" s="223"/>
      <c r="AW167" s="223"/>
      <c r="AX167" s="223"/>
      <c r="AY167" s="223"/>
      <c r="AZ167" s="223"/>
      <c r="BA167" s="223"/>
      <c r="BB167" s="223"/>
      <c r="BC167" s="223"/>
      <c r="BD167" s="223"/>
      <c r="BE167" s="223"/>
      <c r="BF167" s="223"/>
      <c r="BG167" s="223"/>
      <c r="BH167" s="223"/>
      <c r="BI167" s="223"/>
      <c r="BJ167" s="223"/>
      <c r="BK167" s="223"/>
      <c r="BL167" s="223"/>
      <c r="BM167" s="486"/>
      <c r="BN167" s="223"/>
      <c r="BP167" s="223"/>
      <c r="BR167" s="223"/>
      <c r="BT167" s="223"/>
    </row>
    <row r="168" spans="1:72" s="221" customFormat="1">
      <c r="A168" s="220" t="s">
        <v>860</v>
      </c>
      <c r="B168" s="212"/>
      <c r="E168" s="360">
        <v>0</v>
      </c>
      <c r="F168" s="225"/>
      <c r="G168" s="348">
        <v>-230000</v>
      </c>
      <c r="H168" s="225"/>
      <c r="I168" s="348">
        <f>G168-E168</f>
        <v>-230000</v>
      </c>
      <c r="J168" s="348"/>
      <c r="K168" s="348">
        <v>0</v>
      </c>
      <c r="L168" s="348">
        <v>0</v>
      </c>
      <c r="M168" s="348">
        <v>0</v>
      </c>
      <c r="N168" s="348">
        <v>0</v>
      </c>
      <c r="O168" s="348">
        <v>0</v>
      </c>
      <c r="P168" s="348">
        <v>0</v>
      </c>
      <c r="Q168" s="348">
        <v>0</v>
      </c>
      <c r="R168" s="348">
        <v>0</v>
      </c>
      <c r="S168" s="348">
        <v>0</v>
      </c>
      <c r="T168" s="348">
        <v>0</v>
      </c>
      <c r="U168" s="348">
        <v>0</v>
      </c>
      <c r="V168" s="348">
        <v>0</v>
      </c>
      <c r="W168" s="348">
        <v>0</v>
      </c>
      <c r="X168" s="348">
        <v>0</v>
      </c>
      <c r="Y168" s="348">
        <v>0</v>
      </c>
      <c r="Z168" s="348">
        <v>0</v>
      </c>
      <c r="AA168" s="348">
        <v>0</v>
      </c>
      <c r="AB168" s="348">
        <v>0</v>
      </c>
      <c r="AC168" s="348">
        <v>0</v>
      </c>
      <c r="AD168" s="348">
        <v>0</v>
      </c>
      <c r="AE168" s="348">
        <v>0</v>
      </c>
      <c r="AF168" s="348"/>
      <c r="AG168" s="348">
        <v>0</v>
      </c>
      <c r="AH168" s="348"/>
      <c r="AI168" s="348">
        <v>0</v>
      </c>
      <c r="AJ168" s="348"/>
      <c r="AK168" s="348">
        <f>SUM(K168:AJ168)</f>
        <v>0</v>
      </c>
      <c r="AL168" s="348"/>
      <c r="AM168" s="348"/>
      <c r="AN168" s="348"/>
      <c r="AO168" s="348">
        <v>0</v>
      </c>
      <c r="AP168" s="348"/>
      <c r="AQ168" s="348">
        <v>0</v>
      </c>
      <c r="AR168" s="348"/>
      <c r="AS168" s="348">
        <v>0</v>
      </c>
      <c r="AT168" s="348"/>
      <c r="AU168" s="348">
        <v>0</v>
      </c>
      <c r="AV168" s="348"/>
      <c r="AW168" s="348">
        <v>0</v>
      </c>
      <c r="AX168" s="348"/>
      <c r="AY168" s="348">
        <v>0</v>
      </c>
      <c r="AZ168" s="348"/>
      <c r="BA168" s="348">
        <v>0</v>
      </c>
      <c r="BB168" s="348"/>
      <c r="BC168" s="348">
        <v>0</v>
      </c>
      <c r="BD168" s="348"/>
      <c r="BE168" s="348">
        <v>0</v>
      </c>
      <c r="BF168" s="348"/>
      <c r="BG168" s="348">
        <v>-230000</v>
      </c>
      <c r="BH168" s="348"/>
      <c r="BI168" s="348">
        <v>0</v>
      </c>
      <c r="BJ168" s="348"/>
      <c r="BK168" s="348">
        <v>0</v>
      </c>
      <c r="BL168" s="348"/>
      <c r="BM168" s="440">
        <f>SUM(AK168:BL168)</f>
        <v>-230000</v>
      </c>
      <c r="BN168" s="348"/>
      <c r="BO168" s="221">
        <f>G168-BM168</f>
        <v>0</v>
      </c>
      <c r="BP168" s="348"/>
      <c r="BQ168" s="221">
        <f>SUM(BM168:BO168)</f>
        <v>-230000</v>
      </c>
      <c r="BR168" s="348"/>
      <c r="BS168" s="348">
        <f>E168-BQ168</f>
        <v>230000</v>
      </c>
      <c r="BT168" s="225"/>
    </row>
    <row r="169" spans="1:72" s="222" customFormat="1">
      <c r="A169" s="212"/>
      <c r="B169" s="212"/>
      <c r="F169" s="223"/>
      <c r="H169" s="223"/>
      <c r="J169" s="223"/>
      <c r="L169" s="223"/>
      <c r="N169" s="223"/>
      <c r="P169" s="223"/>
      <c r="R169" s="223"/>
      <c r="T169" s="223"/>
      <c r="V169" s="223"/>
      <c r="X169" s="223"/>
      <c r="Z169" s="223"/>
      <c r="AB169" s="223"/>
      <c r="AD169" s="223"/>
      <c r="AF169" s="223"/>
      <c r="AH169" s="223"/>
      <c r="AJ169" s="223"/>
      <c r="AL169" s="223"/>
      <c r="AM169" s="223"/>
      <c r="AN169" s="223"/>
      <c r="AP169" s="223"/>
      <c r="AQ169" s="223"/>
      <c r="AR169" s="223"/>
      <c r="AS169" s="223"/>
      <c r="AT169" s="223"/>
      <c r="AU169" s="223"/>
      <c r="AV169" s="223"/>
      <c r="AW169" s="223"/>
      <c r="AX169" s="223"/>
      <c r="AY169" s="223"/>
      <c r="AZ169" s="223"/>
      <c r="BA169" s="223"/>
      <c r="BB169" s="223"/>
      <c r="BC169" s="223"/>
      <c r="BD169" s="223"/>
      <c r="BE169" s="223"/>
      <c r="BF169" s="223"/>
      <c r="BG169" s="223"/>
      <c r="BH169" s="223"/>
      <c r="BI169" s="223"/>
      <c r="BJ169" s="223"/>
      <c r="BK169" s="223"/>
      <c r="BL169" s="223"/>
      <c r="BM169" s="482"/>
      <c r="BN169" s="223"/>
      <c r="BP169" s="223"/>
      <c r="BR169" s="223"/>
      <c r="BT169" s="223"/>
    </row>
    <row r="170" spans="1:72" s="221" customFormat="1">
      <c r="A170" s="220" t="s">
        <v>1417</v>
      </c>
      <c r="E170" s="222">
        <v>0</v>
      </c>
      <c r="F170" s="225"/>
      <c r="G170" s="222">
        <f>-(5479320+642592)-26299.06</f>
        <v>-6148211.0599999996</v>
      </c>
      <c r="H170" s="225"/>
      <c r="I170" s="221">
        <f>G170-E170</f>
        <v>-6148211.0599999996</v>
      </c>
      <c r="J170" s="225"/>
      <c r="K170" s="221">
        <v>0</v>
      </c>
      <c r="L170" s="225"/>
      <c r="M170" s="221">
        <v>0</v>
      </c>
      <c r="N170" s="225"/>
      <c r="O170" s="221">
        <v>0</v>
      </c>
      <c r="P170" s="225"/>
      <c r="Q170" s="221">
        <v>0</v>
      </c>
      <c r="R170" s="225"/>
      <c r="S170" s="221">
        <v>0</v>
      </c>
      <c r="T170" s="223"/>
      <c r="U170" s="221">
        <v>0</v>
      </c>
      <c r="V170" s="225"/>
      <c r="W170" s="221">
        <v>0</v>
      </c>
      <c r="X170" s="225"/>
      <c r="Y170" s="221">
        <v>0</v>
      </c>
      <c r="Z170" s="225"/>
      <c r="AA170" s="221">
        <v>0</v>
      </c>
      <c r="AB170" s="225"/>
      <c r="AC170" s="221">
        <v>0</v>
      </c>
      <c r="AD170" s="225"/>
      <c r="AE170" s="221">
        <v>0</v>
      </c>
      <c r="AF170" s="225"/>
      <c r="AG170" s="221">
        <v>0</v>
      </c>
      <c r="AH170" s="225"/>
      <c r="AI170" s="221">
        <v>0</v>
      </c>
      <c r="AJ170" s="225"/>
      <c r="AK170" s="221">
        <f>SUM(K170:AJ170)</f>
        <v>0</v>
      </c>
      <c r="AL170" s="225"/>
      <c r="AM170" s="225">
        <v>0</v>
      </c>
      <c r="AN170" s="225"/>
      <c r="AO170" s="221">
        <v>0</v>
      </c>
      <c r="AP170" s="225"/>
      <c r="AQ170" s="225">
        <v>0</v>
      </c>
      <c r="AR170" s="225"/>
      <c r="AS170" s="225">
        <v>0</v>
      </c>
      <c r="AT170" s="225"/>
      <c r="AU170" s="225">
        <v>-5479320</v>
      </c>
      <c r="AV170" s="225"/>
      <c r="AW170" s="225">
        <v>0</v>
      </c>
      <c r="AX170" s="225"/>
      <c r="AY170" s="225">
        <v>0</v>
      </c>
      <c r="AZ170" s="225"/>
      <c r="BA170" s="225">
        <v>0</v>
      </c>
      <c r="BB170" s="225"/>
      <c r="BC170" s="225">
        <v>-470694</v>
      </c>
      <c r="BD170" s="225"/>
      <c r="BE170" s="225">
        <v>0</v>
      </c>
      <c r="BF170" s="225"/>
      <c r="BG170" s="225">
        <f>-218197+20000</f>
        <v>-198197</v>
      </c>
      <c r="BH170" s="225"/>
      <c r="BI170" s="225">
        <v>0</v>
      </c>
      <c r="BJ170" s="225"/>
      <c r="BK170" s="225">
        <v>0</v>
      </c>
      <c r="BL170" s="225"/>
      <c r="BM170" s="440">
        <f>SUM(AK170:BL170)</f>
        <v>-6148211</v>
      </c>
      <c r="BN170" s="225"/>
      <c r="BO170" s="221">
        <f>G170-BM170</f>
        <v>-5.9999999590218067E-2</v>
      </c>
      <c r="BP170" s="225"/>
      <c r="BQ170" s="221">
        <f>SUM(BM170:BO170)</f>
        <v>-6148211.0599999996</v>
      </c>
      <c r="BR170" s="225"/>
      <c r="BS170" s="222">
        <f>-BQ170+E170</f>
        <v>6148211.0599999996</v>
      </c>
      <c r="BT170" s="225"/>
    </row>
    <row r="171" spans="1:72">
      <c r="A171" s="212"/>
      <c r="B171" s="212"/>
      <c r="C171" s="187"/>
      <c r="D171" s="187"/>
      <c r="E171" s="200"/>
      <c r="F171" s="217"/>
      <c r="G171" s="200"/>
      <c r="H171" s="217"/>
      <c r="I171" s="200"/>
      <c r="J171" s="217"/>
      <c r="K171" s="200"/>
      <c r="L171" s="217"/>
      <c r="M171" s="200"/>
      <c r="N171" s="217"/>
      <c r="O171" s="200"/>
      <c r="P171" s="217"/>
      <c r="Q171" s="200"/>
      <c r="R171" s="217"/>
      <c r="S171" s="200"/>
      <c r="U171" s="200"/>
      <c r="V171" s="217"/>
      <c r="W171" s="200"/>
      <c r="X171" s="217"/>
      <c r="Y171" s="200"/>
      <c r="Z171" s="217"/>
      <c r="AA171" s="200"/>
      <c r="AB171" s="217"/>
      <c r="AC171" s="200"/>
      <c r="AD171" s="217"/>
      <c r="AE171" s="200"/>
      <c r="AF171" s="217"/>
      <c r="AG171" s="200"/>
      <c r="AH171" s="217"/>
      <c r="AI171" s="200"/>
      <c r="AK171" s="200"/>
      <c r="AM171" s="217"/>
      <c r="AO171" s="200"/>
      <c r="AP171" s="217"/>
      <c r="AQ171" s="217"/>
      <c r="AR171" s="217"/>
      <c r="AS171" s="217"/>
      <c r="AT171" s="217"/>
      <c r="AU171" s="217"/>
      <c r="AV171" s="217"/>
      <c r="AW171" s="217"/>
      <c r="AX171" s="217"/>
      <c r="AY171" s="217"/>
      <c r="AZ171" s="217"/>
      <c r="BA171" s="217"/>
      <c r="BB171" s="217"/>
      <c r="BC171" s="217"/>
      <c r="BD171" s="217"/>
      <c r="BE171" s="217"/>
      <c r="BF171" s="217"/>
      <c r="BG171" s="217"/>
      <c r="BH171" s="217"/>
      <c r="BI171" s="217"/>
      <c r="BJ171" s="217"/>
      <c r="BK171" s="217"/>
      <c r="BL171" s="217"/>
      <c r="BM171" s="482"/>
      <c r="BO171" s="200"/>
      <c r="BP171" s="217"/>
      <c r="BQ171" s="200"/>
      <c r="BR171" s="217"/>
      <c r="BS171" s="348"/>
      <c r="BT171" s="217"/>
    </row>
    <row r="172" spans="1:72" s="221" customFormat="1">
      <c r="A172" s="220" t="s">
        <v>1418</v>
      </c>
      <c r="B172" s="212"/>
      <c r="E172" s="360"/>
      <c r="F172" s="225"/>
      <c r="G172" s="360"/>
      <c r="H172" s="225"/>
      <c r="I172" s="348"/>
      <c r="J172" s="348"/>
      <c r="K172" s="348"/>
      <c r="L172" s="348"/>
      <c r="M172" s="348"/>
      <c r="N172" s="348"/>
      <c r="O172" s="348"/>
      <c r="P172" s="348"/>
      <c r="Q172" s="348"/>
      <c r="R172" s="348"/>
      <c r="S172" s="348"/>
      <c r="T172" s="348"/>
      <c r="U172" s="348"/>
      <c r="V172" s="348"/>
      <c r="W172" s="348"/>
      <c r="X172" s="348"/>
      <c r="Y172" s="348"/>
      <c r="Z172" s="348"/>
      <c r="AA172" s="348"/>
      <c r="AB172" s="348"/>
      <c r="AC172" s="348"/>
      <c r="AD172" s="348"/>
      <c r="AE172" s="348"/>
      <c r="AF172" s="348"/>
      <c r="AG172" s="348"/>
      <c r="AH172" s="348"/>
      <c r="AI172" s="348"/>
      <c r="AJ172" s="348"/>
      <c r="AK172" s="348"/>
      <c r="AL172" s="348"/>
      <c r="AM172" s="348"/>
      <c r="AN172" s="348"/>
      <c r="AO172" s="348"/>
      <c r="AP172" s="348"/>
      <c r="AQ172" s="348"/>
      <c r="AR172" s="348"/>
      <c r="AS172" s="348"/>
      <c r="AT172" s="348"/>
      <c r="AU172" s="348"/>
      <c r="AV172" s="348"/>
      <c r="AW172" s="348"/>
      <c r="AX172" s="348"/>
      <c r="AY172" s="348"/>
      <c r="AZ172" s="348"/>
      <c r="BA172" s="348"/>
      <c r="BB172" s="348"/>
      <c r="BC172" s="348"/>
      <c r="BD172" s="348"/>
      <c r="BE172" s="348"/>
      <c r="BF172" s="348"/>
      <c r="BG172" s="348"/>
      <c r="BH172" s="348"/>
      <c r="BI172" s="348"/>
      <c r="BJ172" s="348"/>
      <c r="BK172" s="348"/>
      <c r="BL172" s="348"/>
      <c r="BM172" s="482"/>
      <c r="BN172" s="348"/>
      <c r="BP172" s="348"/>
      <c r="BR172" s="348"/>
      <c r="BS172" s="348"/>
      <c r="BT172" s="225"/>
    </row>
    <row r="173" spans="1:72" s="221" customFormat="1">
      <c r="A173" s="340"/>
      <c r="B173" s="197" t="s">
        <v>1226</v>
      </c>
      <c r="E173" s="437">
        <v>0</v>
      </c>
      <c r="F173" s="225"/>
      <c r="G173" s="437">
        <v>4969697.54</v>
      </c>
      <c r="H173" s="225"/>
      <c r="I173" s="348"/>
      <c r="J173" s="348"/>
      <c r="K173" s="348"/>
      <c r="L173" s="348"/>
      <c r="M173" s="348"/>
      <c r="N173" s="348"/>
      <c r="O173" s="348"/>
      <c r="P173" s="348"/>
      <c r="Q173" s="348"/>
      <c r="R173" s="348"/>
      <c r="S173" s="348"/>
      <c r="T173" s="348"/>
      <c r="U173" s="348"/>
      <c r="V173" s="348"/>
      <c r="W173" s="348"/>
      <c r="X173" s="348"/>
      <c r="Y173" s="199">
        <f>115801+52749.2+188515.6+7535.6+107223.2+329902.3+16543+74059.7+250000+15326.6</f>
        <v>1157656.2000000002</v>
      </c>
      <c r="Z173" s="348"/>
      <c r="AA173" s="348"/>
      <c r="AB173" s="348"/>
      <c r="AC173" s="199">
        <f>-907656.2+250000</f>
        <v>-657656.19999999995</v>
      </c>
      <c r="AD173" s="436"/>
      <c r="AE173" s="199">
        <v>57410.7</v>
      </c>
      <c r="AF173" s="348"/>
      <c r="AG173" s="199">
        <v>1073726</v>
      </c>
      <c r="AH173" s="348"/>
      <c r="AI173" s="436">
        <f>166666.67+166666.67</f>
        <v>333333.34000000003</v>
      </c>
      <c r="AJ173" s="348"/>
      <c r="AK173" s="199">
        <f>SUM(K173:AJ173)</f>
        <v>1964470.0400000003</v>
      </c>
      <c r="AL173" s="348"/>
      <c r="AM173" s="348"/>
      <c r="AN173" s="348"/>
      <c r="AO173" s="348">
        <v>0</v>
      </c>
      <c r="AP173" s="348"/>
      <c r="AQ173" s="436">
        <f>172232.1+53400+156450+76106.1+228318.3+456636.6+456636.6+152212.2+36000</f>
        <v>1787991.9000000001</v>
      </c>
      <c r="AR173" s="348"/>
      <c r="AS173" s="436">
        <v>-53400</v>
      </c>
      <c r="AT173" s="348"/>
      <c r="AU173" s="436">
        <f>18000+685803.9</f>
        <v>703803.9</v>
      </c>
      <c r="AV173" s="436"/>
      <c r="AW173" s="436">
        <v>72000</v>
      </c>
      <c r="AX173" s="436"/>
      <c r="AY173" s="436">
        <f>166666.67+328165.03</f>
        <v>494831.70000000007</v>
      </c>
      <c r="AZ173" s="348"/>
      <c r="BA173" s="436">
        <v>0</v>
      </c>
      <c r="BB173" s="348"/>
      <c r="BC173" s="436">
        <v>0</v>
      </c>
      <c r="BD173" s="436"/>
      <c r="BE173" s="436">
        <v>0</v>
      </c>
      <c r="BF173" s="436"/>
      <c r="BG173" s="436">
        <v>0</v>
      </c>
      <c r="BH173" s="436"/>
      <c r="BI173" s="436">
        <v>0</v>
      </c>
      <c r="BJ173" s="436"/>
      <c r="BK173" s="436">
        <v>0</v>
      </c>
      <c r="BL173" s="348"/>
      <c r="BM173" s="478">
        <f>SUM(AK173:BL173)</f>
        <v>4969697.540000001</v>
      </c>
      <c r="BN173" s="348"/>
      <c r="BO173" s="199">
        <f>+MAX(0,G173-BM173+AM173)</f>
        <v>0</v>
      </c>
      <c r="BP173" s="348"/>
      <c r="BQ173" s="199">
        <f>SUM(BM173:BO173)</f>
        <v>4969697.540000001</v>
      </c>
      <c r="BR173" s="348"/>
      <c r="BS173" s="200">
        <f>-BQ173+E173</f>
        <v>-4969697.540000001</v>
      </c>
      <c r="BT173" s="225"/>
    </row>
    <row r="174" spans="1:72" s="221" customFormat="1">
      <c r="A174" s="212" t="s">
        <v>1501</v>
      </c>
      <c r="E174" s="222">
        <f>SUM(E173:E173)</f>
        <v>0</v>
      </c>
      <c r="F174" s="225"/>
      <c r="G174" s="222">
        <f>SUM(G173:G173)</f>
        <v>4969697.54</v>
      </c>
      <c r="H174" s="225"/>
      <c r="I174" s="221">
        <f>G174-E174</f>
        <v>4969697.54</v>
      </c>
      <c r="J174" s="225"/>
      <c r="K174" s="221">
        <v>0</v>
      </c>
      <c r="L174" s="225"/>
      <c r="M174" s="221">
        <v>0</v>
      </c>
      <c r="N174" s="225"/>
      <c r="O174" s="221">
        <v>0</v>
      </c>
      <c r="P174" s="225"/>
      <c r="Q174" s="221">
        <v>0</v>
      </c>
      <c r="R174" s="225"/>
      <c r="S174" s="221">
        <v>0</v>
      </c>
      <c r="T174" s="223"/>
      <c r="U174" s="221">
        <v>0</v>
      </c>
      <c r="V174" s="225"/>
      <c r="W174" s="221">
        <v>0</v>
      </c>
      <c r="X174" s="225"/>
      <c r="Y174" s="221">
        <f>SUM(Y173:Y173)</f>
        <v>1157656.2000000002</v>
      </c>
      <c r="Z174" s="225"/>
      <c r="AA174" s="221">
        <f>SUM(AA173:AA173)</f>
        <v>0</v>
      </c>
      <c r="AB174" s="225"/>
      <c r="AC174" s="221">
        <f>SUM(AC173:AC173)</f>
        <v>-657656.19999999995</v>
      </c>
      <c r="AD174" s="225"/>
      <c r="AE174" s="221">
        <f>SUM(AE173:AE173)</f>
        <v>57410.7</v>
      </c>
      <c r="AF174" s="225"/>
      <c r="AG174" s="221">
        <f>SUM(AG173:AG173)</f>
        <v>1073726</v>
      </c>
      <c r="AH174" s="225"/>
      <c r="AI174" s="221">
        <f>SUM(AI173:AI173)</f>
        <v>333333.34000000003</v>
      </c>
      <c r="AJ174" s="225"/>
      <c r="AK174" s="221">
        <f>SUM(AK173:AK173)</f>
        <v>1964470.0400000003</v>
      </c>
      <c r="AL174" s="225"/>
      <c r="AM174" s="225">
        <v>0</v>
      </c>
      <c r="AN174" s="225"/>
      <c r="AO174" s="221">
        <f>SUM(AO173:AO173)</f>
        <v>0</v>
      </c>
      <c r="AP174" s="225"/>
      <c r="AQ174" s="225">
        <f>SUM(AQ173:AQ173)</f>
        <v>1787991.9000000001</v>
      </c>
      <c r="AR174" s="225"/>
      <c r="AS174" s="225">
        <f>SUM(AS173:AS173)</f>
        <v>-53400</v>
      </c>
      <c r="AT174" s="225"/>
      <c r="AU174" s="225">
        <f>SUM(AU173:AU173)</f>
        <v>703803.9</v>
      </c>
      <c r="AV174" s="225"/>
      <c r="AW174" s="225">
        <f>SUM(AW173:AW173)</f>
        <v>72000</v>
      </c>
      <c r="AX174" s="225"/>
      <c r="AY174" s="225">
        <f>SUM(AY173:AY173)</f>
        <v>494831.70000000007</v>
      </c>
      <c r="AZ174" s="225"/>
      <c r="BA174" s="225">
        <f>SUM(BA173:BA173)</f>
        <v>0</v>
      </c>
      <c r="BB174" s="225"/>
      <c r="BC174" s="225">
        <f>SUM(BC173:BC173)</f>
        <v>0</v>
      </c>
      <c r="BD174" s="225"/>
      <c r="BE174" s="225">
        <f>SUM(BE173:BE173)</f>
        <v>0</v>
      </c>
      <c r="BF174" s="225"/>
      <c r="BG174" s="225">
        <f>SUM(BG173:BG173)</f>
        <v>0</v>
      </c>
      <c r="BH174" s="225"/>
      <c r="BI174" s="225">
        <f>SUM(BI173:BI173)</f>
        <v>0</v>
      </c>
      <c r="BJ174" s="225"/>
      <c r="BK174" s="225">
        <f>SUM(BK173:BK173)</f>
        <v>0</v>
      </c>
      <c r="BL174" s="225"/>
      <c r="BM174" s="486">
        <f>SUM(BM173:BM173)</f>
        <v>4969697.540000001</v>
      </c>
      <c r="BN174" s="225"/>
      <c r="BO174" s="221">
        <f>SUM(BO173:BO173)</f>
        <v>0</v>
      </c>
      <c r="BP174" s="225"/>
      <c r="BQ174" s="221">
        <f>SUM(BQ173:BQ173)</f>
        <v>4969697.540000001</v>
      </c>
      <c r="BR174" s="225"/>
      <c r="BS174" s="222">
        <f>-BQ174+E174</f>
        <v>-4969697.540000001</v>
      </c>
      <c r="BT174" s="225"/>
    </row>
    <row r="175" spans="1:72">
      <c r="A175" s="212"/>
      <c r="B175" s="212"/>
      <c r="C175" s="187"/>
      <c r="D175" s="187"/>
      <c r="E175" s="200"/>
      <c r="F175" s="217"/>
      <c r="G175" s="200"/>
      <c r="H175" s="217"/>
      <c r="I175" s="200"/>
      <c r="J175" s="217"/>
      <c r="K175" s="200"/>
      <c r="L175" s="217"/>
      <c r="M175" s="200"/>
      <c r="N175" s="217"/>
      <c r="O175" s="200"/>
      <c r="P175" s="217"/>
      <c r="Q175" s="200"/>
      <c r="R175" s="217"/>
      <c r="S175" s="200"/>
      <c r="U175" s="200"/>
      <c r="V175" s="217"/>
      <c r="W175" s="200"/>
      <c r="X175" s="217"/>
      <c r="Y175" s="200"/>
      <c r="Z175" s="217"/>
      <c r="AA175" s="200"/>
      <c r="AB175" s="217"/>
      <c r="AC175" s="200"/>
      <c r="AD175" s="217"/>
      <c r="AE175" s="200"/>
      <c r="AF175" s="217"/>
      <c r="AG175" s="200"/>
      <c r="AH175" s="217"/>
      <c r="AI175" s="200"/>
      <c r="AK175" s="200"/>
      <c r="AM175" s="217"/>
      <c r="AO175" s="200"/>
      <c r="AP175" s="217"/>
      <c r="AQ175" s="217"/>
      <c r="AR175" s="217"/>
      <c r="AS175" s="217"/>
      <c r="AT175" s="217"/>
      <c r="AU175" s="217"/>
      <c r="AV175" s="217"/>
      <c r="AW175" s="217"/>
      <c r="AX175" s="217"/>
      <c r="AY175" s="217"/>
      <c r="AZ175" s="217"/>
      <c r="BA175" s="217"/>
      <c r="BB175" s="217"/>
      <c r="BC175" s="217"/>
      <c r="BD175" s="217"/>
      <c r="BE175" s="217"/>
      <c r="BF175" s="217"/>
      <c r="BG175" s="217"/>
      <c r="BH175" s="217"/>
      <c r="BI175" s="217"/>
      <c r="BJ175" s="217"/>
      <c r="BK175" s="217"/>
      <c r="BL175" s="217"/>
      <c r="BM175" s="488"/>
      <c r="BO175" s="200"/>
      <c r="BP175" s="217"/>
      <c r="BQ175" s="200"/>
      <c r="BR175" s="217"/>
      <c r="BS175" s="348"/>
      <c r="BT175" s="217"/>
    </row>
    <row r="176" spans="1:72" s="221" customFormat="1">
      <c r="A176" s="220" t="s">
        <v>5</v>
      </c>
      <c r="B176" s="212"/>
      <c r="E176" s="348">
        <v>0</v>
      </c>
      <c r="F176" s="348"/>
      <c r="G176" s="348">
        <v>371000</v>
      </c>
      <c r="H176" s="225"/>
      <c r="I176" s="348">
        <f>G176-E176</f>
        <v>371000</v>
      </c>
      <c r="J176" s="348"/>
      <c r="K176" s="348"/>
      <c r="L176" s="348"/>
      <c r="M176" s="348"/>
      <c r="N176" s="348"/>
      <c r="O176" s="348"/>
      <c r="P176" s="348"/>
      <c r="Q176" s="348"/>
      <c r="R176" s="348"/>
      <c r="S176" s="348"/>
      <c r="T176" s="348"/>
      <c r="U176" s="348"/>
      <c r="V176" s="348"/>
      <c r="W176" s="348"/>
      <c r="X176" s="348"/>
      <c r="Y176" s="348"/>
      <c r="Z176" s="348"/>
      <c r="AA176" s="348"/>
      <c r="AB176" s="348"/>
      <c r="AC176" s="348"/>
      <c r="AD176" s="348"/>
      <c r="AE176" s="348"/>
      <c r="AF176" s="348"/>
      <c r="AG176" s="348"/>
      <c r="AH176" s="348"/>
      <c r="AI176" s="348"/>
      <c r="AJ176" s="348"/>
      <c r="AK176" s="348">
        <f>SUM(K176:AJ176)</f>
        <v>0</v>
      </c>
      <c r="AL176" s="348"/>
      <c r="AM176" s="348"/>
      <c r="AN176" s="348"/>
      <c r="AO176" s="348">
        <v>160750</v>
      </c>
      <c r="AP176" s="348"/>
      <c r="AQ176" s="348"/>
      <c r="AR176" s="348"/>
      <c r="AS176" s="348"/>
      <c r="AT176" s="348"/>
      <c r="AU176" s="348">
        <v>0</v>
      </c>
      <c r="AV176" s="348"/>
      <c r="AW176" s="348">
        <v>0</v>
      </c>
      <c r="AX176" s="348"/>
      <c r="AY176" s="348">
        <v>0</v>
      </c>
      <c r="AZ176" s="348"/>
      <c r="BA176" s="348"/>
      <c r="BB176" s="348"/>
      <c r="BC176" s="348">
        <v>0</v>
      </c>
      <c r="BD176" s="348"/>
      <c r="BE176" s="348">
        <v>0</v>
      </c>
      <c r="BF176" s="348"/>
      <c r="BG176" s="348">
        <v>0</v>
      </c>
      <c r="BH176" s="348"/>
      <c r="BI176" s="348">
        <v>0</v>
      </c>
      <c r="BJ176" s="348"/>
      <c r="BK176" s="348">
        <v>0</v>
      </c>
      <c r="BL176" s="348"/>
      <c r="BM176" s="440">
        <f t="shared" ref="BM176:BM182" si="49">SUM(AK176:BL176)</f>
        <v>160750</v>
      </c>
      <c r="BN176" s="348"/>
      <c r="BO176" s="221">
        <v>0</v>
      </c>
      <c r="BP176" s="348"/>
      <c r="BQ176" s="221">
        <f>SUM(BM176:BO176)</f>
        <v>160750</v>
      </c>
      <c r="BR176" s="348"/>
      <c r="BS176" s="360">
        <f>E176-BQ176</f>
        <v>-160750</v>
      </c>
      <c r="BT176" s="225"/>
    </row>
    <row r="177" spans="1:72" s="221" customFormat="1">
      <c r="A177" s="340"/>
      <c r="B177" s="212"/>
      <c r="E177" s="348"/>
      <c r="F177" s="348"/>
      <c r="G177" s="348"/>
      <c r="H177" s="225"/>
      <c r="I177" s="348"/>
      <c r="J177" s="348"/>
      <c r="K177" s="348"/>
      <c r="L177" s="348"/>
      <c r="M177" s="348"/>
      <c r="N177" s="348"/>
      <c r="O177" s="348"/>
      <c r="P177" s="348"/>
      <c r="Q177" s="348"/>
      <c r="R177" s="348"/>
      <c r="S177" s="348"/>
      <c r="T177" s="348"/>
      <c r="U177" s="348"/>
      <c r="V177" s="348"/>
      <c r="W177" s="348"/>
      <c r="X177" s="348"/>
      <c r="Y177" s="348"/>
      <c r="Z177" s="348"/>
      <c r="AA177" s="348"/>
      <c r="AB177" s="348"/>
      <c r="AC177" s="348"/>
      <c r="AD177" s="348"/>
      <c r="AE177" s="348"/>
      <c r="AF177" s="348"/>
      <c r="AG177" s="348"/>
      <c r="AH177" s="348"/>
      <c r="AI177" s="348"/>
      <c r="AJ177" s="348"/>
      <c r="AK177" s="348"/>
      <c r="AL177" s="348"/>
      <c r="AM177" s="348"/>
      <c r="AN177" s="348"/>
      <c r="AO177" s="348"/>
      <c r="AP177" s="348"/>
      <c r="AQ177" s="348"/>
      <c r="AR177" s="348"/>
      <c r="AS177" s="348"/>
      <c r="AT177" s="348"/>
      <c r="AU177" s="348"/>
      <c r="AV177" s="348"/>
      <c r="AW177" s="348"/>
      <c r="AX177" s="348"/>
      <c r="AY177" s="348"/>
      <c r="AZ177" s="348"/>
      <c r="BA177" s="348"/>
      <c r="BB177" s="348"/>
      <c r="BC177" s="348"/>
      <c r="BD177" s="348"/>
      <c r="BE177" s="348"/>
      <c r="BF177" s="348"/>
      <c r="BG177" s="348"/>
      <c r="BH177" s="348"/>
      <c r="BI177" s="348"/>
      <c r="BJ177" s="348"/>
      <c r="BK177" s="348"/>
      <c r="BL177" s="348"/>
      <c r="BM177" s="482"/>
      <c r="BN177" s="348"/>
      <c r="BP177" s="348"/>
      <c r="BR177" s="348"/>
      <c r="BS177" s="360"/>
      <c r="BT177" s="225"/>
    </row>
    <row r="178" spans="1:72" s="221" customFormat="1">
      <c r="A178" s="220" t="s">
        <v>1227</v>
      </c>
      <c r="B178" s="212"/>
      <c r="E178" s="348">
        <v>0</v>
      </c>
      <c r="F178" s="348"/>
      <c r="G178" s="348">
        <v>-430123</v>
      </c>
      <c r="H178" s="225"/>
      <c r="I178" s="348">
        <f>G178-E178</f>
        <v>-430123</v>
      </c>
      <c r="J178" s="348"/>
      <c r="K178" s="348"/>
      <c r="L178" s="348"/>
      <c r="M178" s="348"/>
      <c r="N178" s="348"/>
      <c r="O178" s="348"/>
      <c r="P178" s="348"/>
      <c r="Q178" s="348"/>
      <c r="R178" s="348"/>
      <c r="S178" s="348"/>
      <c r="T178" s="348"/>
      <c r="U178" s="348"/>
      <c r="V178" s="348"/>
      <c r="W178" s="348"/>
      <c r="X178" s="348"/>
      <c r="Y178" s="348"/>
      <c r="Z178" s="348"/>
      <c r="AA178" s="348"/>
      <c r="AB178" s="348"/>
      <c r="AC178" s="348"/>
      <c r="AD178" s="348"/>
      <c r="AE178" s="348"/>
      <c r="AF178" s="348"/>
      <c r="AG178" s="348">
        <v>0</v>
      </c>
      <c r="AH178" s="348"/>
      <c r="AI178" s="348">
        <v>0</v>
      </c>
      <c r="AJ178" s="348"/>
      <c r="AK178" s="348">
        <f>SUM(K178:AJ178)</f>
        <v>0</v>
      </c>
      <c r="AL178" s="348"/>
      <c r="AM178" s="348">
        <v>0</v>
      </c>
      <c r="AN178" s="348"/>
      <c r="AO178" s="348">
        <v>0</v>
      </c>
      <c r="AP178" s="348"/>
      <c r="AQ178" s="348">
        <v>-160750</v>
      </c>
      <c r="AR178" s="348"/>
      <c r="AS178" s="348">
        <v>0</v>
      </c>
      <c r="AT178" s="348"/>
      <c r="AU178" s="348">
        <v>-59123</v>
      </c>
      <c r="AV178" s="348"/>
      <c r="AW178" s="348">
        <v>0</v>
      </c>
      <c r="AX178" s="348"/>
      <c r="AY178" s="348">
        <v>0</v>
      </c>
      <c r="AZ178" s="348"/>
      <c r="BA178" s="348">
        <v>0</v>
      </c>
      <c r="BB178" s="348"/>
      <c r="BC178" s="348">
        <v>0</v>
      </c>
      <c r="BD178" s="348"/>
      <c r="BE178" s="348">
        <v>0</v>
      </c>
      <c r="BF178" s="348"/>
      <c r="BG178" s="348">
        <v>0</v>
      </c>
      <c r="BH178" s="348"/>
      <c r="BI178" s="348">
        <v>0</v>
      </c>
      <c r="BJ178" s="348"/>
      <c r="BK178" s="348">
        <v>0</v>
      </c>
      <c r="BL178" s="348"/>
      <c r="BM178" s="440">
        <f t="shared" si="49"/>
        <v>-219873</v>
      </c>
      <c r="BN178" s="348"/>
      <c r="BO178" s="221">
        <v>0</v>
      </c>
      <c r="BP178" s="348"/>
      <c r="BQ178" s="221">
        <f>SUM(BM178:BO178)</f>
        <v>-219873</v>
      </c>
      <c r="BR178" s="348"/>
      <c r="BS178" s="360">
        <f>E178-BQ178</f>
        <v>219873</v>
      </c>
      <c r="BT178" s="225"/>
    </row>
    <row r="179" spans="1:72">
      <c r="A179" s="212"/>
      <c r="B179" s="212"/>
      <c r="C179" s="187"/>
      <c r="D179" s="187"/>
      <c r="E179" s="200"/>
      <c r="F179" s="217"/>
      <c r="G179" s="200"/>
      <c r="H179" s="217"/>
      <c r="I179" s="200"/>
      <c r="J179" s="217"/>
      <c r="K179" s="200"/>
      <c r="L179" s="217"/>
      <c r="M179" s="200"/>
      <c r="N179" s="217"/>
      <c r="O179" s="200"/>
      <c r="P179" s="217"/>
      <c r="Q179" s="200"/>
      <c r="R179" s="217"/>
      <c r="S179" s="200"/>
      <c r="U179" s="200"/>
      <c r="V179" s="217"/>
      <c r="W179" s="200"/>
      <c r="X179" s="217"/>
      <c r="Y179" s="200"/>
      <c r="Z179" s="217"/>
      <c r="AA179" s="200"/>
      <c r="AB179" s="217"/>
      <c r="AC179" s="200"/>
      <c r="AD179" s="217"/>
      <c r="AE179" s="200"/>
      <c r="AF179" s="217"/>
      <c r="AG179" s="200"/>
      <c r="AH179" s="217"/>
      <c r="AI179" s="200"/>
      <c r="AK179" s="200"/>
      <c r="AM179" s="217"/>
      <c r="AO179" s="200"/>
      <c r="AP179" s="217"/>
      <c r="AQ179" s="217"/>
      <c r="AR179" s="217"/>
      <c r="AS179" s="217"/>
      <c r="AT179" s="217"/>
      <c r="AU179" s="217"/>
      <c r="AV179" s="217"/>
      <c r="AW179" s="217"/>
      <c r="AX179" s="217"/>
      <c r="AY179" s="217"/>
      <c r="AZ179" s="217"/>
      <c r="BA179" s="217"/>
      <c r="BB179" s="217"/>
      <c r="BC179" s="217"/>
      <c r="BD179" s="217"/>
      <c r="BE179" s="217"/>
      <c r="BF179" s="217"/>
      <c r="BG179" s="217"/>
      <c r="BH179" s="217"/>
      <c r="BI179" s="217"/>
      <c r="BJ179" s="217"/>
      <c r="BK179" s="217"/>
      <c r="BL179" s="217"/>
      <c r="BM179" s="482"/>
      <c r="BO179" s="200"/>
      <c r="BP179" s="217"/>
      <c r="BQ179" s="200"/>
      <c r="BR179" s="217"/>
      <c r="BS179" s="348"/>
      <c r="BT179" s="217"/>
    </row>
    <row r="180" spans="1:72" s="221" customFormat="1">
      <c r="A180" s="212" t="s">
        <v>260</v>
      </c>
      <c r="B180" s="212"/>
      <c r="E180" s="221">
        <v>1694670</v>
      </c>
      <c r="F180" s="223"/>
      <c r="G180" s="221">
        <v>1545</v>
      </c>
      <c r="H180" s="223"/>
      <c r="I180" s="221">
        <f>+G180-E180</f>
        <v>-1693125</v>
      </c>
      <c r="J180" s="223"/>
      <c r="K180" s="221">
        <v>0</v>
      </c>
      <c r="L180" s="225"/>
      <c r="M180" s="221">
        <v>0</v>
      </c>
      <c r="N180" s="225"/>
      <c r="O180" s="221">
        <v>0</v>
      </c>
      <c r="P180" s="225"/>
      <c r="Q180" s="387">
        <v>0</v>
      </c>
      <c r="R180" s="225"/>
      <c r="S180" s="223">
        <v>0</v>
      </c>
      <c r="T180" s="223"/>
      <c r="U180" s="225">
        <v>0</v>
      </c>
      <c r="V180" s="225"/>
      <c r="W180" s="225">
        <v>0</v>
      </c>
      <c r="X180" s="225"/>
      <c r="Y180" s="225">
        <v>0</v>
      </c>
      <c r="Z180" s="225"/>
      <c r="AA180" s="225"/>
      <c r="AB180" s="225"/>
      <c r="AC180" s="225">
        <v>0</v>
      </c>
      <c r="AD180" s="225"/>
      <c r="AE180" s="225">
        <v>0</v>
      </c>
      <c r="AF180" s="225"/>
      <c r="AG180" s="221">
        <v>0</v>
      </c>
      <c r="AH180" s="225"/>
      <c r="AI180" s="221">
        <v>0</v>
      </c>
      <c r="AJ180" s="225"/>
      <c r="AK180" s="221">
        <f>SUM(K180:AJ180)</f>
        <v>0</v>
      </c>
      <c r="AL180" s="225"/>
      <c r="AM180" s="225">
        <v>0</v>
      </c>
      <c r="AN180" s="225"/>
      <c r="AO180" s="221">
        <v>0</v>
      </c>
      <c r="AP180" s="225"/>
      <c r="AQ180" s="225">
        <v>0</v>
      </c>
      <c r="AR180" s="225"/>
      <c r="AS180" s="225">
        <v>0</v>
      </c>
      <c r="AT180" s="225"/>
      <c r="AU180" s="225">
        <v>0</v>
      </c>
      <c r="AV180" s="225"/>
      <c r="AW180" s="225">
        <v>0</v>
      </c>
      <c r="AX180" s="225"/>
      <c r="AY180" s="225">
        <v>1545.19</v>
      </c>
      <c r="AZ180" s="225"/>
      <c r="BA180" s="225">
        <v>0</v>
      </c>
      <c r="BB180" s="225"/>
      <c r="BC180" s="225">
        <v>0</v>
      </c>
      <c r="BD180" s="225"/>
      <c r="BE180" s="225">
        <v>0</v>
      </c>
      <c r="BF180" s="225"/>
      <c r="BG180" s="225">
        <v>0</v>
      </c>
      <c r="BH180" s="225"/>
      <c r="BI180" s="225">
        <v>0</v>
      </c>
      <c r="BJ180" s="225"/>
      <c r="BK180" s="225">
        <v>0</v>
      </c>
      <c r="BL180" s="225"/>
      <c r="BM180" s="440">
        <f t="shared" si="49"/>
        <v>1545.19</v>
      </c>
      <c r="BN180" s="225"/>
      <c r="BO180" s="221">
        <f>G180-BM180</f>
        <v>-0.19000000000005457</v>
      </c>
      <c r="BP180" s="223"/>
      <c r="BQ180" s="221">
        <f>SUM(BM180:BO180)</f>
        <v>1545</v>
      </c>
      <c r="BR180" s="223"/>
      <c r="BS180" s="360">
        <f>+E180-BQ180</f>
        <v>1693125</v>
      </c>
      <c r="BT180" s="225"/>
    </row>
    <row r="181" spans="1:72" s="221" customFormat="1">
      <c r="A181" s="212"/>
      <c r="B181" s="212"/>
      <c r="F181" s="223"/>
      <c r="H181" s="223"/>
      <c r="J181" s="223"/>
      <c r="L181" s="225"/>
      <c r="N181" s="225"/>
      <c r="P181" s="225"/>
      <c r="Q181" s="387"/>
      <c r="R181" s="225"/>
      <c r="S181" s="223"/>
      <c r="T181" s="223"/>
      <c r="U181" s="225"/>
      <c r="V181" s="225"/>
      <c r="W181" s="225"/>
      <c r="X181" s="225"/>
      <c r="Y181" s="225"/>
      <c r="Z181" s="225"/>
      <c r="AA181" s="225"/>
      <c r="AB181" s="225"/>
      <c r="AC181" s="225"/>
      <c r="AD181" s="225"/>
      <c r="AE181" s="225"/>
      <c r="AF181" s="225"/>
      <c r="AH181" s="225"/>
      <c r="AJ181" s="225"/>
      <c r="AL181" s="225"/>
      <c r="AM181" s="225"/>
      <c r="AN181" s="225"/>
      <c r="AP181" s="225"/>
      <c r="AQ181" s="225"/>
      <c r="AR181" s="225"/>
      <c r="AS181" s="225"/>
      <c r="AT181" s="225"/>
      <c r="AU181" s="225"/>
      <c r="AV181" s="225"/>
      <c r="AW181" s="225"/>
      <c r="AX181" s="225"/>
      <c r="AY181" s="225"/>
      <c r="AZ181" s="225"/>
      <c r="BA181" s="225"/>
      <c r="BB181" s="225"/>
      <c r="BC181" s="225"/>
      <c r="BD181" s="225"/>
      <c r="BE181" s="225"/>
      <c r="BF181" s="225"/>
      <c r="BG181" s="225"/>
      <c r="BH181" s="225"/>
      <c r="BI181" s="225"/>
      <c r="BJ181" s="225"/>
      <c r="BK181" s="225"/>
      <c r="BL181" s="225"/>
      <c r="BM181" s="482"/>
      <c r="BN181" s="225"/>
      <c r="BO181" s="200"/>
      <c r="BP181" s="223"/>
      <c r="BQ181" s="200"/>
      <c r="BR181" s="223"/>
      <c r="BS181" s="360"/>
      <c r="BT181" s="225"/>
    </row>
    <row r="182" spans="1:72" s="221" customFormat="1">
      <c r="A182" s="212" t="s">
        <v>743</v>
      </c>
      <c r="B182" s="212"/>
      <c r="E182" s="221">
        <v>0</v>
      </c>
      <c r="F182" s="223"/>
      <c r="G182" s="221">
        <v>-1545</v>
      </c>
      <c r="H182" s="223"/>
      <c r="I182" s="221">
        <f>+G182-E182</f>
        <v>-1545</v>
      </c>
      <c r="J182" s="223"/>
      <c r="L182" s="225"/>
      <c r="N182" s="225"/>
      <c r="P182" s="225"/>
      <c r="Q182" s="387"/>
      <c r="R182" s="225"/>
      <c r="S182" s="223"/>
      <c r="T182" s="223"/>
      <c r="U182" s="225"/>
      <c r="V182" s="225"/>
      <c r="W182" s="225"/>
      <c r="X182" s="225"/>
      <c r="Y182" s="225"/>
      <c r="Z182" s="225"/>
      <c r="AA182" s="225"/>
      <c r="AB182" s="225"/>
      <c r="AC182" s="225"/>
      <c r="AD182" s="225"/>
      <c r="AE182" s="225"/>
      <c r="AF182" s="225"/>
      <c r="AH182" s="225"/>
      <c r="AJ182" s="225"/>
      <c r="AK182" s="221">
        <f>SUM(K182:AJ182)</f>
        <v>0</v>
      </c>
      <c r="AL182" s="225"/>
      <c r="AM182" s="225">
        <v>0</v>
      </c>
      <c r="AN182" s="225"/>
      <c r="AO182" s="221">
        <v>0</v>
      </c>
      <c r="AP182" s="225"/>
      <c r="AQ182" s="225">
        <v>0</v>
      </c>
      <c r="AR182" s="225"/>
      <c r="AS182" s="225">
        <v>0</v>
      </c>
      <c r="AT182" s="225"/>
      <c r="AU182" s="225">
        <v>0</v>
      </c>
      <c r="AV182" s="225"/>
      <c r="AW182" s="225">
        <v>0</v>
      </c>
      <c r="AX182" s="225"/>
      <c r="AY182" s="225">
        <v>0</v>
      </c>
      <c r="AZ182" s="225"/>
      <c r="BA182" s="225">
        <v>0</v>
      </c>
      <c r="BB182" s="225"/>
      <c r="BC182" s="225">
        <v>0</v>
      </c>
      <c r="BD182" s="225"/>
      <c r="BE182" s="225">
        <v>0</v>
      </c>
      <c r="BF182" s="225"/>
      <c r="BG182" s="225">
        <v>-1545</v>
      </c>
      <c r="BH182" s="225"/>
      <c r="BI182" s="225">
        <v>0</v>
      </c>
      <c r="BJ182" s="225"/>
      <c r="BK182" s="225">
        <v>0</v>
      </c>
      <c r="BL182" s="225"/>
      <c r="BM182" s="440">
        <f t="shared" si="49"/>
        <v>-1545</v>
      </c>
      <c r="BN182" s="225"/>
      <c r="BO182" s="221">
        <f>G182-BM182</f>
        <v>0</v>
      </c>
      <c r="BP182" s="223"/>
      <c r="BQ182" s="221">
        <f>SUM(BM182:BO182)</f>
        <v>-1545</v>
      </c>
      <c r="BR182" s="223"/>
      <c r="BS182" s="360">
        <f>+E182-BQ182</f>
        <v>1545</v>
      </c>
      <c r="BT182" s="225"/>
    </row>
    <row r="183" spans="1:72">
      <c r="A183" s="212"/>
      <c r="B183" s="212"/>
      <c r="C183" s="187"/>
      <c r="D183" s="187"/>
      <c r="F183" s="217"/>
      <c r="H183" s="217"/>
      <c r="I183" s="221"/>
      <c r="J183" s="217"/>
      <c r="K183" s="199"/>
      <c r="L183" s="206"/>
      <c r="M183" s="199"/>
      <c r="O183" s="199"/>
      <c r="Q183" s="199"/>
      <c r="S183" s="199" t="s">
        <v>752</v>
      </c>
      <c r="U183" s="199"/>
      <c r="V183" s="206"/>
      <c r="W183" s="199"/>
      <c r="X183" s="206"/>
      <c r="Y183" s="199"/>
      <c r="Z183" s="206"/>
      <c r="AA183" s="199"/>
      <c r="AB183" s="206"/>
      <c r="AC183" s="199"/>
      <c r="AD183" s="206"/>
      <c r="AE183" s="199"/>
      <c r="AF183" s="206"/>
      <c r="AK183" s="221"/>
      <c r="AL183" s="225"/>
      <c r="AM183" s="225"/>
      <c r="AN183" s="225"/>
      <c r="AO183" s="221"/>
      <c r="AP183" s="225"/>
      <c r="AQ183" s="225"/>
      <c r="AR183" s="225"/>
      <c r="AS183" s="225"/>
      <c r="AT183" s="225"/>
      <c r="AU183" s="225"/>
      <c r="AV183" s="225"/>
      <c r="AW183" s="225"/>
      <c r="AX183" s="225"/>
      <c r="AY183" s="225"/>
      <c r="AZ183" s="225"/>
      <c r="BA183" s="225"/>
      <c r="BB183" s="225"/>
      <c r="BC183" s="225"/>
      <c r="BD183" s="225"/>
      <c r="BE183" s="225"/>
      <c r="BF183" s="225"/>
      <c r="BG183" s="225"/>
      <c r="BH183" s="225"/>
      <c r="BI183" s="225"/>
      <c r="BJ183" s="225"/>
      <c r="BK183" s="225"/>
      <c r="BL183" s="225"/>
      <c r="BM183" s="482"/>
      <c r="BN183" s="225"/>
      <c r="BO183" s="200"/>
      <c r="BP183" s="223"/>
      <c r="BQ183" s="221"/>
      <c r="BR183" s="223"/>
      <c r="BS183" s="360"/>
      <c r="BT183" s="225"/>
    </row>
    <row r="184" spans="1:72">
      <c r="A184" s="212" t="s">
        <v>261</v>
      </c>
      <c r="B184" s="206"/>
      <c r="C184" s="187"/>
      <c r="D184" s="187"/>
      <c r="K184" s="199"/>
      <c r="L184" s="206"/>
      <c r="M184" s="199"/>
      <c r="O184" s="199"/>
      <c r="Q184" s="199"/>
      <c r="S184" s="199" t="s">
        <v>750</v>
      </c>
      <c r="U184" s="199"/>
      <c r="V184" s="206"/>
      <c r="W184" s="199"/>
      <c r="X184" s="206"/>
      <c r="Y184" s="199"/>
      <c r="Z184" s="206"/>
      <c r="AA184" s="199"/>
      <c r="AB184" s="206"/>
      <c r="AC184" s="199"/>
      <c r="AD184" s="206"/>
      <c r="AE184" s="199"/>
      <c r="AF184" s="206"/>
      <c r="AM184" s="206"/>
      <c r="BM184" s="482"/>
      <c r="BS184" s="348"/>
    </row>
    <row r="185" spans="1:72">
      <c r="A185" s="197"/>
      <c r="B185" s="206" t="s">
        <v>434</v>
      </c>
      <c r="E185" s="199">
        <v>351920.32</v>
      </c>
      <c r="G185" s="200">
        <f>399522+10000</f>
        <v>409522</v>
      </c>
      <c r="I185" s="199">
        <f>+G185-E185</f>
        <v>57601.679999999993</v>
      </c>
      <c r="K185" s="199">
        <v>45000</v>
      </c>
      <c r="L185" s="206"/>
      <c r="M185" s="199">
        <v>0</v>
      </c>
      <c r="O185" s="199">
        <v>0</v>
      </c>
      <c r="Q185" s="199">
        <v>0</v>
      </c>
      <c r="S185" s="200">
        <v>16000</v>
      </c>
      <c r="U185" s="199">
        <v>0</v>
      </c>
      <c r="V185" s="206"/>
      <c r="W185" s="199">
        <v>0</v>
      </c>
      <c r="X185" s="206"/>
      <c r="Y185" s="199">
        <f>315565.77+7000</f>
        <v>322565.77</v>
      </c>
      <c r="Z185" s="206"/>
      <c r="AA185" s="199">
        <f>-149519.93-7000</f>
        <v>-156519.93</v>
      </c>
      <c r="AB185" s="206"/>
      <c r="AC185" s="199">
        <v>0</v>
      </c>
      <c r="AD185" s="206"/>
      <c r="AE185" s="199">
        <v>16000</v>
      </c>
      <c r="AF185" s="206"/>
      <c r="AK185" s="199">
        <f>SUM(K185:AJ185)</f>
        <v>243045.84000000003</v>
      </c>
      <c r="AM185" s="206">
        <v>0</v>
      </c>
      <c r="AO185" s="199">
        <v>156476.51999999999</v>
      </c>
      <c r="AQ185" s="206">
        <v>0</v>
      </c>
      <c r="AS185" s="206">
        <v>0</v>
      </c>
      <c r="AU185" s="206">
        <v>0</v>
      </c>
      <c r="AW185" s="206">
        <v>0</v>
      </c>
      <c r="AY185" s="206">
        <v>0</v>
      </c>
      <c r="BA185" s="206">
        <v>0</v>
      </c>
      <c r="BC185" s="206">
        <v>0</v>
      </c>
      <c r="BE185" s="206">
        <v>0</v>
      </c>
      <c r="BG185" s="206">
        <v>0</v>
      </c>
      <c r="BI185" s="206">
        <v>0</v>
      </c>
      <c r="BK185" s="206">
        <v>-32000</v>
      </c>
      <c r="BM185" s="440">
        <f>SUM(AK185:BL185)</f>
        <v>367522.36</v>
      </c>
      <c r="BO185" s="199">
        <v>0</v>
      </c>
      <c r="BQ185" s="199">
        <f>SUM(BM185:BO185)</f>
        <v>367522.36</v>
      </c>
      <c r="BS185" s="438">
        <f>+E185-BQ185</f>
        <v>-15602.039999999979</v>
      </c>
    </row>
    <row r="186" spans="1:72" hidden="1">
      <c r="A186" s="197"/>
      <c r="B186" s="206" t="s">
        <v>359</v>
      </c>
      <c r="E186" s="199">
        <v>0</v>
      </c>
      <c r="G186" s="200">
        <f>+E186+I186</f>
        <v>0</v>
      </c>
      <c r="I186" s="199">
        <v>0</v>
      </c>
      <c r="K186" s="199">
        <v>0</v>
      </c>
      <c r="L186" s="206"/>
      <c r="M186" s="199">
        <v>0</v>
      </c>
      <c r="O186" s="199">
        <v>0</v>
      </c>
      <c r="Q186" s="199">
        <v>0</v>
      </c>
      <c r="S186" s="199">
        <v>0</v>
      </c>
      <c r="U186" s="199">
        <v>0</v>
      </c>
      <c r="V186" s="206"/>
      <c r="W186" s="199">
        <v>0</v>
      </c>
      <c r="X186" s="206"/>
      <c r="Y186" s="199">
        <v>0</v>
      </c>
      <c r="Z186" s="206"/>
      <c r="AA186" s="199">
        <v>0</v>
      </c>
      <c r="AB186" s="206"/>
      <c r="AC186" s="199">
        <v>0</v>
      </c>
      <c r="AD186" s="206"/>
      <c r="AE186" s="199">
        <v>0</v>
      </c>
      <c r="AF186" s="206"/>
      <c r="AG186" s="199">
        <v>0</v>
      </c>
      <c r="AI186" s="199">
        <v>0</v>
      </c>
      <c r="AK186" s="199">
        <f>SUM(K186:AJ186)</f>
        <v>0</v>
      </c>
      <c r="AM186" s="206">
        <v>0</v>
      </c>
      <c r="AO186" s="199">
        <v>0</v>
      </c>
      <c r="AQ186" s="206">
        <v>0</v>
      </c>
      <c r="AS186" s="206">
        <v>0</v>
      </c>
      <c r="AU186" s="206">
        <v>0</v>
      </c>
      <c r="AW186" s="206">
        <v>0</v>
      </c>
      <c r="AY186" s="206">
        <v>0</v>
      </c>
      <c r="BA186" s="206">
        <v>0</v>
      </c>
      <c r="BC186" s="206">
        <v>0</v>
      </c>
      <c r="BE186" s="206">
        <v>0</v>
      </c>
      <c r="BG186" s="206">
        <v>0</v>
      </c>
      <c r="BI186" s="206">
        <v>0</v>
      </c>
      <c r="BK186" s="206">
        <v>0</v>
      </c>
      <c r="BM186" s="478">
        <f>SUM(AC186:AT186)</f>
        <v>0</v>
      </c>
      <c r="BO186" s="199">
        <f>+MAX(0,G186-AK186+AM186)</f>
        <v>0</v>
      </c>
      <c r="BQ186" s="199">
        <f>+AK186+BO186</f>
        <v>0</v>
      </c>
      <c r="BS186" s="199">
        <f>+G186-BQ186</f>
        <v>0</v>
      </c>
    </row>
    <row r="187" spans="1:72" hidden="1">
      <c r="A187" s="197"/>
      <c r="B187" s="206" t="s">
        <v>359</v>
      </c>
      <c r="E187" s="199">
        <v>0</v>
      </c>
      <c r="G187" s="200">
        <f>+E187+I187</f>
        <v>0</v>
      </c>
      <c r="I187" s="199">
        <v>0</v>
      </c>
      <c r="K187" s="199">
        <v>0</v>
      </c>
      <c r="L187" s="206"/>
      <c r="M187" s="199">
        <v>0</v>
      </c>
      <c r="O187" s="199">
        <v>0</v>
      </c>
      <c r="Q187" s="199">
        <v>0</v>
      </c>
      <c r="S187" s="199">
        <v>0</v>
      </c>
      <c r="U187" s="199">
        <v>0</v>
      </c>
      <c r="V187" s="206"/>
      <c r="W187" s="199">
        <v>0</v>
      </c>
      <c r="X187" s="206"/>
      <c r="Y187" s="199">
        <v>0</v>
      </c>
      <c r="Z187" s="206"/>
      <c r="AA187" s="199">
        <v>0</v>
      </c>
      <c r="AB187" s="206"/>
      <c r="AC187" s="199">
        <v>0</v>
      </c>
      <c r="AD187" s="206"/>
      <c r="AE187" s="199">
        <v>0</v>
      </c>
      <c r="AF187" s="206"/>
      <c r="AG187" s="199">
        <v>0</v>
      </c>
      <c r="AI187" s="199">
        <v>0</v>
      </c>
      <c r="AK187" s="199">
        <f>SUM(K187:AJ187)</f>
        <v>0</v>
      </c>
      <c r="AM187" s="206">
        <v>0</v>
      </c>
      <c r="AO187" s="199">
        <v>0</v>
      </c>
      <c r="AQ187" s="206">
        <v>0</v>
      </c>
      <c r="AS187" s="206">
        <v>0</v>
      </c>
      <c r="AU187" s="206">
        <v>0</v>
      </c>
      <c r="AW187" s="206">
        <v>0</v>
      </c>
      <c r="AY187" s="206">
        <v>0</v>
      </c>
      <c r="BA187" s="206">
        <v>0</v>
      </c>
      <c r="BC187" s="206">
        <v>0</v>
      </c>
      <c r="BE187" s="206">
        <v>0</v>
      </c>
      <c r="BG187" s="206">
        <v>0</v>
      </c>
      <c r="BI187" s="206">
        <v>0</v>
      </c>
      <c r="BK187" s="206">
        <v>0</v>
      </c>
      <c r="BM187" s="478">
        <f>SUM(AC187:AT187)</f>
        <v>0</v>
      </c>
      <c r="BO187" s="199">
        <f>+MAX(0,G187-AK187+AM187)</f>
        <v>0</v>
      </c>
      <c r="BQ187" s="199">
        <f>+AK187+BO187</f>
        <v>0</v>
      </c>
      <c r="BS187" s="199">
        <f>+G187-BQ187</f>
        <v>0</v>
      </c>
    </row>
    <row r="188" spans="1:72" hidden="1">
      <c r="A188" s="197"/>
      <c r="B188" s="206"/>
      <c r="G188" s="200"/>
      <c r="K188" s="199"/>
      <c r="L188" s="206"/>
      <c r="M188" s="199"/>
      <c r="O188" s="199"/>
      <c r="Q188" s="199"/>
      <c r="S188" s="199"/>
      <c r="U188" s="199"/>
      <c r="V188" s="206"/>
      <c r="W188" s="199"/>
      <c r="X188" s="206"/>
      <c r="Y188" s="199"/>
      <c r="Z188" s="206"/>
      <c r="AA188" s="199"/>
      <c r="AB188" s="206"/>
      <c r="AC188" s="199"/>
      <c r="AD188" s="206"/>
      <c r="AE188" s="199"/>
      <c r="AF188" s="206"/>
      <c r="AM188" s="206"/>
    </row>
    <row r="189" spans="1:72" s="221" customFormat="1">
      <c r="A189" s="212"/>
      <c r="B189" s="225" t="s">
        <v>412</v>
      </c>
      <c r="E189" s="224">
        <f>SUM(E185:E188)</f>
        <v>351920.32</v>
      </c>
      <c r="F189" s="225"/>
      <c r="G189" s="389">
        <f>SUM(G185:G188)</f>
        <v>409522</v>
      </c>
      <c r="H189" s="225"/>
      <c r="I189" s="224">
        <f>SUM(I185:I188)</f>
        <v>57601.679999999993</v>
      </c>
      <c r="J189" s="225"/>
      <c r="K189" s="224">
        <f>SUM(K185:K188)</f>
        <v>45000</v>
      </c>
      <c r="L189" s="225"/>
      <c r="M189" s="224">
        <f>SUM(M185:M188)</f>
        <v>0</v>
      </c>
      <c r="N189" s="225"/>
      <c r="O189" s="224">
        <f>SUM(O185:O188)</f>
        <v>0</v>
      </c>
      <c r="P189" s="225"/>
      <c r="Q189" s="224">
        <f>SUM(Q185:Q188)</f>
        <v>0</v>
      </c>
      <c r="R189" s="225"/>
      <c r="S189" s="224">
        <f>SUM(S185:S188)</f>
        <v>16000</v>
      </c>
      <c r="T189" s="223"/>
      <c r="U189" s="224">
        <f>SUM(U185:U188)</f>
        <v>0</v>
      </c>
      <c r="V189" s="225"/>
      <c r="W189" s="224">
        <f>SUM(W185:W188)</f>
        <v>0</v>
      </c>
      <c r="X189" s="225"/>
      <c r="Y189" s="224">
        <f>SUM(Y185:Y188)</f>
        <v>322565.77</v>
      </c>
      <c r="Z189" s="225"/>
      <c r="AA189" s="224">
        <f>SUM(AA185:AA188)</f>
        <v>-156519.93</v>
      </c>
      <c r="AB189" s="225"/>
      <c r="AC189" s="224">
        <f>SUM(AC185:AC188)</f>
        <v>0</v>
      </c>
      <c r="AD189" s="225"/>
      <c r="AE189" s="224">
        <f>SUM(AE185:AE188)</f>
        <v>16000</v>
      </c>
      <c r="AF189" s="225"/>
      <c r="AG189" s="224">
        <f>SUM(AG185:AG188)</f>
        <v>0</v>
      </c>
      <c r="AH189" s="225"/>
      <c r="AI189" s="224">
        <f>SUM(AI185:AI188)</f>
        <v>0</v>
      </c>
      <c r="AJ189" s="225"/>
      <c r="AK189" s="224">
        <f>SUM(AK185:AK188)</f>
        <v>243045.84000000003</v>
      </c>
      <c r="AL189" s="225"/>
      <c r="AM189" s="225">
        <f>SUM(AM185:AM188)</f>
        <v>0</v>
      </c>
      <c r="AN189" s="225"/>
      <c r="AO189" s="224">
        <f>SUM(AO185:AO188)</f>
        <v>156476.51999999999</v>
      </c>
      <c r="AP189" s="225"/>
      <c r="AQ189" s="224">
        <f>SUM(AQ185:AQ188)</f>
        <v>0</v>
      </c>
      <c r="AR189" s="225"/>
      <c r="AS189" s="224">
        <f>SUM(AS185:AS188)</f>
        <v>0</v>
      </c>
      <c r="AT189" s="225"/>
      <c r="AU189" s="224">
        <f>SUM(AU185:AU188)</f>
        <v>0</v>
      </c>
      <c r="AV189" s="225"/>
      <c r="AW189" s="224">
        <f>SUM(AW185:AW188)</f>
        <v>0</v>
      </c>
      <c r="AX189" s="225"/>
      <c r="AY189" s="224">
        <f>SUM(AY185:AY188)</f>
        <v>0</v>
      </c>
      <c r="AZ189" s="225"/>
      <c r="BA189" s="224">
        <f>SUM(BA185:BA188)</f>
        <v>0</v>
      </c>
      <c r="BB189" s="225"/>
      <c r="BC189" s="224">
        <f>SUM(BC185:BC188)</f>
        <v>0</v>
      </c>
      <c r="BD189" s="225"/>
      <c r="BE189" s="224">
        <f>SUM(BE185:BE188)</f>
        <v>0</v>
      </c>
      <c r="BF189" s="225"/>
      <c r="BG189" s="224">
        <f>SUM(BG185:BG188)</f>
        <v>0</v>
      </c>
      <c r="BH189" s="225"/>
      <c r="BI189" s="224">
        <f>SUM(BI185:BI188)</f>
        <v>0</v>
      </c>
      <c r="BJ189" s="225"/>
      <c r="BK189" s="224">
        <f>SUM(BK185:BK188)</f>
        <v>-32000</v>
      </c>
      <c r="BL189" s="225"/>
      <c r="BM189" s="489">
        <f>SUM(BM185:BM188)</f>
        <v>367522.36</v>
      </c>
      <c r="BN189" s="225"/>
      <c r="BO189" s="224">
        <f>SUM(BO185:BO188)</f>
        <v>0</v>
      </c>
      <c r="BP189" s="225"/>
      <c r="BQ189" s="224">
        <f>SUM(BQ185:BQ188)</f>
        <v>367522.36</v>
      </c>
      <c r="BR189" s="225"/>
      <c r="BS189" s="349">
        <f>SUM(BS185:BS188)</f>
        <v>-15602.039999999979</v>
      </c>
      <c r="BT189" s="225"/>
    </row>
    <row r="190" spans="1:72">
      <c r="A190" s="383"/>
      <c r="B190" s="197"/>
      <c r="G190" s="200"/>
      <c r="K190" s="199"/>
      <c r="L190" s="206"/>
      <c r="M190" s="199"/>
      <c r="O190" s="199"/>
      <c r="Q190" s="199"/>
      <c r="S190" s="199"/>
      <c r="U190" s="199"/>
      <c r="V190" s="206"/>
      <c r="W190" s="199"/>
      <c r="X190" s="206"/>
      <c r="Y190" s="199"/>
      <c r="Z190" s="206"/>
      <c r="AA190" s="199"/>
      <c r="AB190" s="206"/>
      <c r="AC190" s="199"/>
      <c r="AD190" s="206"/>
      <c r="AE190" s="199"/>
      <c r="AF190" s="206"/>
      <c r="AM190" s="206"/>
    </row>
    <row r="191" spans="1:72">
      <c r="A191" s="212" t="s">
        <v>262</v>
      </c>
      <c r="B191" s="206"/>
      <c r="C191" s="187"/>
      <c r="D191" s="187"/>
      <c r="G191" s="200"/>
      <c r="K191" s="199"/>
      <c r="L191" s="206"/>
      <c r="M191" s="199"/>
      <c r="O191" s="199"/>
      <c r="Q191" s="199"/>
      <c r="S191" s="199"/>
      <c r="T191" s="217" t="s">
        <v>751</v>
      </c>
      <c r="U191" s="199"/>
      <c r="V191" s="206"/>
      <c r="W191" s="199"/>
      <c r="X191" s="206"/>
      <c r="Y191" s="199"/>
      <c r="Z191" s="206"/>
      <c r="AA191" s="199"/>
      <c r="AB191" s="206"/>
      <c r="AC191" s="199"/>
      <c r="AD191" s="206"/>
      <c r="AE191" s="199"/>
      <c r="AF191" s="206"/>
      <c r="AM191" s="206"/>
    </row>
    <row r="192" spans="1:72">
      <c r="A192" s="212"/>
      <c r="B192" s="206" t="s">
        <v>413</v>
      </c>
      <c r="C192" s="187"/>
      <c r="D192" s="187"/>
      <c r="E192" s="208">
        <v>400000</v>
      </c>
      <c r="G192" s="200">
        <f>BM192</f>
        <v>59014.38</v>
      </c>
      <c r="I192" s="199">
        <f>+G192-E192</f>
        <v>-340985.62</v>
      </c>
      <c r="K192" s="199">
        <v>0</v>
      </c>
      <c r="L192" s="206"/>
      <c r="M192" s="199">
        <v>0</v>
      </c>
      <c r="O192" s="203"/>
      <c r="Q192" s="207">
        <f>3208.45+3798.17</f>
        <v>7006.62</v>
      </c>
      <c r="S192" s="199">
        <v>0</v>
      </c>
      <c r="U192" s="208">
        <f>1027.25+4563.43+582+8250+18705.49</f>
        <v>33128.17</v>
      </c>
      <c r="V192" s="218"/>
      <c r="W192" s="208">
        <v>0</v>
      </c>
      <c r="X192" s="218"/>
      <c r="Y192" s="208">
        <v>0</v>
      </c>
      <c r="Z192" s="218"/>
      <c r="AA192" s="208">
        <f>969.25</f>
        <v>969.25</v>
      </c>
      <c r="AB192" s="218"/>
      <c r="AC192" s="208">
        <v>0</v>
      </c>
      <c r="AD192" s="218"/>
      <c r="AE192" s="208">
        <f>1848.15</f>
        <v>1848.15</v>
      </c>
      <c r="AF192" s="218"/>
      <c r="AG192" s="199">
        <f>3360+667+2300.25</f>
        <v>6327.25</v>
      </c>
      <c r="AI192" s="199">
        <v>2158</v>
      </c>
      <c r="AK192" s="199">
        <f>SUM(K192:AJ192)</f>
        <v>51437.440000000002</v>
      </c>
      <c r="AM192" s="206">
        <v>0</v>
      </c>
      <c r="AO192" s="199">
        <v>26.24</v>
      </c>
      <c r="AQ192" s="206">
        <v>0</v>
      </c>
      <c r="AS192" s="206">
        <f>931.7+119</f>
        <v>1050.7</v>
      </c>
      <c r="AU192" s="206">
        <v>0</v>
      </c>
      <c r="AW192" s="206">
        <v>0</v>
      </c>
      <c r="AY192" s="206">
        <v>0</v>
      </c>
      <c r="BA192" s="206">
        <v>0</v>
      </c>
      <c r="BC192" s="206">
        <v>0</v>
      </c>
      <c r="BE192" s="206">
        <v>0</v>
      </c>
      <c r="BG192" s="206">
        <v>0</v>
      </c>
      <c r="BI192" s="206">
        <v>0</v>
      </c>
      <c r="BK192" s="206">
        <v>6500</v>
      </c>
      <c r="BM192" s="478">
        <f>SUM(AK192:BL192)</f>
        <v>59014.38</v>
      </c>
      <c r="BO192" s="199">
        <f>+MAX(0,G192-BM192+AM192)</f>
        <v>0</v>
      </c>
      <c r="BQ192" s="199">
        <f>SUM(BM192:BO192)</f>
        <v>59014.38</v>
      </c>
      <c r="BS192" s="348">
        <f>-BQ192+E192</f>
        <v>340985.62</v>
      </c>
    </row>
    <row r="193" spans="1:72">
      <c r="A193" s="383"/>
      <c r="B193" s="248" t="s">
        <v>1042</v>
      </c>
      <c r="C193" s="187"/>
      <c r="D193" s="187"/>
      <c r="E193" s="199">
        <v>0</v>
      </c>
      <c r="G193" s="200">
        <f>BM193</f>
        <v>53435.159999999996</v>
      </c>
      <c r="I193" s="199">
        <f>+G193-E193</f>
        <v>53435.159999999996</v>
      </c>
      <c r="K193" s="199">
        <v>0</v>
      </c>
      <c r="L193" s="206"/>
      <c r="M193" s="199">
        <v>0</v>
      </c>
      <c r="O193" s="199">
        <v>3168.79</v>
      </c>
      <c r="Q193" s="199">
        <f>3306+6631.5</f>
        <v>9937.5</v>
      </c>
      <c r="S193" s="199">
        <v>0</v>
      </c>
      <c r="U193" s="208">
        <f>10765.92</f>
        <v>10765.92</v>
      </c>
      <c r="V193" s="218"/>
      <c r="W193" s="208">
        <f>2475.23+7636.15</f>
        <v>10111.379999999999</v>
      </c>
      <c r="X193" s="218"/>
      <c r="Y193" s="208">
        <v>0</v>
      </c>
      <c r="Z193" s="218"/>
      <c r="AA193" s="208">
        <f>3916.79+8599.99</f>
        <v>12516.779999999999</v>
      </c>
      <c r="AB193" s="218"/>
      <c r="AC193" s="208">
        <f>2197.53+981.83</f>
        <v>3179.36</v>
      </c>
      <c r="AD193" s="218"/>
      <c r="AE193" s="208">
        <v>0</v>
      </c>
      <c r="AF193" s="218"/>
      <c r="AG193" s="199">
        <v>0</v>
      </c>
      <c r="AI193" s="199">
        <f>1506.69</f>
        <v>1506.69</v>
      </c>
      <c r="AK193" s="199">
        <f>SUM(K193:AJ193)</f>
        <v>51186.42</v>
      </c>
      <c r="AM193" s="206">
        <v>0</v>
      </c>
      <c r="AO193" s="199">
        <v>0</v>
      </c>
      <c r="AQ193" s="206">
        <v>2248.7399999999998</v>
      </c>
      <c r="AS193" s="206">
        <v>0</v>
      </c>
      <c r="AU193" s="206">
        <v>0</v>
      </c>
      <c r="AW193" s="206">
        <v>0</v>
      </c>
      <c r="AY193" s="206">
        <v>0</v>
      </c>
      <c r="BA193" s="206">
        <v>0</v>
      </c>
      <c r="BC193" s="206">
        <v>0</v>
      </c>
      <c r="BE193" s="206">
        <v>0</v>
      </c>
      <c r="BG193" s="206">
        <v>0</v>
      </c>
      <c r="BI193" s="206">
        <v>0</v>
      </c>
      <c r="BK193" s="206">
        <v>0</v>
      </c>
      <c r="BM193" s="478">
        <f>SUM(AK193:BL193)</f>
        <v>53435.159999999996</v>
      </c>
      <c r="BO193" s="199">
        <f>+MAX(0,G193-BM193+AM193)</f>
        <v>0</v>
      </c>
      <c r="BQ193" s="199">
        <f>SUM(BM193:BO193)</f>
        <v>53435.159999999996</v>
      </c>
      <c r="BS193" s="348">
        <f>-BQ193+E193</f>
        <v>-53435.159999999996</v>
      </c>
    </row>
    <row r="194" spans="1:72" hidden="1">
      <c r="A194" s="383"/>
      <c r="B194" s="197" t="s">
        <v>359</v>
      </c>
      <c r="C194" s="187"/>
      <c r="D194" s="187"/>
      <c r="E194" s="199">
        <v>0</v>
      </c>
      <c r="G194" s="200">
        <f>+E194+I194</f>
        <v>0</v>
      </c>
      <c r="I194" s="199">
        <v>0</v>
      </c>
      <c r="K194" s="199">
        <v>0</v>
      </c>
      <c r="L194" s="206"/>
      <c r="M194" s="199">
        <v>0</v>
      </c>
      <c r="O194" s="199">
        <v>0</v>
      </c>
      <c r="Q194" s="199">
        <v>0</v>
      </c>
      <c r="S194" s="199">
        <v>0</v>
      </c>
      <c r="U194" s="199">
        <v>0</v>
      </c>
      <c r="V194" s="206"/>
      <c r="W194" s="199">
        <v>0</v>
      </c>
      <c r="X194" s="206"/>
      <c r="Y194" s="199">
        <v>0</v>
      </c>
      <c r="Z194" s="206"/>
      <c r="AA194" s="199">
        <v>0</v>
      </c>
      <c r="AB194" s="206"/>
      <c r="AC194" s="199">
        <v>0</v>
      </c>
      <c r="AD194" s="206"/>
      <c r="AE194" s="199">
        <v>0</v>
      </c>
      <c r="AF194" s="206"/>
      <c r="AG194" s="199">
        <v>0</v>
      </c>
      <c r="AI194" s="199">
        <v>0</v>
      </c>
      <c r="AK194" s="199">
        <f>SUM(K194:AJ194)</f>
        <v>0</v>
      </c>
      <c r="AM194" s="206">
        <v>0</v>
      </c>
      <c r="AO194" s="199">
        <v>0</v>
      </c>
      <c r="AQ194" s="206">
        <v>0</v>
      </c>
      <c r="AS194" s="206">
        <v>0</v>
      </c>
      <c r="AU194" s="206">
        <v>0</v>
      </c>
      <c r="AW194" s="206">
        <v>0</v>
      </c>
      <c r="AY194" s="206">
        <v>0</v>
      </c>
      <c r="BA194" s="206">
        <v>0</v>
      </c>
      <c r="BC194" s="206">
        <v>0</v>
      </c>
      <c r="BE194" s="206">
        <v>0</v>
      </c>
      <c r="BG194" s="206">
        <v>0</v>
      </c>
      <c r="BI194" s="206">
        <v>0</v>
      </c>
      <c r="BK194" s="206">
        <v>0</v>
      </c>
      <c r="BM194" s="478">
        <f>SUM(AK194:AU194)</f>
        <v>0</v>
      </c>
      <c r="BO194" s="199">
        <f>+MAX(0,G194-AK194+AM194)</f>
        <v>0</v>
      </c>
      <c r="BQ194" s="199">
        <f>+AK194+BO194</f>
        <v>0</v>
      </c>
      <c r="BS194" s="348">
        <f>+G194-BQ194</f>
        <v>0</v>
      </c>
    </row>
    <row r="195" spans="1:72" hidden="1">
      <c r="A195" s="383"/>
      <c r="B195" s="197"/>
      <c r="C195" s="187"/>
      <c r="D195" s="187"/>
      <c r="G195" s="200"/>
      <c r="K195" s="199"/>
      <c r="L195" s="206"/>
      <c r="M195" s="199"/>
      <c r="O195" s="199"/>
      <c r="Q195" s="199"/>
      <c r="S195" s="199"/>
      <c r="U195" s="199"/>
      <c r="V195" s="206"/>
      <c r="W195" s="199"/>
      <c r="X195" s="206"/>
      <c r="Y195" s="199"/>
      <c r="Z195" s="206"/>
      <c r="AA195" s="199"/>
      <c r="AB195" s="206"/>
      <c r="AC195" s="199"/>
      <c r="AD195" s="206"/>
      <c r="AE195" s="199"/>
      <c r="AF195" s="206"/>
      <c r="AM195" s="206"/>
      <c r="BM195" s="478">
        <f>SUM(AK195:AU195)</f>
        <v>0</v>
      </c>
      <c r="BS195" s="348"/>
    </row>
    <row r="196" spans="1:72" s="221" customFormat="1">
      <c r="A196" s="416"/>
      <c r="B196" s="212" t="s">
        <v>414</v>
      </c>
      <c r="E196" s="224">
        <f>SUM(E192:E195)</f>
        <v>400000</v>
      </c>
      <c r="F196" s="225"/>
      <c r="G196" s="389">
        <f>SUM(G192:G195)</f>
        <v>112449.54</v>
      </c>
      <c r="H196" s="225"/>
      <c r="I196" s="224">
        <f>SUM(I192:I195)</f>
        <v>-287550.46000000002</v>
      </c>
      <c r="J196" s="225"/>
      <c r="K196" s="224">
        <f>SUM(K192:K195)</f>
        <v>0</v>
      </c>
      <c r="L196" s="225"/>
      <c r="M196" s="224">
        <f>SUM(M192:M195)</f>
        <v>0</v>
      </c>
      <c r="N196" s="225"/>
      <c r="O196" s="224">
        <f>SUM(O192:O195)</f>
        <v>3168.79</v>
      </c>
      <c r="P196" s="225"/>
      <c r="Q196" s="224">
        <f>SUM(Q192:Q195)</f>
        <v>16944.12</v>
      </c>
      <c r="R196" s="225"/>
      <c r="S196" s="224">
        <f>SUM(S192:S195)</f>
        <v>0</v>
      </c>
      <c r="T196" s="223"/>
      <c r="U196" s="224">
        <f>SUM(U192:U195)</f>
        <v>43894.09</v>
      </c>
      <c r="V196" s="225"/>
      <c r="W196" s="224">
        <f>SUM(W192:W195)</f>
        <v>10111.379999999999</v>
      </c>
      <c r="X196" s="225"/>
      <c r="Y196" s="224">
        <f>SUM(Y192:Y195)</f>
        <v>0</v>
      </c>
      <c r="Z196" s="225"/>
      <c r="AA196" s="224">
        <f>SUM(AA192:AA195)</f>
        <v>13486.029999999999</v>
      </c>
      <c r="AB196" s="225"/>
      <c r="AC196" s="224">
        <f>SUM(AC192:AC195)</f>
        <v>3179.36</v>
      </c>
      <c r="AD196" s="225"/>
      <c r="AE196" s="224">
        <f>SUM(AE192:AE195)</f>
        <v>1848.15</v>
      </c>
      <c r="AF196" s="225"/>
      <c r="AG196" s="224">
        <f>SUM(AG192:AG195)</f>
        <v>6327.25</v>
      </c>
      <c r="AH196" s="225"/>
      <c r="AI196" s="224">
        <f>SUM(AI192:AI195)</f>
        <v>3664.69</v>
      </c>
      <c r="AJ196" s="225"/>
      <c r="AK196" s="224">
        <f>SUM(AK192:AK195)</f>
        <v>102623.86</v>
      </c>
      <c r="AL196" s="225"/>
      <c r="AM196" s="225">
        <f>SUM(AM192:AM195)</f>
        <v>0</v>
      </c>
      <c r="AN196" s="225"/>
      <c r="AO196" s="224">
        <f>SUM(AO192:AO195)</f>
        <v>26.24</v>
      </c>
      <c r="AP196" s="225"/>
      <c r="AQ196" s="224">
        <f>SUM(AQ192:AQ195)</f>
        <v>2248.7399999999998</v>
      </c>
      <c r="AR196" s="225"/>
      <c r="AS196" s="224">
        <f>SUM(AS192:AS195)</f>
        <v>1050.7</v>
      </c>
      <c r="AT196" s="225"/>
      <c r="AU196" s="224">
        <f>SUM(AU192:AU195)</f>
        <v>0</v>
      </c>
      <c r="AV196" s="225"/>
      <c r="AW196" s="224">
        <f>SUM(AW192:AW195)</f>
        <v>0</v>
      </c>
      <c r="AX196" s="225"/>
      <c r="AY196" s="224">
        <f>SUM(AY192:AY195)</f>
        <v>0</v>
      </c>
      <c r="AZ196" s="225"/>
      <c r="BA196" s="224">
        <f>SUM(BA192:BA195)</f>
        <v>0</v>
      </c>
      <c r="BB196" s="225"/>
      <c r="BC196" s="224">
        <f>SUM(BC192:BC195)</f>
        <v>0</v>
      </c>
      <c r="BD196" s="225"/>
      <c r="BE196" s="224">
        <f>SUM(BE192:BE195)</f>
        <v>0</v>
      </c>
      <c r="BF196" s="225"/>
      <c r="BG196" s="224">
        <f>SUM(BG192:BG195)</f>
        <v>0</v>
      </c>
      <c r="BH196" s="225"/>
      <c r="BI196" s="224">
        <f>SUM(BI192:BI195)</f>
        <v>0</v>
      </c>
      <c r="BJ196" s="225"/>
      <c r="BK196" s="224">
        <f>SUM(BK192:BK195)</f>
        <v>6500</v>
      </c>
      <c r="BL196" s="225"/>
      <c r="BM196" s="489">
        <f>SUM(BM192:BM195)</f>
        <v>112449.54</v>
      </c>
      <c r="BN196" s="225"/>
      <c r="BO196" s="224">
        <f>SUM(BO192:BO195)</f>
        <v>0</v>
      </c>
      <c r="BP196" s="225"/>
      <c r="BQ196" s="224">
        <f>SUM(BQ192:BQ195)</f>
        <v>112449.54</v>
      </c>
      <c r="BR196" s="225"/>
      <c r="BS196" s="349">
        <f>SUM(BS192:BS195)</f>
        <v>287550.46000000002</v>
      </c>
      <c r="BT196" s="225"/>
    </row>
    <row r="197" spans="1:72" s="221" customFormat="1">
      <c r="A197" s="416"/>
      <c r="B197" s="212"/>
      <c r="E197" s="225"/>
      <c r="F197" s="225"/>
      <c r="G197" s="225"/>
      <c r="H197" s="225"/>
      <c r="I197" s="225"/>
      <c r="J197" s="225"/>
      <c r="K197" s="225"/>
      <c r="L197" s="225"/>
      <c r="M197" s="225"/>
      <c r="N197" s="225"/>
      <c r="O197" s="225"/>
      <c r="P197" s="225"/>
      <c r="Q197" s="225"/>
      <c r="R197" s="225"/>
      <c r="S197" s="225"/>
      <c r="T197" s="223"/>
      <c r="U197" s="225"/>
      <c r="V197" s="225"/>
      <c r="W197" s="225"/>
      <c r="X197" s="225"/>
      <c r="Y197" s="225"/>
      <c r="Z197" s="225"/>
      <c r="AA197" s="225"/>
      <c r="AB197" s="225"/>
      <c r="AC197" s="225"/>
      <c r="AD197" s="225"/>
      <c r="AE197" s="225"/>
      <c r="AF197" s="225"/>
      <c r="AG197" s="225"/>
      <c r="AH197" s="225"/>
      <c r="AI197" s="225"/>
      <c r="AJ197" s="225"/>
      <c r="AK197" s="225"/>
      <c r="AL197" s="225"/>
      <c r="AM197" s="225"/>
      <c r="AN197" s="225"/>
      <c r="AO197" s="225"/>
      <c r="AP197" s="225"/>
      <c r="AQ197" s="225"/>
      <c r="AR197" s="225"/>
      <c r="AS197" s="225"/>
      <c r="AT197" s="225"/>
      <c r="AU197" s="225"/>
      <c r="AV197" s="225"/>
      <c r="AW197" s="225"/>
      <c r="AX197" s="225"/>
      <c r="AY197" s="225"/>
      <c r="AZ197" s="225"/>
      <c r="BA197" s="225"/>
      <c r="BB197" s="225"/>
      <c r="BC197" s="225"/>
      <c r="BD197" s="225"/>
      <c r="BE197" s="225"/>
      <c r="BF197" s="225"/>
      <c r="BG197" s="225"/>
      <c r="BH197" s="225"/>
      <c r="BI197" s="225"/>
      <c r="BJ197" s="225"/>
      <c r="BK197" s="225"/>
      <c r="BL197" s="225"/>
      <c r="BM197" s="490"/>
      <c r="BN197" s="225"/>
      <c r="BO197" s="225"/>
      <c r="BP197" s="225"/>
      <c r="BQ197" s="225"/>
      <c r="BR197" s="225"/>
      <c r="BS197" s="348"/>
      <c r="BT197" s="225"/>
    </row>
    <row r="198" spans="1:72">
      <c r="A198" s="212" t="s">
        <v>259</v>
      </c>
      <c r="C198" s="212"/>
      <c r="D198" s="372"/>
      <c r="K198" s="200"/>
      <c r="L198" s="206"/>
      <c r="M198" s="200"/>
      <c r="O198" s="200"/>
      <c r="Q198" s="200"/>
      <c r="S198" s="200"/>
      <c r="U198" s="200"/>
      <c r="V198" s="217"/>
      <c r="W198" s="200"/>
      <c r="X198" s="206"/>
      <c r="Y198" s="200"/>
      <c r="Z198" s="206"/>
      <c r="AA198" s="200"/>
      <c r="AB198" s="206"/>
      <c r="AC198" s="200"/>
      <c r="AD198" s="206"/>
      <c r="AE198" s="200"/>
      <c r="AF198" s="206"/>
      <c r="AG198" s="200"/>
      <c r="AH198" s="217"/>
      <c r="AI198" s="200"/>
      <c r="AK198" s="217"/>
      <c r="AM198" s="217"/>
      <c r="AO198" s="200"/>
      <c r="AP198" s="217"/>
      <c r="AQ198" s="217"/>
      <c r="AR198" s="217"/>
      <c r="AS198" s="217"/>
      <c r="AT198" s="217"/>
      <c r="AU198" s="217"/>
      <c r="AV198" s="217"/>
      <c r="AW198" s="217"/>
      <c r="AX198" s="217"/>
      <c r="AY198" s="217"/>
      <c r="AZ198" s="217"/>
      <c r="BA198" s="217"/>
      <c r="BB198" s="217"/>
      <c r="BC198" s="217"/>
      <c r="BD198" s="217"/>
      <c r="BE198" s="217"/>
      <c r="BF198" s="217"/>
      <c r="BG198" s="217"/>
      <c r="BH198" s="217"/>
      <c r="BI198" s="217"/>
      <c r="BJ198" s="217"/>
      <c r="BK198" s="217"/>
      <c r="BL198" s="217"/>
      <c r="BM198" s="491"/>
    </row>
    <row r="199" spans="1:72">
      <c r="B199" s="498" t="s">
        <v>410</v>
      </c>
      <c r="C199" s="197" t="s">
        <v>410</v>
      </c>
      <c r="D199" s="372"/>
      <c r="E199" s="199">
        <v>1128564</v>
      </c>
      <c r="F199" s="217"/>
      <c r="G199" s="199">
        <v>1182703</v>
      </c>
      <c r="H199" s="217"/>
      <c r="I199" s="199">
        <f>G199-E199</f>
        <v>54139</v>
      </c>
      <c r="K199" s="200">
        <v>0</v>
      </c>
      <c r="L199" s="200">
        <v>0</v>
      </c>
      <c r="M199" s="200">
        <v>0</v>
      </c>
      <c r="N199" s="200">
        <v>0</v>
      </c>
      <c r="O199" s="200">
        <v>0</v>
      </c>
      <c r="P199" s="200">
        <v>0</v>
      </c>
      <c r="Q199" s="200">
        <v>0</v>
      </c>
      <c r="R199" s="200">
        <v>0</v>
      </c>
      <c r="S199" s="200">
        <v>0</v>
      </c>
      <c r="U199" s="200">
        <v>0</v>
      </c>
      <c r="V199" s="217">
        <v>0</v>
      </c>
      <c r="W199" s="200">
        <v>0</v>
      </c>
      <c r="X199" s="217">
        <v>0</v>
      </c>
      <c r="Y199" s="200">
        <v>0</v>
      </c>
      <c r="Z199" s="217">
        <v>0</v>
      </c>
      <c r="AA199" s="200">
        <v>0</v>
      </c>
      <c r="AB199" s="217">
        <v>0</v>
      </c>
      <c r="AC199" s="200">
        <v>0</v>
      </c>
      <c r="AD199" s="217">
        <v>0</v>
      </c>
      <c r="AE199" s="200">
        <v>0</v>
      </c>
      <c r="AF199" s="217"/>
      <c r="AG199" s="200">
        <v>0</v>
      </c>
      <c r="AH199" s="217">
        <v>0</v>
      </c>
      <c r="AI199" s="200">
        <v>0</v>
      </c>
      <c r="AK199" s="217">
        <f>SUM(K199:AI199)</f>
        <v>0</v>
      </c>
      <c r="AM199" s="217"/>
      <c r="AO199" s="200">
        <v>0</v>
      </c>
      <c r="AP199" s="217"/>
      <c r="AQ199" s="217">
        <v>0</v>
      </c>
      <c r="AR199" s="217"/>
      <c r="AS199" s="217">
        <v>162232.94</v>
      </c>
      <c r="AT199" s="217"/>
      <c r="AU199" s="217">
        <f>150000+108779.11</f>
        <v>258779.11</v>
      </c>
      <c r="AV199" s="217"/>
      <c r="AW199" s="217">
        <f>122978.82+184631.15</f>
        <v>307609.96999999997</v>
      </c>
      <c r="AX199" s="217"/>
      <c r="AY199" s="217">
        <v>192998</v>
      </c>
      <c r="AZ199" s="217"/>
      <c r="BA199" s="217">
        <v>213192.12</v>
      </c>
      <c r="BB199" s="217"/>
      <c r="BC199" s="217">
        <v>0</v>
      </c>
      <c r="BD199" s="217"/>
      <c r="BE199" s="217">
        <v>0</v>
      </c>
      <c r="BF199" s="217"/>
      <c r="BG199" s="217">
        <v>47891</v>
      </c>
      <c r="BH199" s="217"/>
      <c r="BI199" s="217">
        <v>0</v>
      </c>
      <c r="BJ199" s="217"/>
      <c r="BK199" s="217">
        <v>0</v>
      </c>
      <c r="BL199" s="217"/>
      <c r="BM199" s="478">
        <f>SUM(AK199:BL199)</f>
        <v>1182703.1400000001</v>
      </c>
      <c r="BO199" s="199">
        <f>+MAX(0,G199-BM199+AM199)</f>
        <v>0</v>
      </c>
      <c r="BQ199" s="199">
        <f>SUM(BM199:BO199)</f>
        <v>1182703.1400000001</v>
      </c>
      <c r="BS199" s="199">
        <f>-BQ199+E199</f>
        <v>-54139.14000000013</v>
      </c>
    </row>
    <row r="200" spans="1:72">
      <c r="B200" s="498" t="s">
        <v>1651</v>
      </c>
      <c r="C200" s="197" t="s">
        <v>285</v>
      </c>
      <c r="D200" s="372"/>
      <c r="E200" s="199">
        <v>0</v>
      </c>
      <c r="F200" s="217"/>
      <c r="G200" s="199">
        <v>0</v>
      </c>
      <c r="H200" s="217"/>
      <c r="I200" s="199">
        <f>G200-E200</f>
        <v>0</v>
      </c>
      <c r="K200" s="200">
        <v>0</v>
      </c>
      <c r="L200" s="200">
        <v>0</v>
      </c>
      <c r="M200" s="200">
        <v>0</v>
      </c>
      <c r="N200" s="200">
        <v>0</v>
      </c>
      <c r="O200" s="200">
        <v>0</v>
      </c>
      <c r="P200" s="200">
        <v>0</v>
      </c>
      <c r="Q200" s="200">
        <v>0</v>
      </c>
      <c r="R200" s="200">
        <v>0</v>
      </c>
      <c r="S200" s="200">
        <v>0</v>
      </c>
      <c r="U200" s="200">
        <v>0</v>
      </c>
      <c r="V200" s="217">
        <v>0</v>
      </c>
      <c r="W200" s="200">
        <v>0</v>
      </c>
      <c r="X200" s="217">
        <v>0</v>
      </c>
      <c r="Y200" s="200">
        <v>0</v>
      </c>
      <c r="Z200" s="217">
        <v>0</v>
      </c>
      <c r="AA200" s="200">
        <v>0</v>
      </c>
      <c r="AB200" s="217">
        <v>0</v>
      </c>
      <c r="AC200" s="200">
        <v>0</v>
      </c>
      <c r="AD200" s="217">
        <v>0</v>
      </c>
      <c r="AE200" s="200">
        <v>0</v>
      </c>
      <c r="AF200" s="217"/>
      <c r="AG200" s="200">
        <v>0</v>
      </c>
      <c r="AH200" s="217">
        <v>0</v>
      </c>
      <c r="AI200" s="200">
        <v>0</v>
      </c>
      <c r="AK200" s="217">
        <f>SUM(K200:AI200)</f>
        <v>0</v>
      </c>
      <c r="AM200" s="217"/>
      <c r="AO200" s="200">
        <v>0</v>
      </c>
      <c r="AP200" s="217"/>
      <c r="AQ200" s="217">
        <v>0</v>
      </c>
      <c r="AR200" s="217"/>
      <c r="AS200" s="217">
        <v>0</v>
      </c>
      <c r="AT200" s="217"/>
      <c r="AU200" s="217">
        <v>0</v>
      </c>
      <c r="AV200" s="217"/>
      <c r="AW200" s="217">
        <v>0</v>
      </c>
      <c r="AX200" s="217"/>
      <c r="AY200" s="217">
        <v>0</v>
      </c>
      <c r="AZ200" s="217"/>
      <c r="BA200" s="217">
        <v>0</v>
      </c>
      <c r="BB200" s="217"/>
      <c r="BC200" s="217">
        <v>0</v>
      </c>
      <c r="BD200" s="217"/>
      <c r="BE200" s="217">
        <v>0</v>
      </c>
      <c r="BF200" s="217"/>
      <c r="BG200" s="217">
        <v>0</v>
      </c>
      <c r="BH200" s="217"/>
      <c r="BI200" s="217">
        <v>0</v>
      </c>
      <c r="BJ200" s="217"/>
      <c r="BK200" s="217">
        <v>0</v>
      </c>
      <c r="BL200" s="217"/>
      <c r="BM200" s="478">
        <f>SUM(AK200:BL200)</f>
        <v>0</v>
      </c>
      <c r="BO200" s="199">
        <f>+MAX(0,G200-BM200+AM200)</f>
        <v>0</v>
      </c>
      <c r="BQ200" s="199">
        <f>SUM(BM200:BO200)</f>
        <v>0</v>
      </c>
      <c r="BS200" s="199">
        <f>-BQ200+E200</f>
        <v>0</v>
      </c>
    </row>
    <row r="201" spans="1:72">
      <c r="B201" s="498" t="s">
        <v>359</v>
      </c>
      <c r="C201" s="197" t="s">
        <v>359</v>
      </c>
      <c r="D201" s="372"/>
      <c r="E201" s="199">
        <v>0</v>
      </c>
      <c r="F201" s="217"/>
      <c r="G201" s="199">
        <v>0</v>
      </c>
      <c r="H201" s="217"/>
      <c r="I201" s="199">
        <f>G201-E201</f>
        <v>0</v>
      </c>
      <c r="K201" s="200">
        <v>0</v>
      </c>
      <c r="L201" s="200">
        <v>0</v>
      </c>
      <c r="M201" s="200">
        <v>0</v>
      </c>
      <c r="N201" s="200">
        <v>0</v>
      </c>
      <c r="O201" s="200">
        <v>0</v>
      </c>
      <c r="P201" s="200">
        <v>0</v>
      </c>
      <c r="Q201" s="200">
        <v>0</v>
      </c>
      <c r="R201" s="200">
        <v>0</v>
      </c>
      <c r="S201" s="200">
        <v>0</v>
      </c>
      <c r="U201" s="200">
        <v>0</v>
      </c>
      <c r="V201" s="217">
        <v>0</v>
      </c>
      <c r="W201" s="200">
        <v>0</v>
      </c>
      <c r="X201" s="217">
        <v>0</v>
      </c>
      <c r="Y201" s="200">
        <v>0</v>
      </c>
      <c r="Z201" s="217">
        <v>0</v>
      </c>
      <c r="AA201" s="200">
        <v>0</v>
      </c>
      <c r="AB201" s="217">
        <v>0</v>
      </c>
      <c r="AC201" s="200">
        <v>0</v>
      </c>
      <c r="AD201" s="217">
        <v>0</v>
      </c>
      <c r="AE201" s="200">
        <v>0</v>
      </c>
      <c r="AF201" s="217"/>
      <c r="AG201" s="200">
        <v>0</v>
      </c>
      <c r="AH201" s="217">
        <v>0</v>
      </c>
      <c r="AI201" s="200">
        <v>0</v>
      </c>
      <c r="AK201" s="217">
        <f>SUM(K201:AI201)</f>
        <v>0</v>
      </c>
      <c r="AM201" s="217"/>
      <c r="AO201" s="200">
        <v>0</v>
      </c>
      <c r="AP201" s="217"/>
      <c r="AQ201" s="217">
        <v>0</v>
      </c>
      <c r="AR201" s="217"/>
      <c r="AS201" s="217">
        <v>0</v>
      </c>
      <c r="AT201" s="217"/>
      <c r="AU201" s="217">
        <v>0</v>
      </c>
      <c r="AV201" s="217"/>
      <c r="AW201" s="217">
        <v>0</v>
      </c>
      <c r="AX201" s="217"/>
      <c r="AY201" s="217">
        <v>0</v>
      </c>
      <c r="AZ201" s="217"/>
      <c r="BA201" s="217">
        <v>0</v>
      </c>
      <c r="BB201" s="217"/>
      <c r="BC201" s="217">
        <v>0</v>
      </c>
      <c r="BD201" s="217"/>
      <c r="BE201" s="217">
        <v>0</v>
      </c>
      <c r="BF201" s="217"/>
      <c r="BG201" s="217"/>
      <c r="BH201" s="217"/>
      <c r="BI201" s="217"/>
      <c r="BJ201" s="217"/>
      <c r="BK201" s="217"/>
      <c r="BL201" s="217"/>
      <c r="BM201" s="478">
        <f>SUM(AK201:BL201)</f>
        <v>0</v>
      </c>
      <c r="BO201" s="199">
        <f>+MAX(0,G201-BM201+AM201)</f>
        <v>0</v>
      </c>
      <c r="BQ201" s="199">
        <f>SUM(BM201:BO201)</f>
        <v>0</v>
      </c>
      <c r="BS201" s="199">
        <f>-BQ201+E201</f>
        <v>0</v>
      </c>
    </row>
    <row r="202" spans="1:72" s="200" customFormat="1">
      <c r="A202" s="223"/>
      <c r="B202" s="375" t="s">
        <v>1652</v>
      </c>
      <c r="C202" s="212"/>
      <c r="D202" s="223"/>
      <c r="E202" s="389">
        <f t="shared" ref="E202:AE202" si="50">SUM(E199:E201)</f>
        <v>1128564</v>
      </c>
      <c r="F202" s="223">
        <f t="shared" si="50"/>
        <v>0</v>
      </c>
      <c r="G202" s="389">
        <f t="shared" si="50"/>
        <v>1182703</v>
      </c>
      <c r="H202" s="223">
        <f t="shared" si="50"/>
        <v>0</v>
      </c>
      <c r="I202" s="389">
        <f t="shared" si="50"/>
        <v>54139</v>
      </c>
      <c r="J202" s="223">
        <f t="shared" si="50"/>
        <v>0</v>
      </c>
      <c r="K202" s="389">
        <f t="shared" si="50"/>
        <v>0</v>
      </c>
      <c r="L202" s="223">
        <f t="shared" si="50"/>
        <v>0</v>
      </c>
      <c r="M202" s="389">
        <f t="shared" si="50"/>
        <v>0</v>
      </c>
      <c r="N202" s="223">
        <f t="shared" si="50"/>
        <v>0</v>
      </c>
      <c r="O202" s="389">
        <f t="shared" si="50"/>
        <v>0</v>
      </c>
      <c r="P202" s="223">
        <f t="shared" si="50"/>
        <v>0</v>
      </c>
      <c r="Q202" s="389">
        <f t="shared" si="50"/>
        <v>0</v>
      </c>
      <c r="R202" s="223">
        <f t="shared" si="50"/>
        <v>0</v>
      </c>
      <c r="S202" s="389">
        <f t="shared" si="50"/>
        <v>0</v>
      </c>
      <c r="T202" s="223">
        <f t="shared" si="50"/>
        <v>0</v>
      </c>
      <c r="U202" s="389">
        <f t="shared" si="50"/>
        <v>0</v>
      </c>
      <c r="V202" s="223">
        <f t="shared" si="50"/>
        <v>0</v>
      </c>
      <c r="W202" s="389">
        <f t="shared" si="50"/>
        <v>0</v>
      </c>
      <c r="X202" s="223">
        <f t="shared" si="50"/>
        <v>0</v>
      </c>
      <c r="Y202" s="389">
        <f t="shared" si="50"/>
        <v>0</v>
      </c>
      <c r="Z202" s="223">
        <f t="shared" si="50"/>
        <v>0</v>
      </c>
      <c r="AA202" s="389">
        <f t="shared" si="50"/>
        <v>0</v>
      </c>
      <c r="AB202" s="223">
        <f t="shared" si="50"/>
        <v>0</v>
      </c>
      <c r="AC202" s="389">
        <f t="shared" si="50"/>
        <v>0</v>
      </c>
      <c r="AD202" s="223">
        <f t="shared" si="50"/>
        <v>0</v>
      </c>
      <c r="AE202" s="389">
        <f t="shared" si="50"/>
        <v>0</v>
      </c>
      <c r="AF202" s="223"/>
      <c r="AG202" s="389">
        <f t="shared" ref="AG202:AO202" si="51">SUM(AG199:AG201)</f>
        <v>0</v>
      </c>
      <c r="AH202" s="223">
        <f t="shared" si="51"/>
        <v>0</v>
      </c>
      <c r="AI202" s="389">
        <f t="shared" si="51"/>
        <v>0</v>
      </c>
      <c r="AJ202" s="223">
        <f t="shared" si="51"/>
        <v>0</v>
      </c>
      <c r="AK202" s="389">
        <f t="shared" si="51"/>
        <v>0</v>
      </c>
      <c r="AL202" s="223">
        <f t="shared" si="51"/>
        <v>0</v>
      </c>
      <c r="AM202" s="389">
        <f t="shared" si="51"/>
        <v>0</v>
      </c>
      <c r="AN202" s="223">
        <f t="shared" si="51"/>
        <v>0</v>
      </c>
      <c r="AO202" s="389">
        <f t="shared" si="51"/>
        <v>0</v>
      </c>
      <c r="AP202" s="223"/>
      <c r="AQ202" s="389">
        <f>SUM(AQ199:AQ201)</f>
        <v>0</v>
      </c>
      <c r="AR202" s="223"/>
      <c r="AS202" s="389">
        <f>SUM(AS199:AS201)</f>
        <v>162232.94</v>
      </c>
      <c r="AT202" s="223"/>
      <c r="AU202" s="389">
        <f>SUM(AU199:AU201)</f>
        <v>258779.11</v>
      </c>
      <c r="AV202" s="223"/>
      <c r="AW202" s="389">
        <f>SUM(AW199:AW201)</f>
        <v>307609.96999999997</v>
      </c>
      <c r="AX202" s="223"/>
      <c r="AY202" s="389">
        <f>SUM(AY199:AY201)</f>
        <v>192998</v>
      </c>
      <c r="AZ202" s="223"/>
      <c r="BA202" s="389">
        <f>SUM(BA199:BA201)</f>
        <v>213192.12</v>
      </c>
      <c r="BB202" s="223"/>
      <c r="BC202" s="389">
        <f>SUM(BC199:BC201)</f>
        <v>0</v>
      </c>
      <c r="BD202" s="223"/>
      <c r="BE202" s="389">
        <f>SUM(BE199:BE201)</f>
        <v>0</v>
      </c>
      <c r="BF202" s="223"/>
      <c r="BG202" s="389">
        <f>SUM(BG199:BG201)</f>
        <v>47891</v>
      </c>
      <c r="BH202" s="223"/>
      <c r="BI202" s="389">
        <f>SUM(BI199:BI201)</f>
        <v>0</v>
      </c>
      <c r="BJ202" s="223"/>
      <c r="BK202" s="389">
        <f>SUM(BK199:BK201)</f>
        <v>0</v>
      </c>
      <c r="BL202" s="223"/>
      <c r="BM202" s="492">
        <f>SUM(BM199:BM201)</f>
        <v>1182703.1400000001</v>
      </c>
      <c r="BN202" s="223"/>
      <c r="BO202" s="209">
        <f>+MAX(0,G202-BM202+AM202)</f>
        <v>0</v>
      </c>
      <c r="BP202" s="223">
        <f>SUM(BP199:BP201)</f>
        <v>0</v>
      </c>
      <c r="BQ202" s="209">
        <f>SUM(BQ199:BQ201)</f>
        <v>1182703.1400000001</v>
      </c>
      <c r="BR202" s="223">
        <f>SUM(BR199:BR201)</f>
        <v>0</v>
      </c>
      <c r="BS202" s="389">
        <f>SUM(BS199:BS201)</f>
        <v>-54139.14000000013</v>
      </c>
      <c r="BT202" s="217"/>
    </row>
    <row r="203" spans="1:72">
      <c r="B203" s="212"/>
      <c r="C203" s="212" t="s">
        <v>411</v>
      </c>
      <c r="D203" s="372"/>
      <c r="K203" s="200"/>
      <c r="L203" s="206"/>
      <c r="M203" s="200"/>
      <c r="O203" s="200"/>
      <c r="Q203" s="200"/>
      <c r="S203" s="200"/>
      <c r="U203" s="200"/>
      <c r="V203" s="217"/>
      <c r="W203" s="200"/>
      <c r="X203" s="206"/>
      <c r="Y203" s="200"/>
      <c r="Z203" s="206"/>
      <c r="AA203" s="200"/>
      <c r="AB203" s="206"/>
      <c r="AC203" s="200"/>
      <c r="AD203" s="206"/>
      <c r="AE203" s="200"/>
      <c r="AF203" s="206"/>
      <c r="AG203" s="200"/>
      <c r="AH203" s="217"/>
      <c r="AI203" s="200"/>
      <c r="AK203" s="200"/>
      <c r="AM203" s="217"/>
      <c r="AO203" s="200"/>
      <c r="AP203" s="217"/>
      <c r="AQ203" s="217"/>
      <c r="AR203" s="217"/>
      <c r="AS203" s="217"/>
      <c r="AT203" s="217"/>
      <c r="AU203" s="217"/>
      <c r="AV203" s="217"/>
      <c r="AW203" s="217"/>
      <c r="AX203" s="217"/>
      <c r="AY203" s="217"/>
      <c r="AZ203" s="217"/>
      <c r="BA203" s="217"/>
      <c r="BB203" s="217"/>
      <c r="BC203" s="217"/>
      <c r="BD203" s="217"/>
      <c r="BE203" s="217"/>
      <c r="BF203" s="217"/>
      <c r="BG203" s="217"/>
      <c r="BH203" s="217"/>
      <c r="BI203" s="217"/>
      <c r="BJ203" s="217"/>
      <c r="BK203" s="217"/>
      <c r="BL203" s="217"/>
      <c r="BM203" s="488"/>
    </row>
    <row r="204" spans="1:72">
      <c r="A204" s="212" t="s">
        <v>1416</v>
      </c>
      <c r="B204" s="212"/>
      <c r="C204" s="212"/>
      <c r="D204" s="372"/>
      <c r="E204" s="221">
        <v>-1128564</v>
      </c>
      <c r="G204" s="221">
        <v>-1182703</v>
      </c>
      <c r="I204" s="221">
        <f>G204-E204</f>
        <v>-54139</v>
      </c>
      <c r="K204" s="200"/>
      <c r="L204" s="206"/>
      <c r="M204" s="200"/>
      <c r="O204" s="200"/>
      <c r="Q204" s="200"/>
      <c r="S204" s="200"/>
      <c r="U204" s="200"/>
      <c r="V204" s="217"/>
      <c r="W204" s="200"/>
      <c r="X204" s="206"/>
      <c r="Y204" s="200"/>
      <c r="Z204" s="206"/>
      <c r="AA204" s="200"/>
      <c r="AB204" s="206"/>
      <c r="AC204" s="200"/>
      <c r="AD204" s="206"/>
      <c r="AE204" s="200"/>
      <c r="AF204" s="206"/>
      <c r="AG204" s="200"/>
      <c r="AH204" s="217"/>
      <c r="AI204" s="200"/>
      <c r="AK204" s="200"/>
      <c r="AM204" s="217"/>
      <c r="AO204" s="200"/>
      <c r="AP204" s="217"/>
      <c r="AQ204" s="217"/>
      <c r="AR204" s="217"/>
      <c r="AS204" s="223">
        <f>-162232.94-65537</f>
        <v>-227769.94</v>
      </c>
      <c r="AT204" s="217"/>
      <c r="AU204" s="223">
        <v>-258779.11</v>
      </c>
      <c r="AV204" s="223"/>
      <c r="AW204" s="223">
        <v>-307610</v>
      </c>
      <c r="AX204" s="223"/>
      <c r="AY204" s="223">
        <v>-192998</v>
      </c>
      <c r="AZ204" s="217"/>
      <c r="BA204" s="223">
        <v>-213192</v>
      </c>
      <c r="BB204" s="217"/>
      <c r="BC204" s="223">
        <v>0</v>
      </c>
      <c r="BD204" s="223"/>
      <c r="BE204" s="223">
        <v>0</v>
      </c>
      <c r="BF204" s="223"/>
      <c r="BG204" s="223">
        <v>0</v>
      </c>
      <c r="BH204" s="223"/>
      <c r="BI204" s="223">
        <v>0</v>
      </c>
      <c r="BJ204" s="223"/>
      <c r="BK204" s="223">
        <v>0</v>
      </c>
      <c r="BL204" s="217"/>
      <c r="BM204" s="440">
        <f>SUM(AK204:BL204)</f>
        <v>-1200349.05</v>
      </c>
      <c r="BO204" s="221">
        <v>0</v>
      </c>
      <c r="BQ204" s="221">
        <f>SUM(BM204:BO204)</f>
        <v>-1200349.05</v>
      </c>
      <c r="BS204" s="348">
        <f>+E204-BQ204</f>
        <v>71785.050000000047</v>
      </c>
    </row>
    <row r="205" spans="1:72">
      <c r="A205" s="383"/>
      <c r="B205" s="197"/>
      <c r="C205" s="187"/>
      <c r="D205" s="187"/>
      <c r="K205" s="199"/>
      <c r="L205" s="206"/>
      <c r="M205" s="199"/>
      <c r="O205" s="199"/>
      <c r="Q205" s="199"/>
      <c r="S205" s="199"/>
      <c r="U205" s="199"/>
      <c r="V205" s="206"/>
      <c r="W205" s="199"/>
      <c r="X205" s="206"/>
      <c r="Y205" s="199"/>
      <c r="Z205" s="206"/>
      <c r="AA205" s="199"/>
      <c r="AB205" s="206"/>
      <c r="AC205" s="199"/>
      <c r="AD205" s="206"/>
      <c r="AE205" s="199"/>
      <c r="AF205" s="206"/>
      <c r="AM205" s="206"/>
      <c r="BM205" s="440"/>
      <c r="BQ205" s="221"/>
      <c r="BS205" s="348"/>
    </row>
    <row r="206" spans="1:72" s="221" customFormat="1">
      <c r="A206" s="212" t="s">
        <v>263</v>
      </c>
      <c r="B206" s="225"/>
      <c r="E206" s="221">
        <v>1000000</v>
      </c>
      <c r="F206" s="225"/>
      <c r="G206" s="222">
        <v>977990</v>
      </c>
      <c r="H206" s="225"/>
      <c r="I206" s="221">
        <f>+G206-E206</f>
        <v>-22010</v>
      </c>
      <c r="J206" s="225"/>
      <c r="K206" s="221">
        <v>0</v>
      </c>
      <c r="L206" s="225"/>
      <c r="M206" s="221">
        <v>0</v>
      </c>
      <c r="N206" s="225"/>
      <c r="O206" s="221">
        <v>0</v>
      </c>
      <c r="P206" s="225"/>
      <c r="Q206" s="221">
        <v>0</v>
      </c>
      <c r="R206" s="225"/>
      <c r="S206" s="221">
        <v>0</v>
      </c>
      <c r="T206" s="223"/>
      <c r="U206" s="221">
        <v>0</v>
      </c>
      <c r="V206" s="225"/>
      <c r="W206" s="221">
        <v>0</v>
      </c>
      <c r="X206" s="225"/>
      <c r="Y206" s="221">
        <v>0</v>
      </c>
      <c r="Z206" s="225"/>
      <c r="AA206" s="221">
        <v>0</v>
      </c>
      <c r="AB206" s="225"/>
      <c r="AC206" s="221">
        <v>0</v>
      </c>
      <c r="AD206" s="225"/>
      <c r="AE206" s="221">
        <v>977990</v>
      </c>
      <c r="AF206" s="225"/>
      <c r="AG206" s="221">
        <v>0</v>
      </c>
      <c r="AH206" s="225"/>
      <c r="AI206" s="221">
        <v>0</v>
      </c>
      <c r="AJ206" s="225"/>
      <c r="AK206" s="221">
        <f>SUM(K206:AJ206)</f>
        <v>977990</v>
      </c>
      <c r="AL206" s="225"/>
      <c r="AM206" s="225">
        <v>0</v>
      </c>
      <c r="AN206" s="225"/>
      <c r="AO206" s="221">
        <v>0</v>
      </c>
      <c r="AP206" s="225"/>
      <c r="AQ206" s="225">
        <v>0</v>
      </c>
      <c r="AR206" s="225"/>
      <c r="AS206" s="225">
        <v>0</v>
      </c>
      <c r="AT206" s="225"/>
      <c r="AU206" s="225">
        <v>0</v>
      </c>
      <c r="AV206" s="225"/>
      <c r="AW206" s="225">
        <v>0</v>
      </c>
      <c r="AX206" s="225"/>
      <c r="AY206" s="225">
        <v>0</v>
      </c>
      <c r="AZ206" s="225"/>
      <c r="BA206" s="225">
        <v>0</v>
      </c>
      <c r="BB206" s="225"/>
      <c r="BC206" s="225">
        <v>0</v>
      </c>
      <c r="BD206" s="225"/>
      <c r="BE206" s="225">
        <v>0</v>
      </c>
      <c r="BF206" s="225"/>
      <c r="BG206" s="225">
        <v>0</v>
      </c>
      <c r="BH206" s="225"/>
      <c r="BI206" s="225">
        <v>0</v>
      </c>
      <c r="BJ206" s="225"/>
      <c r="BK206" s="225">
        <v>0</v>
      </c>
      <c r="BL206" s="225"/>
      <c r="BM206" s="440">
        <f>SUM(AK206:BL206)</f>
        <v>977990</v>
      </c>
      <c r="BN206" s="225"/>
      <c r="BO206" s="221">
        <v>0</v>
      </c>
      <c r="BP206" s="225"/>
      <c r="BQ206" s="221">
        <f>SUM(BM206:BO206)</f>
        <v>977990</v>
      </c>
      <c r="BR206" s="225"/>
      <c r="BS206" s="360">
        <f>+E206-BQ206</f>
        <v>22010</v>
      </c>
      <c r="BT206" s="225"/>
    </row>
    <row r="207" spans="1:72">
      <c r="A207" s="383"/>
      <c r="B207" s="197"/>
      <c r="C207" s="187"/>
      <c r="D207" s="187"/>
      <c r="G207" s="200"/>
      <c r="K207" s="199"/>
      <c r="L207" s="206"/>
      <c r="M207" s="199"/>
      <c r="O207" s="199"/>
      <c r="Q207" s="199"/>
      <c r="S207" s="199"/>
      <c r="U207" s="199"/>
      <c r="V207" s="206"/>
      <c r="W207" s="199"/>
      <c r="X207" s="206"/>
      <c r="Y207" s="199"/>
      <c r="Z207" s="206"/>
      <c r="AA207" s="199"/>
      <c r="AB207" s="206"/>
      <c r="AC207" s="199"/>
      <c r="AD207" s="206"/>
      <c r="AE207" s="199"/>
      <c r="AF207" s="206"/>
      <c r="AM207" s="206"/>
      <c r="BM207" s="440"/>
      <c r="BS207" s="360"/>
    </row>
    <row r="208" spans="1:72" hidden="1">
      <c r="A208" s="212" t="s">
        <v>264</v>
      </c>
      <c r="B208" s="206"/>
      <c r="C208" s="187"/>
      <c r="D208" s="187"/>
      <c r="G208" s="200"/>
      <c r="I208" s="221">
        <f>+G208-E208</f>
        <v>0</v>
      </c>
      <c r="K208" s="199"/>
      <c r="L208" s="206"/>
      <c r="M208" s="199"/>
      <c r="O208" s="199"/>
      <c r="Q208" s="199"/>
      <c r="S208" s="199"/>
      <c r="U208" s="199"/>
      <c r="V208" s="206"/>
      <c r="W208" s="199"/>
      <c r="X208" s="206"/>
      <c r="Y208" s="199"/>
      <c r="Z208" s="206"/>
      <c r="AA208" s="199"/>
      <c r="AB208" s="206"/>
      <c r="AC208" s="199"/>
      <c r="AD208" s="206"/>
      <c r="AE208" s="199"/>
      <c r="AF208" s="206"/>
      <c r="AK208" s="221">
        <f>SUM(K208:AJ208)</f>
        <v>0</v>
      </c>
      <c r="AM208" s="206"/>
      <c r="AO208" s="221">
        <v>0</v>
      </c>
      <c r="AP208" s="225"/>
      <c r="AQ208" s="225">
        <v>0</v>
      </c>
      <c r="AR208" s="225"/>
      <c r="AS208" s="225">
        <v>0</v>
      </c>
      <c r="AT208" s="225"/>
      <c r="AU208" s="225">
        <v>0</v>
      </c>
      <c r="AV208" s="225"/>
      <c r="AW208" s="225">
        <v>0</v>
      </c>
      <c r="AX208" s="225"/>
      <c r="AY208" s="225">
        <v>0</v>
      </c>
      <c r="AZ208" s="225"/>
      <c r="BA208" s="225">
        <v>0</v>
      </c>
      <c r="BB208" s="225"/>
      <c r="BC208" s="225">
        <v>0</v>
      </c>
      <c r="BD208" s="225"/>
      <c r="BE208" s="225">
        <v>0</v>
      </c>
      <c r="BF208" s="225"/>
      <c r="BG208" s="225">
        <v>0</v>
      </c>
      <c r="BH208" s="225"/>
      <c r="BI208" s="225">
        <v>0</v>
      </c>
      <c r="BJ208" s="225"/>
      <c r="BK208" s="225">
        <v>0</v>
      </c>
      <c r="BL208" s="225"/>
      <c r="BM208" s="440">
        <f>SUM(AK208:BB208)</f>
        <v>0</v>
      </c>
      <c r="BN208" s="225"/>
      <c r="BO208" s="199">
        <f>+MAX(0,G208-BM208+AM208)</f>
        <v>0</v>
      </c>
      <c r="BP208" s="225"/>
      <c r="BQ208" s="199">
        <f>SUM(BM208:BO208)</f>
        <v>0</v>
      </c>
      <c r="BR208" s="225"/>
      <c r="BS208" s="360">
        <f>+E208-BQ208</f>
        <v>0</v>
      </c>
    </row>
    <row r="209" spans="1:72" hidden="1">
      <c r="A209" s="212"/>
      <c r="B209" s="206" t="s">
        <v>265</v>
      </c>
      <c r="C209" s="187"/>
      <c r="D209" s="187"/>
      <c r="E209" s="199">
        <v>0</v>
      </c>
      <c r="G209" s="200">
        <v>0</v>
      </c>
      <c r="K209" s="199">
        <v>0</v>
      </c>
      <c r="L209" s="206"/>
      <c r="M209" s="199">
        <v>0</v>
      </c>
      <c r="O209" s="199">
        <v>0</v>
      </c>
      <c r="Q209" s="199">
        <v>0</v>
      </c>
      <c r="S209" s="199">
        <v>0</v>
      </c>
      <c r="U209" s="199">
        <v>0</v>
      </c>
      <c r="V209" s="206"/>
      <c r="W209" s="199">
        <v>0</v>
      </c>
      <c r="X209" s="206"/>
      <c r="Y209" s="199">
        <v>0</v>
      </c>
      <c r="Z209" s="206"/>
      <c r="AA209" s="199">
        <v>0</v>
      </c>
      <c r="AB209" s="206"/>
      <c r="AC209" s="199">
        <v>0</v>
      </c>
      <c r="AD209" s="206"/>
      <c r="AE209" s="199">
        <v>0</v>
      </c>
      <c r="AF209" s="206"/>
      <c r="AG209" s="199">
        <v>0</v>
      </c>
      <c r="AI209" s="199">
        <v>0</v>
      </c>
      <c r="AM209" s="206">
        <v>0</v>
      </c>
      <c r="BM209" s="440"/>
      <c r="BS209" s="360"/>
    </row>
    <row r="210" spans="1:72" hidden="1">
      <c r="A210" s="212"/>
      <c r="B210" s="206" t="s">
        <v>266</v>
      </c>
      <c r="C210" s="187"/>
      <c r="D210" s="187"/>
      <c r="E210" s="199">
        <v>0</v>
      </c>
      <c r="G210" s="200">
        <v>0</v>
      </c>
      <c r="I210" s="221">
        <f>+G210-E210</f>
        <v>0</v>
      </c>
      <c r="K210" s="199">
        <v>0</v>
      </c>
      <c r="L210" s="206"/>
      <c r="M210" s="199">
        <v>0</v>
      </c>
      <c r="O210" s="199">
        <v>0</v>
      </c>
      <c r="Q210" s="199">
        <v>0</v>
      </c>
      <c r="S210" s="199">
        <v>0</v>
      </c>
      <c r="U210" s="199">
        <v>0</v>
      </c>
      <c r="V210" s="206"/>
      <c r="W210" s="199">
        <v>0</v>
      </c>
      <c r="X210" s="206"/>
      <c r="Y210" s="199">
        <v>0</v>
      </c>
      <c r="Z210" s="206"/>
      <c r="AA210" s="199">
        <v>0</v>
      </c>
      <c r="AB210" s="206"/>
      <c r="AC210" s="199">
        <v>0</v>
      </c>
      <c r="AD210" s="206"/>
      <c r="AE210" s="199">
        <v>0</v>
      </c>
      <c r="AF210" s="206"/>
      <c r="AG210" s="199">
        <v>0</v>
      </c>
      <c r="AI210" s="199">
        <v>0</v>
      </c>
      <c r="AK210" s="221">
        <f>SUM(K210:AJ210)</f>
        <v>0</v>
      </c>
      <c r="AM210" s="206">
        <v>0</v>
      </c>
      <c r="AO210" s="221">
        <v>0</v>
      </c>
      <c r="AP210" s="225"/>
      <c r="AQ210" s="225">
        <v>0</v>
      </c>
      <c r="AR210" s="225"/>
      <c r="AS210" s="225">
        <v>0</v>
      </c>
      <c r="AT210" s="225"/>
      <c r="AU210" s="225">
        <v>0</v>
      </c>
      <c r="AV210" s="225"/>
      <c r="AW210" s="225">
        <v>0</v>
      </c>
      <c r="AX210" s="225"/>
      <c r="AY210" s="225">
        <v>0</v>
      </c>
      <c r="AZ210" s="225"/>
      <c r="BA210" s="225">
        <v>0</v>
      </c>
      <c r="BB210" s="225"/>
      <c r="BC210" s="225">
        <v>0</v>
      </c>
      <c r="BD210" s="225"/>
      <c r="BE210" s="225">
        <v>0</v>
      </c>
      <c r="BF210" s="225"/>
      <c r="BG210" s="225">
        <v>0</v>
      </c>
      <c r="BH210" s="225"/>
      <c r="BI210" s="225">
        <v>0</v>
      </c>
      <c r="BJ210" s="225"/>
      <c r="BK210" s="225">
        <v>0</v>
      </c>
      <c r="BL210" s="225"/>
      <c r="BM210" s="440">
        <f>SUM(AK210:BB210)</f>
        <v>0</v>
      </c>
      <c r="BN210" s="225"/>
      <c r="BO210" s="199">
        <f>+MAX(0,G210-BM210+AM210)</f>
        <v>0</v>
      </c>
      <c r="BP210" s="225"/>
      <c r="BQ210" s="199">
        <f>SUM(BM210:BO210)</f>
        <v>0</v>
      </c>
      <c r="BR210" s="225"/>
      <c r="BS210" s="360">
        <f>+E210-BQ210</f>
        <v>0</v>
      </c>
    </row>
    <row r="211" spans="1:72" hidden="1">
      <c r="A211" s="212"/>
      <c r="B211" s="206" t="s">
        <v>308</v>
      </c>
      <c r="C211" s="187"/>
      <c r="D211" s="187"/>
      <c r="E211" s="199">
        <v>0</v>
      </c>
      <c r="G211" s="200">
        <v>0</v>
      </c>
      <c r="K211" s="199">
        <v>0</v>
      </c>
      <c r="L211" s="206"/>
      <c r="M211" s="199">
        <v>0</v>
      </c>
      <c r="O211" s="199">
        <v>0</v>
      </c>
      <c r="Q211" s="199">
        <v>0</v>
      </c>
      <c r="S211" s="199">
        <v>0</v>
      </c>
      <c r="U211" s="199">
        <v>0</v>
      </c>
      <c r="V211" s="206"/>
      <c r="W211" s="199">
        <v>0</v>
      </c>
      <c r="X211" s="206"/>
      <c r="Y211" s="199">
        <v>0</v>
      </c>
      <c r="Z211" s="206"/>
      <c r="AA211" s="199">
        <v>0</v>
      </c>
      <c r="AB211" s="206"/>
      <c r="AC211" s="199">
        <v>0</v>
      </c>
      <c r="AD211" s="206"/>
      <c r="AE211" s="199">
        <v>0</v>
      </c>
      <c r="AF211" s="206"/>
      <c r="AG211" s="199">
        <v>0</v>
      </c>
      <c r="AI211" s="199">
        <v>0</v>
      </c>
      <c r="AM211" s="206">
        <v>0</v>
      </c>
      <c r="BM211" s="440"/>
      <c r="BS211" s="360"/>
    </row>
    <row r="212" spans="1:72" hidden="1">
      <c r="A212" s="212"/>
      <c r="B212" s="206" t="s">
        <v>359</v>
      </c>
      <c r="C212" s="187"/>
      <c r="D212" s="187"/>
      <c r="E212" s="199">
        <v>0</v>
      </c>
      <c r="G212" s="200">
        <v>0</v>
      </c>
      <c r="I212" s="221">
        <f>+G212-E212</f>
        <v>0</v>
      </c>
      <c r="K212" s="199">
        <v>0</v>
      </c>
      <c r="L212" s="206"/>
      <c r="M212" s="199">
        <v>0</v>
      </c>
      <c r="O212" s="199">
        <v>0</v>
      </c>
      <c r="Q212" s="199">
        <v>0</v>
      </c>
      <c r="S212" s="199">
        <v>0</v>
      </c>
      <c r="U212" s="199">
        <v>0</v>
      </c>
      <c r="V212" s="206"/>
      <c r="W212" s="199">
        <v>0</v>
      </c>
      <c r="X212" s="206"/>
      <c r="Y212" s="199">
        <v>0</v>
      </c>
      <c r="Z212" s="206"/>
      <c r="AA212" s="199">
        <v>0</v>
      </c>
      <c r="AB212" s="206"/>
      <c r="AC212" s="199">
        <v>0</v>
      </c>
      <c r="AD212" s="206"/>
      <c r="AE212" s="199">
        <v>0</v>
      </c>
      <c r="AF212" s="206"/>
      <c r="AG212" s="199">
        <v>0</v>
      </c>
      <c r="AI212" s="199">
        <v>0</v>
      </c>
      <c r="AK212" s="221">
        <f>SUM(K212:AJ212)</f>
        <v>0</v>
      </c>
      <c r="AM212" s="206">
        <v>0</v>
      </c>
      <c r="AO212" s="221">
        <v>0</v>
      </c>
      <c r="AP212" s="225"/>
      <c r="AQ212" s="225">
        <v>0</v>
      </c>
      <c r="AR212" s="225"/>
      <c r="AS212" s="225">
        <v>0</v>
      </c>
      <c r="AT212" s="225"/>
      <c r="AU212" s="225">
        <v>0</v>
      </c>
      <c r="AV212" s="225"/>
      <c r="AW212" s="225">
        <v>0</v>
      </c>
      <c r="AX212" s="225"/>
      <c r="AY212" s="225">
        <v>0</v>
      </c>
      <c r="AZ212" s="225"/>
      <c r="BA212" s="225">
        <v>0</v>
      </c>
      <c r="BB212" s="225"/>
      <c r="BC212" s="225">
        <v>0</v>
      </c>
      <c r="BD212" s="225"/>
      <c r="BE212" s="225">
        <v>0</v>
      </c>
      <c r="BF212" s="225"/>
      <c r="BG212" s="225">
        <v>0</v>
      </c>
      <c r="BH212" s="225"/>
      <c r="BI212" s="225">
        <v>0</v>
      </c>
      <c r="BJ212" s="225"/>
      <c r="BK212" s="225">
        <v>0</v>
      </c>
      <c r="BL212" s="225"/>
      <c r="BM212" s="440">
        <f>SUM(AK212:BB212)</f>
        <v>0</v>
      </c>
      <c r="BN212" s="225"/>
      <c r="BO212" s="199">
        <f>+MAX(0,G212-BM212+AM212)</f>
        <v>0</v>
      </c>
      <c r="BP212" s="225"/>
      <c r="BQ212" s="199">
        <f>SUM(BM212:BO212)</f>
        <v>0</v>
      </c>
      <c r="BR212" s="225"/>
      <c r="BS212" s="360">
        <f>+E212-BQ212</f>
        <v>0</v>
      </c>
    </row>
    <row r="213" spans="1:72" hidden="1">
      <c r="A213" s="212"/>
      <c r="B213" s="206"/>
      <c r="C213" s="187"/>
      <c r="D213" s="187"/>
      <c r="G213" s="200"/>
      <c r="K213" s="199"/>
      <c r="L213" s="206"/>
      <c r="M213" s="199"/>
      <c r="O213" s="199"/>
      <c r="Q213" s="199"/>
      <c r="S213" s="199"/>
      <c r="U213" s="199"/>
      <c r="V213" s="206"/>
      <c r="W213" s="199"/>
      <c r="X213" s="206"/>
      <c r="Y213" s="199"/>
      <c r="Z213" s="206"/>
      <c r="AA213" s="199"/>
      <c r="AB213" s="206"/>
      <c r="AC213" s="199"/>
      <c r="AD213" s="206"/>
      <c r="AE213" s="199"/>
      <c r="AF213" s="206"/>
      <c r="AM213" s="206"/>
      <c r="BM213" s="440"/>
      <c r="BS213" s="360"/>
    </row>
    <row r="214" spans="1:72" s="221" customFormat="1" hidden="1">
      <c r="A214" s="212"/>
      <c r="B214" s="225" t="s">
        <v>415</v>
      </c>
      <c r="E214" s="224">
        <f>SUM(E209:E213)</f>
        <v>0</v>
      </c>
      <c r="F214" s="225"/>
      <c r="G214" s="389">
        <v>0</v>
      </c>
      <c r="H214" s="225"/>
      <c r="I214" s="221">
        <f>+G214-E214</f>
        <v>0</v>
      </c>
      <c r="J214" s="225"/>
      <c r="K214" s="224">
        <f>SUM(K209:K213)</f>
        <v>0</v>
      </c>
      <c r="L214" s="225"/>
      <c r="M214" s="224">
        <f>SUM(M209:M213)</f>
        <v>0</v>
      </c>
      <c r="N214" s="225"/>
      <c r="O214" s="224">
        <f>SUM(O209:O213)</f>
        <v>0</v>
      </c>
      <c r="P214" s="225"/>
      <c r="Q214" s="224">
        <f>SUM(Q209:Q213)</f>
        <v>0</v>
      </c>
      <c r="R214" s="225"/>
      <c r="S214" s="224">
        <f>SUM(S209:S213)</f>
        <v>0</v>
      </c>
      <c r="T214" s="223"/>
      <c r="U214" s="224">
        <f>SUM(U209:U213)</f>
        <v>0</v>
      </c>
      <c r="V214" s="225"/>
      <c r="W214" s="224">
        <f>SUM(W209:W213)</f>
        <v>0</v>
      </c>
      <c r="X214" s="225"/>
      <c r="Y214" s="224">
        <f>SUM(Y209:Y213)</f>
        <v>0</v>
      </c>
      <c r="Z214" s="225"/>
      <c r="AA214" s="224">
        <f>SUM(AA209:AA213)</f>
        <v>0</v>
      </c>
      <c r="AB214" s="225"/>
      <c r="AC214" s="224">
        <f>SUM(AC209:AC213)</f>
        <v>0</v>
      </c>
      <c r="AD214" s="225"/>
      <c r="AE214" s="224">
        <f>SUM(AE209:AE213)</f>
        <v>0</v>
      </c>
      <c r="AF214" s="225"/>
      <c r="AG214" s="224">
        <f>SUM(AG209:AG213)</f>
        <v>0</v>
      </c>
      <c r="AH214" s="225"/>
      <c r="AI214" s="224">
        <f>SUM(AI209:AI213)</f>
        <v>0</v>
      </c>
      <c r="AJ214" s="225"/>
      <c r="AK214" s="221">
        <f>SUM(K214:AJ214)</f>
        <v>0</v>
      </c>
      <c r="AL214" s="225"/>
      <c r="AM214" s="225">
        <f>SUM(AM209:AM213)</f>
        <v>0</v>
      </c>
      <c r="AN214" s="225"/>
      <c r="AO214" s="221">
        <v>0</v>
      </c>
      <c r="AP214" s="225"/>
      <c r="AQ214" s="225">
        <v>0</v>
      </c>
      <c r="AR214" s="225"/>
      <c r="AS214" s="225">
        <v>0</v>
      </c>
      <c r="AT214" s="225"/>
      <c r="AU214" s="225">
        <v>0</v>
      </c>
      <c r="AV214" s="225"/>
      <c r="AW214" s="225">
        <v>0</v>
      </c>
      <c r="AX214" s="225"/>
      <c r="AY214" s="225">
        <v>0</v>
      </c>
      <c r="AZ214" s="225"/>
      <c r="BA214" s="225">
        <v>0</v>
      </c>
      <c r="BB214" s="225"/>
      <c r="BC214" s="225">
        <v>0</v>
      </c>
      <c r="BD214" s="225"/>
      <c r="BE214" s="225">
        <v>0</v>
      </c>
      <c r="BF214" s="225"/>
      <c r="BG214" s="225">
        <v>0</v>
      </c>
      <c r="BH214" s="225"/>
      <c r="BI214" s="225">
        <v>0</v>
      </c>
      <c r="BJ214" s="225"/>
      <c r="BK214" s="225">
        <v>0</v>
      </c>
      <c r="BL214" s="225"/>
      <c r="BM214" s="440">
        <f>SUM(AK214:BB214)</f>
        <v>0</v>
      </c>
      <c r="BN214" s="225"/>
      <c r="BO214" s="199">
        <f>+MAX(0,G214-BM214+AM214)</f>
        <v>0</v>
      </c>
      <c r="BP214" s="225"/>
      <c r="BQ214" s="199">
        <f>SUM(BM214:BO214)</f>
        <v>0</v>
      </c>
      <c r="BR214" s="225"/>
      <c r="BS214" s="360">
        <f>+E214-BQ214</f>
        <v>0</v>
      </c>
      <c r="BT214" s="225"/>
    </row>
    <row r="215" spans="1:72" hidden="1">
      <c r="A215" s="383"/>
      <c r="B215" s="197"/>
      <c r="C215" s="187"/>
      <c r="D215" s="187"/>
      <c r="G215" s="200"/>
      <c r="K215" s="199"/>
      <c r="L215" s="206"/>
      <c r="M215" s="199"/>
      <c r="O215" s="199"/>
      <c r="Q215" s="199"/>
      <c r="S215" s="199"/>
      <c r="U215" s="199"/>
      <c r="V215" s="206"/>
      <c r="W215" s="199"/>
      <c r="X215" s="206"/>
      <c r="Y215" s="199"/>
      <c r="Z215" s="206"/>
      <c r="AA215" s="199"/>
      <c r="AB215" s="206"/>
      <c r="AC215" s="199"/>
      <c r="AD215" s="206"/>
      <c r="AE215" s="199"/>
      <c r="AF215" s="206"/>
      <c r="AM215" s="206"/>
      <c r="BM215" s="440"/>
      <c r="BS215" s="360"/>
    </row>
    <row r="216" spans="1:72" s="225" customFormat="1">
      <c r="A216" s="212" t="s">
        <v>267</v>
      </c>
      <c r="E216" s="225">
        <v>250000</v>
      </c>
      <c r="G216" s="222">
        <v>257000</v>
      </c>
      <c r="I216" s="221">
        <f>+G216-E216</f>
        <v>7000</v>
      </c>
      <c r="K216" s="225">
        <v>0</v>
      </c>
      <c r="M216" s="225">
        <v>0</v>
      </c>
      <c r="O216" s="225">
        <v>0</v>
      </c>
      <c r="Q216" s="225">
        <v>0</v>
      </c>
      <c r="S216" s="225">
        <v>0</v>
      </c>
      <c r="T216" s="223"/>
      <c r="U216" s="225">
        <v>0</v>
      </c>
      <c r="W216" s="225">
        <v>0</v>
      </c>
      <c r="Y216" s="225">
        <v>0</v>
      </c>
      <c r="AA216" s="225">
        <v>0</v>
      </c>
      <c r="AC216" s="225">
        <v>0</v>
      </c>
      <c r="AE216" s="225">
        <v>0</v>
      </c>
      <c r="AG216" s="225">
        <v>0</v>
      </c>
      <c r="AI216" s="225">
        <v>0</v>
      </c>
      <c r="AK216" s="221">
        <f>SUM(K216:AJ216)</f>
        <v>0</v>
      </c>
      <c r="AM216" s="225">
        <v>0</v>
      </c>
      <c r="AO216" s="225">
        <v>0</v>
      </c>
      <c r="AQ216" s="225">
        <v>0</v>
      </c>
      <c r="AS216" s="225">
        <v>0</v>
      </c>
      <c r="AU216" s="225">
        <v>0</v>
      </c>
      <c r="AW216" s="225">
        <v>0</v>
      </c>
      <c r="AY216" s="225">
        <f>152853.97</f>
        <v>152853.97</v>
      </c>
      <c r="BA216" s="225">
        <v>0</v>
      </c>
      <c r="BC216" s="225">
        <v>0</v>
      </c>
      <c r="BE216" s="225">
        <v>0</v>
      </c>
      <c r="BG216" s="225">
        <v>0</v>
      </c>
      <c r="BI216" s="225">
        <v>0</v>
      </c>
      <c r="BK216" s="225">
        <v>0</v>
      </c>
      <c r="BM216" s="440">
        <f t="shared" ref="BM216:BM224" si="52">SUM(AK216:BL216)</f>
        <v>152853.97</v>
      </c>
      <c r="BO216" s="221">
        <f>+MAX(0,G216-BM216+AM216)</f>
        <v>104146.03</v>
      </c>
      <c r="BQ216" s="221">
        <f>SUM(BM216:BO216)</f>
        <v>257000</v>
      </c>
      <c r="BS216" s="360">
        <f>+E216-BQ216</f>
        <v>-7000</v>
      </c>
    </row>
    <row r="217" spans="1:72" ht="12" customHeight="1">
      <c r="A217" s="383"/>
      <c r="B217" s="197"/>
      <c r="C217" s="187"/>
      <c r="D217" s="187"/>
      <c r="G217" s="200"/>
      <c r="K217" s="199"/>
      <c r="L217" s="206"/>
      <c r="M217" s="199"/>
      <c r="O217" s="199"/>
      <c r="Q217" s="199"/>
      <c r="S217" s="199"/>
      <c r="U217" s="199"/>
      <c r="V217" s="206"/>
      <c r="W217" s="199"/>
      <c r="X217" s="206"/>
      <c r="Y217" s="199"/>
      <c r="Z217" s="206"/>
      <c r="AA217" s="199"/>
      <c r="AB217" s="206"/>
      <c r="AC217" s="199"/>
      <c r="AD217" s="206"/>
      <c r="AE217" s="199"/>
      <c r="AF217" s="206"/>
      <c r="AM217" s="206"/>
      <c r="BM217" s="440"/>
      <c r="BS217" s="360"/>
    </row>
    <row r="218" spans="1:72" s="225" customFormat="1">
      <c r="A218" s="212" t="s">
        <v>268</v>
      </c>
      <c r="E218" s="225">
        <v>400000</v>
      </c>
      <c r="G218" s="222">
        <v>477787</v>
      </c>
      <c r="I218" s="225">
        <f>+G218-E218</f>
        <v>77787</v>
      </c>
      <c r="K218" s="225">
        <v>0</v>
      </c>
      <c r="M218" s="225">
        <v>0</v>
      </c>
      <c r="O218" s="225">
        <v>0</v>
      </c>
      <c r="Q218" s="225">
        <v>0</v>
      </c>
      <c r="S218" s="225">
        <v>0</v>
      </c>
      <c r="T218" s="223"/>
      <c r="U218" s="225">
        <v>0</v>
      </c>
      <c r="W218" s="225">
        <v>0</v>
      </c>
      <c r="Y218" s="225">
        <v>0</v>
      </c>
      <c r="AA218" s="225">
        <v>0</v>
      </c>
      <c r="AC218" s="225">
        <v>0</v>
      </c>
      <c r="AE218" s="225">
        <v>0</v>
      </c>
      <c r="AG218" s="225">
        <v>0</v>
      </c>
      <c r="AI218" s="225">
        <v>0</v>
      </c>
      <c r="AK218" s="225">
        <f>SUM(K218:AJ218)</f>
        <v>0</v>
      </c>
      <c r="AM218" s="225">
        <v>0</v>
      </c>
      <c r="AO218" s="225">
        <v>0</v>
      </c>
      <c r="AQ218" s="225">
        <v>407787</v>
      </c>
      <c r="AS218" s="225">
        <v>70000</v>
      </c>
      <c r="AU218" s="225">
        <v>0</v>
      </c>
      <c r="AW218" s="225">
        <v>0</v>
      </c>
      <c r="AY218" s="225">
        <v>0</v>
      </c>
      <c r="BA218" s="225">
        <v>0</v>
      </c>
      <c r="BC218" s="225">
        <v>0</v>
      </c>
      <c r="BE218" s="225">
        <v>0</v>
      </c>
      <c r="BG218" s="225">
        <v>0</v>
      </c>
      <c r="BI218" s="225">
        <v>0</v>
      </c>
      <c r="BK218" s="225">
        <v>0</v>
      </c>
      <c r="BM218" s="440">
        <f t="shared" si="52"/>
        <v>477787</v>
      </c>
      <c r="BO218" s="221">
        <f>+MAX(0,G218-BM218+AM218)</f>
        <v>0</v>
      </c>
      <c r="BQ218" s="221">
        <f>SUM(BM218:BO218)</f>
        <v>477787</v>
      </c>
      <c r="BS218" s="360">
        <f>+E218-BQ218</f>
        <v>-77787</v>
      </c>
    </row>
    <row r="219" spans="1:72" s="225" customFormat="1">
      <c r="A219" s="212"/>
      <c r="G219" s="222"/>
      <c r="T219" s="223"/>
      <c r="BM219" s="440"/>
      <c r="BQ219" s="221"/>
      <c r="BS219" s="360"/>
    </row>
    <row r="220" spans="1:72" s="222" customFormat="1">
      <c r="A220" s="223" t="s">
        <v>538</v>
      </c>
      <c r="B220" s="220"/>
      <c r="C220" s="221"/>
      <c r="D220" s="221"/>
      <c r="E220" s="222">
        <v>400000</v>
      </c>
      <c r="F220" s="223"/>
      <c r="G220" s="222">
        <v>0</v>
      </c>
      <c r="H220" s="223"/>
      <c r="I220" s="222">
        <f>+G220-E220</f>
        <v>-400000</v>
      </c>
      <c r="J220" s="223"/>
      <c r="K220" s="222">
        <v>0</v>
      </c>
      <c r="L220" s="223"/>
      <c r="M220" s="222">
        <v>0</v>
      </c>
      <c r="N220" s="223"/>
      <c r="O220" s="222">
        <v>0</v>
      </c>
      <c r="P220" s="223"/>
      <c r="Q220" s="222">
        <v>0</v>
      </c>
      <c r="R220" s="223"/>
      <c r="S220" s="222">
        <v>0</v>
      </c>
      <c r="T220" s="223"/>
      <c r="U220" s="222">
        <v>0</v>
      </c>
      <c r="V220" s="223"/>
      <c r="W220" s="222">
        <v>0</v>
      </c>
      <c r="X220" s="223"/>
      <c r="Y220" s="222">
        <v>0</v>
      </c>
      <c r="Z220" s="223"/>
      <c r="AA220" s="222">
        <v>0</v>
      </c>
      <c r="AB220" s="223"/>
      <c r="AC220" s="222">
        <v>0</v>
      </c>
      <c r="AD220" s="223"/>
      <c r="AE220" s="222">
        <v>0</v>
      </c>
      <c r="AF220" s="223"/>
      <c r="AG220" s="222">
        <v>0</v>
      </c>
      <c r="AH220" s="223"/>
      <c r="AI220" s="222">
        <v>0</v>
      </c>
      <c r="AJ220" s="223"/>
      <c r="AK220" s="222">
        <f>SUM(K220:AJ220)</f>
        <v>0</v>
      </c>
      <c r="AL220" s="223"/>
      <c r="AM220" s="223">
        <v>0</v>
      </c>
      <c r="AN220" s="223"/>
      <c r="AO220" s="222">
        <v>0</v>
      </c>
      <c r="AP220" s="223"/>
      <c r="AQ220" s="223">
        <v>0</v>
      </c>
      <c r="AR220" s="223"/>
      <c r="AS220" s="223">
        <v>0</v>
      </c>
      <c r="AT220" s="223"/>
      <c r="AU220" s="223">
        <v>0</v>
      </c>
      <c r="AV220" s="223"/>
      <c r="AW220" s="223">
        <v>0</v>
      </c>
      <c r="AX220" s="223"/>
      <c r="AY220" s="223">
        <v>0</v>
      </c>
      <c r="AZ220" s="223"/>
      <c r="BA220" s="223">
        <v>0</v>
      </c>
      <c r="BB220" s="223"/>
      <c r="BC220" s="223">
        <v>0</v>
      </c>
      <c r="BD220" s="223"/>
      <c r="BE220" s="223">
        <v>0</v>
      </c>
      <c r="BF220" s="223"/>
      <c r="BG220" s="223">
        <v>0</v>
      </c>
      <c r="BH220" s="223"/>
      <c r="BI220" s="223">
        <v>0</v>
      </c>
      <c r="BJ220" s="223"/>
      <c r="BK220" s="223">
        <v>0</v>
      </c>
      <c r="BL220" s="223"/>
      <c r="BM220" s="440">
        <f t="shared" si="52"/>
        <v>0</v>
      </c>
      <c r="BN220" s="223"/>
      <c r="BO220" s="221">
        <v>0</v>
      </c>
      <c r="BP220" s="223"/>
      <c r="BQ220" s="221">
        <f>SUM(BM220:BO220)</f>
        <v>0</v>
      </c>
      <c r="BR220" s="223"/>
      <c r="BS220" s="360">
        <f>+E220-BQ220</f>
        <v>400000</v>
      </c>
      <c r="BT220" s="223"/>
    </row>
    <row r="221" spans="1:72" s="200" customFormat="1">
      <c r="A221" s="223"/>
      <c r="B221" s="227"/>
      <c r="C221" s="187"/>
      <c r="D221" s="187"/>
      <c r="F221" s="217"/>
      <c r="H221" s="217"/>
      <c r="J221" s="217"/>
      <c r="L221" s="217"/>
      <c r="N221" s="217"/>
      <c r="P221" s="217"/>
      <c r="R221" s="217"/>
      <c r="T221" s="217"/>
      <c r="V221" s="217"/>
      <c r="X221" s="217"/>
      <c r="Z221" s="217"/>
      <c r="AB221" s="217"/>
      <c r="AD221" s="217"/>
      <c r="AF221" s="217"/>
      <c r="AH221" s="217"/>
      <c r="AJ221" s="217"/>
      <c r="AL221" s="217"/>
      <c r="AM221" s="217"/>
      <c r="AN221" s="217"/>
      <c r="AP221" s="217"/>
      <c r="AQ221" s="217"/>
      <c r="AR221" s="217"/>
      <c r="AS221" s="217"/>
      <c r="AT221" s="217"/>
      <c r="AU221" s="217"/>
      <c r="AV221" s="217"/>
      <c r="AW221" s="217"/>
      <c r="AX221" s="217"/>
      <c r="AY221" s="217"/>
      <c r="AZ221" s="217"/>
      <c r="BA221" s="217"/>
      <c r="BB221" s="217"/>
      <c r="BC221" s="217"/>
      <c r="BD221" s="217"/>
      <c r="BE221" s="217"/>
      <c r="BF221" s="217"/>
      <c r="BG221" s="217"/>
      <c r="BH221" s="217"/>
      <c r="BI221" s="217"/>
      <c r="BJ221" s="217"/>
      <c r="BK221" s="217"/>
      <c r="BL221" s="217"/>
      <c r="BM221" s="440"/>
      <c r="BN221" s="217"/>
      <c r="BP221" s="217"/>
      <c r="BR221" s="217"/>
      <c r="BS221" s="348"/>
      <c r="BT221" s="217"/>
    </row>
    <row r="222" spans="1:72" s="225" customFormat="1">
      <c r="A222" s="212" t="s">
        <v>269</v>
      </c>
      <c r="E222" s="225">
        <v>0</v>
      </c>
      <c r="G222" s="222">
        <v>0</v>
      </c>
      <c r="I222" s="225">
        <f>+G222-E222</f>
        <v>0</v>
      </c>
      <c r="K222" s="225">
        <v>0</v>
      </c>
      <c r="M222" s="225">
        <v>0</v>
      </c>
      <c r="O222" s="225">
        <v>0</v>
      </c>
      <c r="Q222" s="225">
        <v>0</v>
      </c>
      <c r="S222" s="223"/>
      <c r="T222" s="223"/>
      <c r="W222" s="225">
        <v>0</v>
      </c>
      <c r="Y222" s="225">
        <v>0</v>
      </c>
      <c r="AA222" s="225">
        <v>0</v>
      </c>
      <c r="AC222" s="225">
        <v>0</v>
      </c>
      <c r="AE222" s="225">
        <v>0</v>
      </c>
      <c r="AG222" s="225">
        <v>0</v>
      </c>
      <c r="AI222" s="225">
        <v>0</v>
      </c>
      <c r="AK222" s="225">
        <f>SUM(K222:AJ222)</f>
        <v>0</v>
      </c>
      <c r="AM222" s="225">
        <v>0</v>
      </c>
      <c r="AO222" s="225">
        <v>0</v>
      </c>
      <c r="AQ222" s="225">
        <v>0</v>
      </c>
      <c r="AS222" s="225">
        <v>0</v>
      </c>
      <c r="AU222" s="225">
        <v>0</v>
      </c>
      <c r="AW222" s="225">
        <v>0</v>
      </c>
      <c r="AY222" s="225">
        <v>0</v>
      </c>
      <c r="BA222" s="225">
        <v>0</v>
      </c>
      <c r="BC222" s="225">
        <v>0</v>
      </c>
      <c r="BE222" s="225">
        <v>0</v>
      </c>
      <c r="BG222" s="225">
        <v>0</v>
      </c>
      <c r="BI222" s="225">
        <v>0</v>
      </c>
      <c r="BK222" s="225">
        <v>0</v>
      </c>
      <c r="BM222" s="440">
        <f t="shared" si="52"/>
        <v>0</v>
      </c>
      <c r="BO222" s="199">
        <f>+MAX(0,G222-BM222+AM222)</f>
        <v>0</v>
      </c>
      <c r="BQ222" s="199">
        <f>SUM(BM222:BO222)</f>
        <v>0</v>
      </c>
      <c r="BS222" s="348">
        <f>+E222-BQ222</f>
        <v>0</v>
      </c>
    </row>
    <row r="223" spans="1:72">
      <c r="A223" s="197"/>
      <c r="B223" s="206"/>
      <c r="C223" s="187"/>
      <c r="D223" s="187"/>
      <c r="G223" s="200"/>
      <c r="K223" s="199"/>
      <c r="L223" s="206"/>
      <c r="M223" s="199"/>
      <c r="O223" s="199"/>
      <c r="Q223" s="199"/>
      <c r="S223" s="199"/>
      <c r="U223" s="199"/>
      <c r="V223" s="206"/>
      <c r="W223" s="199"/>
      <c r="X223" s="206"/>
      <c r="Y223" s="199"/>
      <c r="Z223" s="206"/>
      <c r="AA223" s="199"/>
      <c r="AB223" s="206"/>
      <c r="AC223" s="199"/>
      <c r="AD223" s="206"/>
      <c r="AE223" s="199"/>
      <c r="AF223" s="206"/>
      <c r="AM223" s="206"/>
      <c r="BM223" s="440"/>
      <c r="BS223" s="348"/>
    </row>
    <row r="224" spans="1:72" s="225" customFormat="1">
      <c r="A224" s="212" t="s">
        <v>270</v>
      </c>
      <c r="E224" s="225">
        <v>2964064</v>
      </c>
      <c r="G224" s="222">
        <f>BQ224</f>
        <v>2327182.27</v>
      </c>
      <c r="I224" s="225">
        <f>+G224-E224</f>
        <v>-636881.73</v>
      </c>
      <c r="K224" s="225">
        <f>IDC!J20</f>
        <v>176250</v>
      </c>
      <c r="M224" s="225">
        <f>141763</f>
        <v>141763</v>
      </c>
      <c r="O224" s="388">
        <v>159611</v>
      </c>
      <c r="Q224" s="388">
        <v>184622</v>
      </c>
      <c r="S224" s="225">
        <v>187002</v>
      </c>
      <c r="T224" s="223"/>
      <c r="U224" s="225">
        <v>112135</v>
      </c>
      <c r="W224" s="225">
        <v>226003</v>
      </c>
      <c r="Y224" s="225">
        <v>218114</v>
      </c>
      <c r="AA224" s="225">
        <v>230971</v>
      </c>
      <c r="AC224" s="225">
        <v>250137</v>
      </c>
      <c r="AE224" s="225">
        <v>268825</v>
      </c>
      <c r="AG224" s="225">
        <v>316229.18</v>
      </c>
      <c r="AI224" s="225">
        <v>360766</v>
      </c>
      <c r="AK224" s="225">
        <f>SUM(K224:AJ224)</f>
        <v>2832428.18</v>
      </c>
      <c r="AM224" s="225">
        <v>0</v>
      </c>
      <c r="AO224" s="225">
        <f>-199260.36+305886.21</f>
        <v>106625.85000000003</v>
      </c>
      <c r="AQ224" s="225">
        <f>-94763.44-19519.63-304750.57</f>
        <v>-419033.64</v>
      </c>
      <c r="AS224" s="225">
        <v>-155521.1</v>
      </c>
      <c r="AU224" s="225">
        <v>-59780.1</v>
      </c>
      <c r="AW224" s="225">
        <f>96803+1083</f>
        <v>97886</v>
      </c>
      <c r="AY224" s="225">
        <f>-45626.92</f>
        <v>-45626.92</v>
      </c>
      <c r="BA224" s="225">
        <v>-29796</v>
      </c>
      <c r="BC224" s="225">
        <v>0</v>
      </c>
      <c r="BE224" s="225">
        <v>0</v>
      </c>
      <c r="BG224" s="225">
        <v>0</v>
      </c>
      <c r="BI224" s="225">
        <v>0</v>
      </c>
      <c r="BK224" s="225">
        <v>0</v>
      </c>
      <c r="BM224" s="440">
        <f t="shared" si="52"/>
        <v>2327182.27</v>
      </c>
      <c r="BO224" s="221">
        <v>0</v>
      </c>
      <c r="BQ224" s="221">
        <f>SUM(BM224:BO224)</f>
        <v>2327182.27</v>
      </c>
      <c r="BS224" s="360">
        <f>+E224-BQ224</f>
        <v>636881.73</v>
      </c>
    </row>
    <row r="225" spans="1:72">
      <c r="A225" s="212"/>
      <c r="B225" s="206"/>
      <c r="C225" s="187"/>
      <c r="D225" s="187"/>
      <c r="E225" s="206"/>
      <c r="G225" s="206"/>
      <c r="I225" s="206"/>
      <c r="K225" s="206"/>
      <c r="L225" s="206"/>
      <c r="M225" s="206"/>
      <c r="O225" s="206"/>
      <c r="Q225" s="206"/>
      <c r="S225" s="206"/>
      <c r="U225" s="206"/>
      <c r="V225" s="206"/>
      <c r="W225" s="206"/>
      <c r="X225" s="206"/>
      <c r="Y225" s="206"/>
      <c r="Z225" s="206"/>
      <c r="AA225" s="206"/>
      <c r="AB225" s="206"/>
      <c r="AC225" s="206"/>
      <c r="AD225" s="206"/>
      <c r="AE225" s="206"/>
      <c r="AF225" s="206"/>
      <c r="AG225" s="206"/>
      <c r="AI225" s="206"/>
      <c r="AK225" s="206"/>
      <c r="AM225" s="206"/>
      <c r="AO225" s="206"/>
      <c r="BM225" s="440"/>
      <c r="BO225" s="206"/>
      <c r="BQ225" s="206"/>
      <c r="BS225" s="348"/>
    </row>
    <row r="226" spans="1:72" s="229" customFormat="1">
      <c r="A226" s="234"/>
      <c r="B226" s="228" t="s">
        <v>271</v>
      </c>
      <c r="E226" s="229">
        <f>+E166+E196+E214+E216+E218+E222+E224+E206+E180+E189+E220+E170+E174+E202+E204+E168+E176+E178+E182</f>
        <v>111558987.94999999</v>
      </c>
      <c r="F226" s="229" t="e">
        <f>+F166+F196+F214+F216+F218+F222+F224+F206+F180+F189+F220+F170+F174+F202+F204</f>
        <v>#REF!</v>
      </c>
      <c r="G226" s="229">
        <f>+G166+G196+G214+G216+G218+G222+G224+G206+G180+G189+G220+G170+G174+G202+G204+G168+G176+G178+G182</f>
        <v>117513251.88000001</v>
      </c>
      <c r="H226" s="229" t="e">
        <f>+H166+H196+H214+H216+H218+H222+H224+H206+H180+H189+H220+H170+H174+H202+H204</f>
        <v>#REF!</v>
      </c>
      <c r="I226" s="229">
        <f>+I166+I196+I214+I216+I218+I222+I224+I206+I180+I189+I220+I170+I174+I202+I204+I168+I176+I178+I182</f>
        <v>5890898.9299999997</v>
      </c>
      <c r="J226" s="229" t="e">
        <f>+J166+J196+J214+J216+J218+J222+J224+J206+J180+J189+J220+J170+J174+J202+J204</f>
        <v>#REF!</v>
      </c>
      <c r="K226" s="229">
        <f>+K166+K196+K214+K216+K218+K222+K224+K206+K180+K189+K220+K170+K174+K202+K204+K168+K176+K178+K182</f>
        <v>21371250</v>
      </c>
      <c r="L226" s="229" t="e">
        <f>+L166+L196+L214+L216+L218+L222+L224+L206+L180+L189+L220+L170+L174+L202+L204</f>
        <v>#REF!</v>
      </c>
      <c r="M226" s="229">
        <f>+M166+M196+M214+M216+M218+M222+M224+M206+M180+M189+M220+M170+M174+M202+M204+M168+M176+M178+M182</f>
        <v>4405669.4800000004</v>
      </c>
      <c r="N226" s="229" t="e">
        <f>+N166+N196+N214+N216+N218+N222+N224+N206+N180+N189+N220+N170+N174+N202+N204</f>
        <v>#REF!</v>
      </c>
      <c r="O226" s="229">
        <f>+O166+O196+O214+O216+O218+O222+O224+O206+O180+O189+O220+O170+O174+O202+O204+O168+O176+O178+O182</f>
        <v>3217926.19</v>
      </c>
      <c r="P226" s="229" t="e">
        <f>+P166+P196+P214+P216+P218+P222+P224+P206+P180+P189+P220+P170+P174+P202+P204</f>
        <v>#REF!</v>
      </c>
      <c r="Q226" s="229">
        <f>+Q166+Q196+Q214+Q216+Q218+Q222+Q224+Q206+Q180+Q189+Q220+Q170+Q174+Q202+Q204+Q168+Q176+Q178+Q182</f>
        <v>1851566.12</v>
      </c>
      <c r="R226" s="229" t="e">
        <f>+R166+R196+R214+R216+R218+R222+R224+R206+R180+R189+R220+R170+R174+R202+R204</f>
        <v>#REF!</v>
      </c>
      <c r="S226" s="229">
        <f>+S166+S196+S214+S216+S218+S222+S224+S206+S180+S189+S220+S170+S174+S202+S204+S168+S176+S178+S182</f>
        <v>3017119</v>
      </c>
      <c r="T226" s="229" t="e">
        <f>+T166+T196+T214+T216+T218+T222+T224+T206+T180+T189+T220+T170+T174+T202+T204</f>
        <v>#REF!</v>
      </c>
      <c r="U226" s="229">
        <f>+U166+U196+U214+U216+U218+U222+U224+U206+U180+U189+U220+U170+U174+U202+U204+U168+U176+U178+U182</f>
        <v>4545895.5</v>
      </c>
      <c r="V226" s="229" t="e">
        <f>+V166+V196+V214+V216+V218+V222+V224+V206+V180+V189+V220+V170+V174+V202+V204</f>
        <v>#REF!</v>
      </c>
      <c r="W226" s="229">
        <f>+W166+W196+W214+W216+W218+W222+W224+W206+W180+W189+W220+W170+W174+W202+W204+W168+W176+W178+W182</f>
        <v>2898327.5199999996</v>
      </c>
      <c r="X226" s="229" t="e">
        <f>+X166+X196+X214+X216+X218+X222+X224+X206+X180+X189+X220+X170+X174+X202+X204</f>
        <v>#REF!</v>
      </c>
      <c r="Y226" s="229">
        <f>+Y166+Y196+Y214+Y216+Y218+Y222+Y224+Y206+Y180+Y189+Y220+Y170+Y174+Y202+Y204+Y168+Y176+Y178+Y182</f>
        <v>1865777.3400000003</v>
      </c>
      <c r="Z226" s="229" t="e">
        <f>+Z166+Z196+Z214+Z216+Z218+Z222+Z224+Z206+Z180+Z189+Z220+Z170+Z174+Z202+Z204</f>
        <v>#REF!</v>
      </c>
      <c r="AA226" s="229">
        <f>+AA166+AA196+AA214+AA216+AA218+AA222+AA224+AA206+AA180+AA189+AA220+AA170+AA174+AA202+AA204+AA168+AA176+AA178+AA182</f>
        <v>3339154.09</v>
      </c>
      <c r="AB226" s="229" t="e">
        <f>+AB166+AB196+AB214+AB216+AB218+AB222+AB224+AB206+AB180+AB189+AB220+AB170+AB174+AB202+AB204</f>
        <v>#REF!</v>
      </c>
      <c r="AC226" s="229">
        <f>+AC166+AC196+AC214+AC216+AC218+AC222+AC224+AC206+AC180+AC189+AC220+AC170+AC174+AC202+AC204+AC168+AC176+AC178+AC182</f>
        <v>3302530.3200000003</v>
      </c>
      <c r="AD226" s="229" t="e">
        <f>+AD166+AD196+AD214+AD216+AD218+AD222+AD224+AD206+AD180+AD189+AD220+AD170+AD174+AD202+AD204</f>
        <v>#REF!</v>
      </c>
      <c r="AE226" s="229">
        <f>+AE166+AE196+AE214+AE216+AE218+AE222+AE224+AE206+AE180+AE189+AE220+AE170+AE174+AE202+AE204+AE168+AE176+AE178+AE182</f>
        <v>7249570.8400000008</v>
      </c>
      <c r="AF226" s="229">
        <f>+AF166+AF196+AF214+AF216+AF218+AF222+AF224+AF206+AF180+AF189+AF220+AF170+AF174+AF202+AF204</f>
        <v>0</v>
      </c>
      <c r="AG226" s="229">
        <f>+AG166+AG196+AG214+AG216+AG218+AG222+AG224+AG206+AG180+AG189+AG220+AG170+AG174+AG202+AG204+AG168+AG176+AG178+AG182</f>
        <v>7661168.4299999997</v>
      </c>
      <c r="AH226" s="229" t="e">
        <f>+AH166+AH196+AH214+AH216+AH218+AH222+AH224+AH206+AH180+AH189+AH220+AH170+AH174+AH202+AH204</f>
        <v>#REF!</v>
      </c>
      <c r="AI226" s="229">
        <f>+AI166+AI196+AI214+AI216+AI218+AI222+AI224+AI206+AI180+AI189+AI220+AI170+AI174+AI202+AI204+AI168+AI176+AI178+AI182</f>
        <v>7117444.7600000007</v>
      </c>
      <c r="AJ226" s="229">
        <f>+AJ166+AJ196+AJ214+AJ216+AJ218+AJ222+AJ224+AJ206+AJ180+AJ189+AJ220+AJ170+AJ174+AJ202+AJ204</f>
        <v>0</v>
      </c>
      <c r="AK226" s="229">
        <f>+AK166+AK196+AK214+AK216+AK218+AK222+AK224+AK206+AK180+AK189+AK220+AK170+AK174+AK202+AK204+AK168+AK176+AK178+AK182</f>
        <v>71843399.590000018</v>
      </c>
      <c r="AL226" s="229" t="e">
        <f>+AL166+AL196+AL214+AL216+AL218+AL222+AL224+AL206+AL180+AL189+AL220+AL170+AL174+AL202+AL204</f>
        <v>#REF!</v>
      </c>
      <c r="AM226" s="229">
        <f>+AM166+AM196+AM214+AM216+AM218+AM222+AM224+AM206+AM180+AM189+AM220+AM170+AM174+AM202+AM204+AM168+AM176+AM178+AM182</f>
        <v>0</v>
      </c>
      <c r="AN226" s="229" t="e">
        <f>+AN166+AN196+AN214+AN216+AN218+AN222+AN224+AN206+AN180+AN189+AN220+AN170+AN174+AN202+AN204</f>
        <v>#REF!</v>
      </c>
      <c r="AO226" s="229">
        <f>+AO166+AO196+AO214+AO216+AO218+AO222+AO224+AO206+AO180+AO189+AO220+AO170+AO174+AO202+AO204+AO168+AO176+AO178+AO182</f>
        <v>9524815.6999999993</v>
      </c>
      <c r="AP226" s="229">
        <f>+AP166+AP196+AP214+AP216+AP218+AP222+AP224+AP206+AP180+AP189+AP220+AP170+AP174+AP202+AP204</f>
        <v>0</v>
      </c>
      <c r="AQ226" s="229">
        <f>+AQ166+AQ196+AQ214+AQ216+AQ218+AQ222+AQ224+AQ206+AQ180+AQ189+AQ220+AQ170+AQ174+AQ202+AQ204+AQ168+AQ176+AQ178+AQ182</f>
        <v>4915079.12</v>
      </c>
      <c r="AR226" s="229">
        <f>+AR166+AR196+AR214+AR216+AR218+AR222+AR224+AR206+AR180+AR189+AR220+AR170+AR174+AR202+AR204</f>
        <v>0</v>
      </c>
      <c r="AS226" s="229">
        <f>+AS166+AS196+AS214+AS216+AS218+AS222+AS224+AS206+AS180+AS189+AS220+AS170+AS174+AS202+AS204+AS168+AS176+AS178+AS182</f>
        <v>8703900.620000001</v>
      </c>
      <c r="AT226" s="229">
        <f>+AT166+AT196+AT214+AT216+AT218+AT222+AT224+AT206+AT180+AT189+AT220+AT170+AT174+AT202+AT204</f>
        <v>0</v>
      </c>
      <c r="AU226" s="229">
        <f>+AU166+AU196+AU214+AU216+AU218+AU222+AU224+AU206+AU180+AU189+AU220+AU170+AU174+AU202+AU204+AU168+AU176+AU178+AU182</f>
        <v>686268.96000000054</v>
      </c>
      <c r="AV226" s="229">
        <f>+AV166+AV196+AV214+AV216+AV218+AV222+AV224+AV206+AV180+AV189+AV220+AV170+AV174+AV202+AV204</f>
        <v>0</v>
      </c>
      <c r="AW226" s="229">
        <f>+AW166+AW196+AW214+AW216+AW218+AW222+AW224+AW206+AW180+AW189+AW220+AW170+AW174+AW202+AW204+AW168+AW176+AW178+AW182</f>
        <v>3885937.08</v>
      </c>
      <c r="AX226" s="229">
        <f>+AX166+AX196+AX214+AX216+AX218+AX222+AX224+AX206+AX180+AX189+AX220+AX170+AX174+AX202+AX204</f>
        <v>0</v>
      </c>
      <c r="AY226" s="229">
        <f>+AY166+AY196+AY214+AY216+AY218+AY222+AY224+AY206+AY180+AY189+AY220+AY170+AY174+AY202+AY204+AY168+AY176+AY178+AY182</f>
        <v>5073492.6400000006</v>
      </c>
      <c r="AZ226" s="229">
        <f>+AZ166+AZ196+AZ214+AZ216+AZ218+AZ222+AZ224+AZ206+AZ180+AZ189+AZ220+AZ170+AZ174+AZ202+AZ204</f>
        <v>0</v>
      </c>
      <c r="BA226" s="229">
        <f>+BA166+BA196+BA214+BA216+BA218+BA222+BA224+BA206+BA180+BA189+BA220+BA170+BA174+BA202+BA204+BA168+BA176+BA178+BA182</f>
        <v>4521761.88</v>
      </c>
      <c r="BC226" s="229">
        <f>+BC166+BC196+BC214+BC216+BC218+BC222+BC224+BC206+BC180+BC189+BC220+BC170+BC174+BC202+BC204+BC168+BC176+BC178+BC182</f>
        <v>3421490</v>
      </c>
      <c r="BE226" s="229">
        <f>+BE166+BE196+BE214+BE216+BE218+BE222+BE224+BE206+BE180+BE189+BE220+BE170+BE174+BE202+BE204+BE168+BE176+BE178+BE182</f>
        <v>6578122</v>
      </c>
      <c r="BG226" s="229">
        <f>+BG166+BG196+BG214+BG216+BG218+BG222+BG224+BG206+BG180+BG189+BG220+BG170+BG174+BG202+BG204+BG168+BG176+BG178+BG182</f>
        <v>980980</v>
      </c>
      <c r="BI226" s="229">
        <f>+BI166+BI196+BI214+BI216+BI218+BI222+BI224+BI206+BI180+BI189+BI220+BI170+BI174+BI202+BI204+BI168+BI176+BI178+BI182</f>
        <v>1246306</v>
      </c>
      <c r="BK226" s="229">
        <f>+BK166+BK196+BK214+BK216+BK218+BK222+BK224+BK206+BK180+BK189+BK220+BK170+BK174+BK202+BK204+BK168+BK176+BK178+BK182</f>
        <v>25904</v>
      </c>
      <c r="BM226" s="493">
        <f>+BM166+BM196+BM214+BM216+BM218+BM222+BM224+BM206+BM180+BM189+BM220+BM170+BM174+BM202+BM204+BM168+BM176+BM178+BM182</f>
        <v>121407457.59000002</v>
      </c>
      <c r="BN226" s="229">
        <f>+BN166+BN196+BN214+BN216+BN218+BN222+BN224+BN206+BN180+BN189+BN220+BN170+BN174+BN202+BN204</f>
        <v>0</v>
      </c>
      <c r="BO226" s="229">
        <f>+BO166+BO196+BO214+BO216+BO218+BO222+BO224+BO206+BO180+BO189+BO220+BO170+BO174+BO202+BO204+BO168+BO176+BO178+BO182</f>
        <v>-3854137.2699999991</v>
      </c>
      <c r="BP226" s="229" t="e">
        <f>+BP166+BP196+BP214+BP216+BP218+BP222+BP224+BP206+BP180+BP189+BP220+BP170+BP174+BP202+BP204</f>
        <v>#REF!</v>
      </c>
      <c r="BQ226" s="229">
        <f>+BQ166+BQ196+BQ214+BQ216+BQ218+BQ222+BQ224+BQ206+BQ180+BQ189+BQ220+BQ170+BQ174+BQ202+BQ204+BQ168+BQ176+BQ178+BQ182</f>
        <v>117553320.32000002</v>
      </c>
      <c r="BR226" s="229" t="e">
        <f>+BR166+BR196+BR214+BR216+BR218+BR222+BR224+BR206+BR180+BR189+BR220+BR170+BR174+BR202+BR204</f>
        <v>#REF!</v>
      </c>
      <c r="BS226" s="229">
        <f>+BS166+BS196+BS214+BS216+BS218+BS222+BS224+BS206+BS180+BS189+BS220+BS170+BS174+BS202+BS204+BS168+BS176+BS178+BS182</f>
        <v>-5994332.3700000076</v>
      </c>
      <c r="BT226" s="229" t="e">
        <f>+BT166+BT196+BT214+BT216+BT218+BT222+BT224+BT206+BT180+BT189+BT220+BT170+BT174+BT202+BT204</f>
        <v>#REF!</v>
      </c>
    </row>
    <row r="227" spans="1:72">
      <c r="A227" s="383"/>
      <c r="B227" s="212"/>
      <c r="C227" s="187"/>
      <c r="D227" s="187"/>
      <c r="K227" s="199"/>
      <c r="L227" s="206"/>
      <c r="M227" s="199"/>
      <c r="O227" s="199"/>
      <c r="Q227" s="199"/>
      <c r="S227" s="199"/>
      <c r="U227" s="199"/>
      <c r="V227" s="206"/>
      <c r="W227" s="199"/>
      <c r="X227" s="206"/>
      <c r="Y227" s="199"/>
      <c r="Z227" s="206"/>
      <c r="AA227" s="199"/>
      <c r="AB227" s="206"/>
      <c r="AC227" s="199"/>
      <c r="AD227" s="206"/>
      <c r="AE227" s="199"/>
      <c r="AF227" s="206"/>
      <c r="AM227" s="206"/>
      <c r="BS227" s="348"/>
    </row>
    <row r="228" spans="1:72" hidden="1">
      <c r="A228" s="212" t="s">
        <v>272</v>
      </c>
      <c r="B228" s="212"/>
      <c r="C228" s="187"/>
      <c r="D228" s="187"/>
      <c r="K228" s="199"/>
      <c r="L228" s="206"/>
      <c r="M228" s="199"/>
      <c r="O228" s="199"/>
      <c r="Q228" s="199"/>
      <c r="S228" s="199"/>
      <c r="U228" s="199"/>
      <c r="V228" s="206"/>
      <c r="W228" s="199"/>
      <c r="X228" s="206"/>
      <c r="Y228" s="199"/>
      <c r="Z228" s="206"/>
      <c r="AA228" s="199"/>
      <c r="AB228" s="206"/>
      <c r="AC228" s="199"/>
      <c r="AD228" s="206"/>
      <c r="AE228" s="199"/>
      <c r="AF228" s="206"/>
      <c r="AM228" s="206"/>
    </row>
    <row r="229" spans="1:72" s="206" customFormat="1" hidden="1">
      <c r="A229" s="197"/>
      <c r="B229" s="197" t="s">
        <v>416</v>
      </c>
      <c r="E229" s="231">
        <v>0</v>
      </c>
      <c r="G229" s="206">
        <f>+E229+I229</f>
        <v>0</v>
      </c>
      <c r="I229" s="206">
        <v>0</v>
      </c>
      <c r="S229" s="217"/>
      <c r="T229" s="217"/>
      <c r="AK229" s="206">
        <f>SUM(K229:AJ229)</f>
        <v>0</v>
      </c>
      <c r="BM229" s="480">
        <f>SUM(AC229:AT229)</f>
        <v>0</v>
      </c>
      <c r="BO229" s="206">
        <f>+MAX(0,G229-AK229+AM229)</f>
        <v>0</v>
      </c>
      <c r="BQ229" s="199">
        <f>+AK229+BO229</f>
        <v>0</v>
      </c>
      <c r="BS229" s="199">
        <f>+G229-BQ229</f>
        <v>0</v>
      </c>
    </row>
    <row r="230" spans="1:72" s="206" customFormat="1" hidden="1">
      <c r="A230" s="197"/>
      <c r="B230" s="206" t="s">
        <v>356</v>
      </c>
      <c r="E230" s="206">
        <v>0</v>
      </c>
      <c r="G230" s="199">
        <f>+E230+I230</f>
        <v>0</v>
      </c>
      <c r="I230" s="206">
        <v>0</v>
      </c>
      <c r="K230" s="206">
        <v>0</v>
      </c>
      <c r="M230" s="206">
        <v>0</v>
      </c>
      <c r="O230" s="206">
        <v>0</v>
      </c>
      <c r="Q230" s="206">
        <v>0</v>
      </c>
      <c r="S230" s="206">
        <v>0</v>
      </c>
      <c r="T230" s="217"/>
      <c r="U230" s="206">
        <v>0</v>
      </c>
      <c r="W230" s="206">
        <v>0</v>
      </c>
      <c r="Y230" s="206">
        <v>0</v>
      </c>
      <c r="AA230" s="206">
        <v>0</v>
      </c>
      <c r="AC230" s="206">
        <v>0</v>
      </c>
      <c r="AE230" s="206">
        <v>0</v>
      </c>
      <c r="AG230" s="206">
        <v>0</v>
      </c>
      <c r="AI230" s="206">
        <v>0</v>
      </c>
      <c r="AK230" s="206">
        <f>SUM(K230:AJ230)</f>
        <v>0</v>
      </c>
      <c r="AM230" s="206">
        <v>0</v>
      </c>
      <c r="AO230" s="206">
        <v>0</v>
      </c>
      <c r="AQ230" s="206">
        <v>0</v>
      </c>
      <c r="AS230" s="206">
        <v>0</v>
      </c>
      <c r="AU230" s="206">
        <v>0</v>
      </c>
      <c r="AW230" s="206">
        <v>0</v>
      </c>
      <c r="AY230" s="206">
        <v>0</v>
      </c>
      <c r="BA230" s="206">
        <v>0</v>
      </c>
      <c r="BC230" s="206">
        <v>0</v>
      </c>
      <c r="BE230" s="206">
        <v>0</v>
      </c>
      <c r="BG230" s="206">
        <v>0</v>
      </c>
      <c r="BI230" s="206">
        <v>0</v>
      </c>
      <c r="BK230" s="206">
        <v>0</v>
      </c>
      <c r="BM230" s="480">
        <f>SUM(AC230:AT230)</f>
        <v>0</v>
      </c>
      <c r="BO230" s="206">
        <f>+MAX(0,G230-AK230+AM230)</f>
        <v>0</v>
      </c>
      <c r="BQ230" s="199">
        <f>+AK230+BO230</f>
        <v>0</v>
      </c>
      <c r="BS230" s="199">
        <f>+G230-BQ230</f>
        <v>0</v>
      </c>
    </row>
    <row r="231" spans="1:72" s="206" customFormat="1" hidden="1">
      <c r="A231" s="197"/>
      <c r="B231" s="206" t="s">
        <v>357</v>
      </c>
      <c r="E231" s="206">
        <v>0</v>
      </c>
      <c r="G231" s="199">
        <f>+E231+I231</f>
        <v>0</v>
      </c>
      <c r="I231" s="206">
        <v>0</v>
      </c>
      <c r="K231" s="206">
        <v>0</v>
      </c>
      <c r="M231" s="206">
        <v>0</v>
      </c>
      <c r="O231" s="206">
        <v>0</v>
      </c>
      <c r="Q231" s="206">
        <v>0</v>
      </c>
      <c r="S231" s="206">
        <v>0</v>
      </c>
      <c r="T231" s="217"/>
      <c r="U231" s="206">
        <v>0</v>
      </c>
      <c r="W231" s="206">
        <v>0</v>
      </c>
      <c r="Y231" s="206">
        <v>0</v>
      </c>
      <c r="AA231" s="206">
        <v>0</v>
      </c>
      <c r="AC231" s="206">
        <v>0</v>
      </c>
      <c r="AE231" s="206">
        <v>0</v>
      </c>
      <c r="AG231" s="206">
        <v>0</v>
      </c>
      <c r="AI231" s="206">
        <v>0</v>
      </c>
      <c r="AK231" s="206">
        <f>SUM(K231:AJ231)</f>
        <v>0</v>
      </c>
      <c r="AM231" s="206">
        <v>0</v>
      </c>
      <c r="AO231" s="206">
        <v>0</v>
      </c>
      <c r="AQ231" s="206">
        <v>0</v>
      </c>
      <c r="AS231" s="206">
        <v>0</v>
      </c>
      <c r="AU231" s="206">
        <v>0</v>
      </c>
      <c r="AW231" s="206">
        <v>0</v>
      </c>
      <c r="AY231" s="206">
        <v>0</v>
      </c>
      <c r="BA231" s="206">
        <v>0</v>
      </c>
      <c r="BC231" s="206">
        <v>0</v>
      </c>
      <c r="BE231" s="206">
        <v>0</v>
      </c>
      <c r="BG231" s="206">
        <v>0</v>
      </c>
      <c r="BI231" s="206">
        <v>0</v>
      </c>
      <c r="BK231" s="206">
        <v>0</v>
      </c>
      <c r="BM231" s="480">
        <f>SUM(AC231:AT231)</f>
        <v>0</v>
      </c>
      <c r="BO231" s="206">
        <f>+MAX(0,G231-AK231+AM231)</f>
        <v>0</v>
      </c>
      <c r="BQ231" s="199">
        <f>+AK231+BO231</f>
        <v>0</v>
      </c>
      <c r="BS231" s="199">
        <f>+G231-BQ231</f>
        <v>0</v>
      </c>
    </row>
    <row r="232" spans="1:72" s="206" customFormat="1" hidden="1">
      <c r="A232" s="197"/>
      <c r="B232" s="206" t="s">
        <v>358</v>
      </c>
      <c r="E232" s="206">
        <v>0</v>
      </c>
      <c r="G232" s="199">
        <f>+E232+I232</f>
        <v>0</v>
      </c>
      <c r="I232" s="206">
        <v>0</v>
      </c>
      <c r="K232" s="206">
        <v>0</v>
      </c>
      <c r="M232" s="206">
        <v>0</v>
      </c>
      <c r="O232" s="206">
        <v>0</v>
      </c>
      <c r="Q232" s="206">
        <v>0</v>
      </c>
      <c r="S232" s="206">
        <v>0</v>
      </c>
      <c r="T232" s="217"/>
      <c r="U232" s="206">
        <v>0</v>
      </c>
      <c r="W232" s="206">
        <v>0</v>
      </c>
      <c r="Y232" s="206">
        <v>0</v>
      </c>
      <c r="AA232" s="206">
        <v>0</v>
      </c>
      <c r="AC232" s="206">
        <v>0</v>
      </c>
      <c r="AE232" s="206">
        <v>0</v>
      </c>
      <c r="AG232" s="206">
        <v>0</v>
      </c>
      <c r="AI232" s="206">
        <v>0</v>
      </c>
      <c r="AK232" s="206">
        <f>SUM(K232:AJ232)</f>
        <v>0</v>
      </c>
      <c r="AM232" s="206">
        <v>0</v>
      </c>
      <c r="AO232" s="206">
        <v>0</v>
      </c>
      <c r="AQ232" s="206">
        <v>0</v>
      </c>
      <c r="AS232" s="206">
        <v>0</v>
      </c>
      <c r="AU232" s="206">
        <v>0</v>
      </c>
      <c r="AW232" s="206">
        <v>0</v>
      </c>
      <c r="AY232" s="206">
        <v>0</v>
      </c>
      <c r="BA232" s="206">
        <v>0</v>
      </c>
      <c r="BC232" s="206">
        <v>0</v>
      </c>
      <c r="BE232" s="206">
        <v>0</v>
      </c>
      <c r="BG232" s="206">
        <v>0</v>
      </c>
      <c r="BI232" s="206">
        <v>0</v>
      </c>
      <c r="BK232" s="206">
        <v>0</v>
      </c>
      <c r="BM232" s="480">
        <f>SUM(AC232:AT232)</f>
        <v>0</v>
      </c>
      <c r="BO232" s="206">
        <f>+MAX(0,G232-AK232+AM232)</f>
        <v>0</v>
      </c>
      <c r="BQ232" s="199">
        <f>+AK232+BO232</f>
        <v>0</v>
      </c>
      <c r="BS232" s="199">
        <f>+G232-BQ232</f>
        <v>0</v>
      </c>
    </row>
    <row r="233" spans="1:72" s="206" customFormat="1" hidden="1">
      <c r="A233" s="197"/>
      <c r="B233" s="206" t="s">
        <v>359</v>
      </c>
      <c r="E233" s="206">
        <v>0</v>
      </c>
      <c r="G233" s="199">
        <f>+E233+I233</f>
        <v>0</v>
      </c>
      <c r="I233" s="206">
        <v>0</v>
      </c>
      <c r="K233" s="206">
        <v>0</v>
      </c>
      <c r="M233" s="206">
        <v>0</v>
      </c>
      <c r="O233" s="206">
        <v>0</v>
      </c>
      <c r="Q233" s="206">
        <v>0</v>
      </c>
      <c r="S233" s="206">
        <v>0</v>
      </c>
      <c r="T233" s="217"/>
      <c r="U233" s="206">
        <v>0</v>
      </c>
      <c r="W233" s="206">
        <v>0</v>
      </c>
      <c r="Y233" s="206">
        <v>0</v>
      </c>
      <c r="AA233" s="206">
        <v>0</v>
      </c>
      <c r="AC233" s="206">
        <v>0</v>
      </c>
      <c r="AE233" s="206">
        <v>0</v>
      </c>
      <c r="AG233" s="206">
        <v>0</v>
      </c>
      <c r="AI233" s="206">
        <v>0</v>
      </c>
      <c r="AK233" s="206">
        <f>SUM(K233:AJ233)</f>
        <v>0</v>
      </c>
      <c r="AM233" s="206">
        <v>0</v>
      </c>
      <c r="AO233" s="206">
        <v>0</v>
      </c>
      <c r="AQ233" s="206">
        <v>0</v>
      </c>
      <c r="AS233" s="206">
        <v>0</v>
      </c>
      <c r="AU233" s="206">
        <v>0</v>
      </c>
      <c r="AW233" s="206">
        <v>0</v>
      </c>
      <c r="AY233" s="206">
        <v>0</v>
      </c>
      <c r="BA233" s="206">
        <v>0</v>
      </c>
      <c r="BC233" s="206">
        <v>0</v>
      </c>
      <c r="BE233" s="206">
        <v>0</v>
      </c>
      <c r="BG233" s="206">
        <v>0</v>
      </c>
      <c r="BI233" s="206">
        <v>0</v>
      </c>
      <c r="BK233" s="206">
        <v>0</v>
      </c>
      <c r="BM233" s="480">
        <f>SUM(AC233:AT233)</f>
        <v>0</v>
      </c>
      <c r="BO233" s="206">
        <f>+MAX(0,G233-AK233+AM233)</f>
        <v>0</v>
      </c>
      <c r="BQ233" s="199">
        <f>+AK233+BO233</f>
        <v>0</v>
      </c>
      <c r="BS233" s="199">
        <f>+G233-BQ233</f>
        <v>0</v>
      </c>
    </row>
    <row r="234" spans="1:72" s="206" customFormat="1" hidden="1">
      <c r="A234" s="197"/>
      <c r="T234" s="217"/>
      <c r="BM234" s="480"/>
    </row>
    <row r="235" spans="1:72" hidden="1">
      <c r="A235" s="212"/>
      <c r="B235" s="212" t="s">
        <v>417</v>
      </c>
      <c r="C235" s="187"/>
      <c r="D235" s="187"/>
      <c r="E235" s="232">
        <f>SUBTOTAL(9,E228:E233)</f>
        <v>0</v>
      </c>
      <c r="G235" s="232">
        <f>SUBTOTAL(9,G228:G233)</f>
        <v>0</v>
      </c>
      <c r="I235" s="232">
        <f>SUBTOTAL(9,I228:I233)</f>
        <v>0</v>
      </c>
      <c r="K235" s="232">
        <f>SUBTOTAL(9,K228:K233)</f>
        <v>0</v>
      </c>
      <c r="L235" s="206"/>
      <c r="M235" s="232">
        <f>SUBTOTAL(9,M228:M233)</f>
        <v>0</v>
      </c>
      <c r="O235" s="232">
        <f>SUBTOTAL(9,O228:O233)</f>
        <v>0</v>
      </c>
      <c r="Q235" s="232">
        <f>SUBTOTAL(9,Q228:Q233)</f>
        <v>0</v>
      </c>
      <c r="S235" s="232">
        <f>SUBTOTAL(9,S228:S233)</f>
        <v>0</v>
      </c>
      <c r="U235" s="232">
        <f>SUBTOTAL(9,U228:U233)</f>
        <v>0</v>
      </c>
      <c r="V235" s="217"/>
      <c r="W235" s="232">
        <f>SUBTOTAL(9,W228:W233)</f>
        <v>0</v>
      </c>
      <c r="X235" s="217"/>
      <c r="Y235" s="232">
        <f>SUBTOTAL(9,Y228:Y233)</f>
        <v>0</v>
      </c>
      <c r="Z235" s="217"/>
      <c r="AA235" s="232">
        <f>SUBTOTAL(9,AA228:AA233)</f>
        <v>0</v>
      </c>
      <c r="AB235" s="217"/>
      <c r="AC235" s="232">
        <f>SUBTOTAL(9,AC228:AC233)</f>
        <v>0</v>
      </c>
      <c r="AD235" s="217"/>
      <c r="AE235" s="232">
        <f>SUBTOTAL(9,AE228:AE233)</f>
        <v>0</v>
      </c>
      <c r="AF235" s="217"/>
      <c r="AG235" s="232">
        <f>SUBTOTAL(9,AG228:AG233)</f>
        <v>0</v>
      </c>
      <c r="AH235" s="217"/>
      <c r="AI235" s="232">
        <f>SUBTOTAL(9,AI228:AI233)</f>
        <v>0</v>
      </c>
      <c r="AK235" s="232">
        <f>SUBTOTAL(9,AK228:AK233)</f>
        <v>0</v>
      </c>
      <c r="AM235" s="217">
        <f>SUBTOTAL(9,AM228:AM233)</f>
        <v>0</v>
      </c>
      <c r="AO235" s="232">
        <f>SUBTOTAL(9,AO228:AO233)</f>
        <v>0</v>
      </c>
      <c r="AP235" s="217"/>
      <c r="AQ235" s="217">
        <f>SUBTOTAL(9,AQ228:AQ233)</f>
        <v>0</v>
      </c>
      <c r="AR235" s="217"/>
      <c r="AS235" s="217">
        <f>SUBTOTAL(9,AS228:AS233)</f>
        <v>0</v>
      </c>
      <c r="AT235" s="217"/>
      <c r="AU235" s="217">
        <f>SUBTOTAL(9,AU228:AU233)</f>
        <v>0</v>
      </c>
      <c r="AV235" s="217"/>
      <c r="AW235" s="217">
        <f>SUBTOTAL(9,AW228:AW233)</f>
        <v>0</v>
      </c>
      <c r="AX235" s="217"/>
      <c r="AY235" s="217">
        <f>SUBTOTAL(9,AY228:AY233)</f>
        <v>0</v>
      </c>
      <c r="AZ235" s="217"/>
      <c r="BA235" s="217">
        <f>SUBTOTAL(9,BA228:BA233)</f>
        <v>0</v>
      </c>
      <c r="BB235" s="217"/>
      <c r="BC235" s="217">
        <f>SUBTOTAL(9,BC228:BC233)</f>
        <v>0</v>
      </c>
      <c r="BD235" s="217"/>
      <c r="BE235" s="217">
        <f>SUBTOTAL(9,BE228:BE233)</f>
        <v>0</v>
      </c>
      <c r="BF235" s="217"/>
      <c r="BG235" s="217">
        <f>SUBTOTAL(9,BG228:BG233)</f>
        <v>0</v>
      </c>
      <c r="BH235" s="217"/>
      <c r="BI235" s="217">
        <f>SUBTOTAL(9,BI228:BI233)</f>
        <v>0</v>
      </c>
      <c r="BJ235" s="217"/>
      <c r="BK235" s="217">
        <f>SUBTOTAL(9,BK228:BK233)</f>
        <v>0</v>
      </c>
      <c r="BL235" s="217"/>
      <c r="BM235" s="494">
        <f>SUBTOTAL(9,BM228:BM233)</f>
        <v>0</v>
      </c>
      <c r="BO235" s="232">
        <f>SUBTOTAL(9,BO228:BO233)</f>
        <v>0</v>
      </c>
      <c r="BQ235" s="232">
        <f>SUBTOTAL(9,BQ228:BQ233)</f>
        <v>0</v>
      </c>
      <c r="BS235" s="232">
        <f>SUBTOTAL(9,BS228:BS233)</f>
        <v>0</v>
      </c>
    </row>
    <row r="236" spans="1:72" hidden="1">
      <c r="A236" s="383"/>
      <c r="B236" s="197"/>
      <c r="C236" s="187"/>
      <c r="D236" s="187"/>
      <c r="K236" s="199"/>
      <c r="L236" s="206"/>
      <c r="M236" s="199"/>
      <c r="O236" s="199"/>
      <c r="Q236" s="199"/>
      <c r="S236" s="199"/>
      <c r="U236" s="199"/>
      <c r="V236" s="206"/>
      <c r="W236" s="199"/>
      <c r="X236" s="206"/>
      <c r="Y236" s="199"/>
      <c r="Z236" s="206"/>
      <c r="AA236" s="199"/>
      <c r="AB236" s="206"/>
      <c r="AC236" s="199"/>
      <c r="AD236" s="206"/>
      <c r="AE236" s="199"/>
      <c r="AF236" s="206"/>
      <c r="AM236" s="206"/>
    </row>
    <row r="237" spans="1:72" s="221" customFormat="1" hidden="1">
      <c r="A237" s="220" t="s">
        <v>355</v>
      </c>
      <c r="B237" s="212"/>
      <c r="E237" s="221">
        <v>0</v>
      </c>
      <c r="F237" s="225"/>
      <c r="G237" s="221">
        <f>+E237+I237</f>
        <v>0</v>
      </c>
      <c r="H237" s="225"/>
      <c r="I237" s="221">
        <v>0</v>
      </c>
      <c r="J237" s="225"/>
      <c r="K237" s="221">
        <v>0</v>
      </c>
      <c r="L237" s="225"/>
      <c r="M237" s="221">
        <v>0</v>
      </c>
      <c r="N237" s="225"/>
      <c r="O237" s="221">
        <v>0</v>
      </c>
      <c r="P237" s="225"/>
      <c r="Q237" s="221">
        <v>0</v>
      </c>
      <c r="R237" s="225"/>
      <c r="S237" s="221">
        <v>0</v>
      </c>
      <c r="T237" s="223"/>
      <c r="U237" s="221">
        <v>0</v>
      </c>
      <c r="V237" s="225"/>
      <c r="W237" s="221">
        <v>0</v>
      </c>
      <c r="X237" s="225"/>
      <c r="Y237" s="221">
        <v>0</v>
      </c>
      <c r="Z237" s="225"/>
      <c r="AA237" s="221">
        <v>0</v>
      </c>
      <c r="AB237" s="225"/>
      <c r="AC237" s="221">
        <v>0</v>
      </c>
      <c r="AD237" s="225"/>
      <c r="AE237" s="221">
        <v>0</v>
      </c>
      <c r="AF237" s="225"/>
      <c r="AG237" s="221">
        <v>0</v>
      </c>
      <c r="AH237" s="225"/>
      <c r="AI237" s="221">
        <v>0</v>
      </c>
      <c r="AJ237" s="225"/>
      <c r="AK237" s="221">
        <f>SUM(K237:AJ237)</f>
        <v>0</v>
      </c>
      <c r="AL237" s="225"/>
      <c r="AM237" s="225">
        <v>0</v>
      </c>
      <c r="AN237" s="225"/>
      <c r="AO237" s="221">
        <v>0</v>
      </c>
      <c r="AP237" s="225"/>
      <c r="AQ237" s="225">
        <v>0</v>
      </c>
      <c r="AR237" s="225"/>
      <c r="AS237" s="225">
        <v>0</v>
      </c>
      <c r="AT237" s="225"/>
      <c r="AU237" s="225">
        <v>0</v>
      </c>
      <c r="AV237" s="225"/>
      <c r="AW237" s="225">
        <v>0</v>
      </c>
      <c r="AX237" s="225"/>
      <c r="AY237" s="225">
        <v>0</v>
      </c>
      <c r="AZ237" s="225"/>
      <c r="BA237" s="225">
        <v>0</v>
      </c>
      <c r="BB237" s="225"/>
      <c r="BC237" s="225">
        <v>0</v>
      </c>
      <c r="BD237" s="225"/>
      <c r="BE237" s="225">
        <v>0</v>
      </c>
      <c r="BF237" s="225"/>
      <c r="BG237" s="225">
        <v>0</v>
      </c>
      <c r="BH237" s="225"/>
      <c r="BI237" s="225">
        <v>0</v>
      </c>
      <c r="BJ237" s="225"/>
      <c r="BK237" s="225">
        <v>0</v>
      </c>
      <c r="BL237" s="225"/>
      <c r="BM237" s="440">
        <f>SUM(AC237:AT237)</f>
        <v>0</v>
      </c>
      <c r="BN237" s="225"/>
      <c r="BO237" s="221">
        <f>+MAX(0,G237-AK237+AM237)</f>
        <v>0</v>
      </c>
      <c r="BP237" s="225"/>
      <c r="BQ237" s="221">
        <f>+AK237+BO237</f>
        <v>0</v>
      </c>
      <c r="BR237" s="225"/>
      <c r="BS237" s="221">
        <f>+G237-BQ237</f>
        <v>0</v>
      </c>
      <c r="BT237" s="225"/>
    </row>
    <row r="238" spans="1:72" hidden="1">
      <c r="A238" s="383"/>
      <c r="B238" s="197"/>
      <c r="C238" s="187"/>
      <c r="D238" s="187"/>
      <c r="K238" s="199"/>
      <c r="L238" s="206"/>
      <c r="M238" s="199"/>
      <c r="O238" s="199"/>
      <c r="Q238" s="199"/>
      <c r="S238" s="199"/>
      <c r="U238" s="199"/>
      <c r="V238" s="206"/>
      <c r="W238" s="199"/>
      <c r="X238" s="206"/>
      <c r="Y238" s="199"/>
      <c r="Z238" s="206"/>
      <c r="AA238" s="199"/>
      <c r="AB238" s="206"/>
      <c r="AC238" s="199"/>
      <c r="AD238" s="206"/>
      <c r="AE238" s="199"/>
      <c r="AF238" s="206"/>
      <c r="AM238" s="206"/>
    </row>
    <row r="239" spans="1:72">
      <c r="A239" s="212" t="s">
        <v>273</v>
      </c>
      <c r="B239" s="206"/>
      <c r="C239" s="187"/>
      <c r="D239" s="187"/>
      <c r="K239" s="199"/>
      <c r="L239" s="206"/>
      <c r="M239" s="199"/>
      <c r="O239" s="199"/>
      <c r="Q239" s="199"/>
      <c r="S239" s="199"/>
      <c r="U239" s="199"/>
      <c r="V239" s="206"/>
      <c r="W239" s="199"/>
      <c r="X239" s="206"/>
      <c r="Y239" s="199"/>
      <c r="Z239" s="206"/>
      <c r="AA239" s="199"/>
      <c r="AB239" s="206"/>
      <c r="AC239" s="199"/>
      <c r="AD239" s="206"/>
      <c r="AE239" s="199"/>
      <c r="AF239" s="206"/>
      <c r="AM239" s="206"/>
    </row>
    <row r="240" spans="1:72" s="206" customFormat="1">
      <c r="A240" s="197"/>
      <c r="B240" s="206" t="s">
        <v>418</v>
      </c>
      <c r="E240" s="206">
        <v>0</v>
      </c>
      <c r="G240" s="199">
        <v>0</v>
      </c>
      <c r="I240" s="206">
        <f t="shared" ref="I240:I248" si="53">+G240-E240</f>
        <v>0</v>
      </c>
      <c r="K240" s="206">
        <v>0</v>
      </c>
      <c r="M240" s="206">
        <v>0</v>
      </c>
      <c r="O240" s="206">
        <v>0</v>
      </c>
      <c r="Q240" s="206">
        <v>0</v>
      </c>
      <c r="S240" s="206">
        <v>0</v>
      </c>
      <c r="T240" s="217"/>
      <c r="U240" s="218">
        <v>0</v>
      </c>
      <c r="V240" s="218"/>
      <c r="W240" s="218">
        <v>0</v>
      </c>
      <c r="X240" s="218"/>
      <c r="Y240" s="206">
        <v>0</v>
      </c>
      <c r="Z240" s="218"/>
      <c r="AA240" s="206">
        <v>0</v>
      </c>
      <c r="AB240" s="218"/>
      <c r="AC240" s="218">
        <v>0</v>
      </c>
      <c r="AD240" s="218"/>
      <c r="AE240" s="218">
        <v>0</v>
      </c>
      <c r="AF240" s="218"/>
      <c r="AG240" s="206">
        <v>0</v>
      </c>
      <c r="AI240" s="206">
        <v>0</v>
      </c>
      <c r="AK240" s="206">
        <f t="shared" ref="AK240:AK247" si="54">SUM(K240:AJ240)</f>
        <v>0</v>
      </c>
      <c r="AM240" s="206">
        <v>0</v>
      </c>
      <c r="AO240" s="206">
        <v>0</v>
      </c>
      <c r="AQ240" s="206">
        <v>0</v>
      </c>
      <c r="AS240" s="206">
        <v>0</v>
      </c>
      <c r="AU240" s="206">
        <v>0</v>
      </c>
      <c r="AW240" s="206">
        <v>0</v>
      </c>
      <c r="AY240" s="206">
        <v>0</v>
      </c>
      <c r="BA240" s="206">
        <v>0</v>
      </c>
      <c r="BC240" s="206">
        <v>0</v>
      </c>
      <c r="BE240" s="206">
        <v>0</v>
      </c>
      <c r="BG240" s="206">
        <v>0</v>
      </c>
      <c r="BI240" s="206">
        <v>0</v>
      </c>
      <c r="BK240" s="206">
        <v>0</v>
      </c>
      <c r="BM240" s="478">
        <f t="shared" ref="BM240:BM248" si="55">SUM(AK240:BL240)</f>
        <v>0</v>
      </c>
      <c r="BO240" s="199">
        <f t="shared" ref="BO240:BO247" si="56">+MAX(0,G240-BM240+AM240)</f>
        <v>0</v>
      </c>
      <c r="BQ240" s="199">
        <f t="shared" ref="BQ240:BQ248" si="57">SUM(BM240:BO240)</f>
        <v>0</v>
      </c>
      <c r="BS240" s="348">
        <f>+E240-BQ240</f>
        <v>0</v>
      </c>
    </row>
    <row r="241" spans="1:73" s="206" customFormat="1">
      <c r="A241" s="197"/>
      <c r="B241" s="206" t="s">
        <v>274</v>
      </c>
      <c r="E241" s="206">
        <v>0</v>
      </c>
      <c r="G241" s="199">
        <v>0</v>
      </c>
      <c r="I241" s="206">
        <f t="shared" si="53"/>
        <v>0</v>
      </c>
      <c r="K241" s="206">
        <v>0</v>
      </c>
      <c r="M241" s="206">
        <v>0</v>
      </c>
      <c r="O241" s="203">
        <v>0</v>
      </c>
      <c r="Q241" s="206">
        <v>0</v>
      </c>
      <c r="S241" s="217">
        <v>0</v>
      </c>
      <c r="T241" s="217"/>
      <c r="U241" s="206">
        <v>0</v>
      </c>
      <c r="W241" s="206">
        <v>0</v>
      </c>
      <c r="Y241" s="206">
        <v>0</v>
      </c>
      <c r="AA241" s="206">
        <v>0</v>
      </c>
      <c r="AC241" s="206">
        <v>0</v>
      </c>
      <c r="AE241" s="206">
        <v>0</v>
      </c>
      <c r="AG241" s="206">
        <v>0</v>
      </c>
      <c r="AI241" s="206">
        <v>0</v>
      </c>
      <c r="AK241" s="206">
        <f t="shared" si="54"/>
        <v>0</v>
      </c>
      <c r="AM241" s="206">
        <v>0</v>
      </c>
      <c r="AO241" s="206">
        <v>0</v>
      </c>
      <c r="AQ241" s="206">
        <v>0</v>
      </c>
      <c r="AS241" s="206">
        <v>0</v>
      </c>
      <c r="AU241" s="206">
        <v>0</v>
      </c>
      <c r="AW241" s="206">
        <v>0</v>
      </c>
      <c r="AY241" s="206">
        <v>0</v>
      </c>
      <c r="BA241" s="206">
        <v>0</v>
      </c>
      <c r="BC241" s="206">
        <v>0</v>
      </c>
      <c r="BE241" s="206">
        <v>0</v>
      </c>
      <c r="BG241" s="206">
        <v>0</v>
      </c>
      <c r="BI241" s="206">
        <v>0</v>
      </c>
      <c r="BK241" s="206">
        <v>0</v>
      </c>
      <c r="BM241" s="478">
        <f t="shared" si="55"/>
        <v>0</v>
      </c>
      <c r="BO241" s="199">
        <f t="shared" si="56"/>
        <v>0</v>
      </c>
      <c r="BQ241" s="199">
        <f t="shared" si="57"/>
        <v>0</v>
      </c>
      <c r="BS241" s="348">
        <f t="shared" ref="BS241:BS248" si="58">+E241-BQ241</f>
        <v>0</v>
      </c>
    </row>
    <row r="242" spans="1:73" s="206" customFormat="1" hidden="1">
      <c r="A242" s="197"/>
      <c r="B242" s="206" t="s">
        <v>275</v>
      </c>
      <c r="E242" s="206">
        <v>0</v>
      </c>
      <c r="G242" s="199">
        <v>0</v>
      </c>
      <c r="I242" s="206">
        <f t="shared" si="53"/>
        <v>0</v>
      </c>
      <c r="K242" s="206">
        <v>0</v>
      </c>
      <c r="M242" s="206">
        <v>0</v>
      </c>
      <c r="O242" s="206">
        <v>0</v>
      </c>
      <c r="Q242" s="206">
        <v>0</v>
      </c>
      <c r="S242" s="217">
        <v>0</v>
      </c>
      <c r="T242" s="217"/>
      <c r="U242" s="206">
        <v>0</v>
      </c>
      <c r="W242" s="206">
        <v>0</v>
      </c>
      <c r="Y242" s="206">
        <v>0</v>
      </c>
      <c r="AA242" s="206">
        <v>0</v>
      </c>
      <c r="AC242" s="206">
        <v>0</v>
      </c>
      <c r="AE242" s="206">
        <v>0</v>
      </c>
      <c r="AG242" s="206">
        <v>0</v>
      </c>
      <c r="AI242" s="206">
        <v>0</v>
      </c>
      <c r="AK242" s="206">
        <f t="shared" si="54"/>
        <v>0</v>
      </c>
      <c r="AM242" s="206">
        <v>0</v>
      </c>
      <c r="AO242" s="206">
        <v>0</v>
      </c>
      <c r="AQ242" s="206">
        <v>0</v>
      </c>
      <c r="AS242" s="206">
        <v>0</v>
      </c>
      <c r="AU242" s="206">
        <v>0</v>
      </c>
      <c r="AW242" s="206">
        <v>0</v>
      </c>
      <c r="AY242" s="206">
        <v>0</v>
      </c>
      <c r="BA242" s="206">
        <v>0</v>
      </c>
      <c r="BC242" s="206">
        <v>0</v>
      </c>
      <c r="BE242" s="206">
        <v>0</v>
      </c>
      <c r="BG242" s="206">
        <v>0</v>
      </c>
      <c r="BI242" s="206">
        <v>0</v>
      </c>
      <c r="BK242" s="206">
        <v>0</v>
      </c>
      <c r="BM242" s="478">
        <f t="shared" si="55"/>
        <v>0</v>
      </c>
      <c r="BO242" s="199">
        <f t="shared" si="56"/>
        <v>0</v>
      </c>
      <c r="BQ242" s="199">
        <f t="shared" si="57"/>
        <v>0</v>
      </c>
      <c r="BS242" s="348">
        <f t="shared" si="58"/>
        <v>0</v>
      </c>
    </row>
    <row r="243" spans="1:73" s="206" customFormat="1" hidden="1">
      <c r="A243" s="197"/>
      <c r="B243" s="206" t="s">
        <v>419</v>
      </c>
      <c r="E243" s="206">
        <v>0</v>
      </c>
      <c r="G243" s="199">
        <v>0</v>
      </c>
      <c r="I243" s="206">
        <f t="shared" si="53"/>
        <v>0</v>
      </c>
      <c r="K243" s="206">
        <v>0</v>
      </c>
      <c r="M243" s="206">
        <v>0</v>
      </c>
      <c r="O243" s="206">
        <v>0</v>
      </c>
      <c r="Q243" s="206">
        <v>0</v>
      </c>
      <c r="S243" s="217">
        <v>0</v>
      </c>
      <c r="T243" s="217"/>
      <c r="U243" s="206">
        <v>0</v>
      </c>
      <c r="W243" s="206">
        <v>0</v>
      </c>
      <c r="Y243" s="206">
        <v>0</v>
      </c>
      <c r="AA243" s="206">
        <v>0</v>
      </c>
      <c r="AC243" s="206">
        <v>0</v>
      </c>
      <c r="AE243" s="206">
        <v>0</v>
      </c>
      <c r="AG243" s="206">
        <v>0</v>
      </c>
      <c r="AI243" s="206">
        <v>0</v>
      </c>
      <c r="AK243" s="206">
        <f t="shared" si="54"/>
        <v>0</v>
      </c>
      <c r="AM243" s="206">
        <v>0</v>
      </c>
      <c r="AO243" s="206">
        <v>0</v>
      </c>
      <c r="AQ243" s="206">
        <v>0</v>
      </c>
      <c r="AS243" s="206">
        <v>0</v>
      </c>
      <c r="AU243" s="206">
        <v>0</v>
      </c>
      <c r="AW243" s="206">
        <v>0</v>
      </c>
      <c r="AY243" s="206">
        <v>0</v>
      </c>
      <c r="BA243" s="206">
        <v>0</v>
      </c>
      <c r="BC243" s="206">
        <v>0</v>
      </c>
      <c r="BE243" s="206">
        <v>0</v>
      </c>
      <c r="BG243" s="206">
        <v>0</v>
      </c>
      <c r="BI243" s="206">
        <v>0</v>
      </c>
      <c r="BK243" s="206">
        <v>0</v>
      </c>
      <c r="BM243" s="478">
        <f t="shared" si="55"/>
        <v>0</v>
      </c>
      <c r="BO243" s="199">
        <f t="shared" si="56"/>
        <v>0</v>
      </c>
      <c r="BQ243" s="199">
        <f t="shared" si="57"/>
        <v>0</v>
      </c>
      <c r="BS243" s="348">
        <f t="shared" si="58"/>
        <v>0</v>
      </c>
    </row>
    <row r="244" spans="1:73" s="206" customFormat="1" hidden="1">
      <c r="A244" s="197"/>
      <c r="B244" s="206" t="s">
        <v>276</v>
      </c>
      <c r="E244" s="206">
        <v>0</v>
      </c>
      <c r="G244" s="199">
        <v>0</v>
      </c>
      <c r="I244" s="206">
        <f t="shared" si="53"/>
        <v>0</v>
      </c>
      <c r="K244" s="206">
        <v>0</v>
      </c>
      <c r="M244" s="206">
        <v>0</v>
      </c>
      <c r="O244" s="206">
        <v>0</v>
      </c>
      <c r="Q244" s="206">
        <v>0</v>
      </c>
      <c r="S244" s="217">
        <v>0</v>
      </c>
      <c r="T244" s="217"/>
      <c r="U244" s="206">
        <v>0</v>
      </c>
      <c r="W244" s="206">
        <v>0</v>
      </c>
      <c r="Y244" s="206">
        <v>0</v>
      </c>
      <c r="AA244" s="206">
        <v>0</v>
      </c>
      <c r="AC244" s="206">
        <v>0</v>
      </c>
      <c r="AE244" s="206">
        <v>0</v>
      </c>
      <c r="AG244" s="206">
        <v>0</v>
      </c>
      <c r="AI244" s="206">
        <v>0</v>
      </c>
      <c r="AK244" s="206">
        <f t="shared" si="54"/>
        <v>0</v>
      </c>
      <c r="AM244" s="206">
        <v>0</v>
      </c>
      <c r="AO244" s="206">
        <v>0</v>
      </c>
      <c r="AQ244" s="206">
        <v>0</v>
      </c>
      <c r="AS244" s="206">
        <v>0</v>
      </c>
      <c r="AU244" s="206">
        <v>0</v>
      </c>
      <c r="AW244" s="206">
        <v>0</v>
      </c>
      <c r="AY244" s="206">
        <v>0</v>
      </c>
      <c r="BA244" s="206">
        <v>0</v>
      </c>
      <c r="BC244" s="206">
        <v>0</v>
      </c>
      <c r="BE244" s="206">
        <v>0</v>
      </c>
      <c r="BG244" s="206">
        <v>0</v>
      </c>
      <c r="BI244" s="206">
        <v>0</v>
      </c>
      <c r="BK244" s="206">
        <v>0</v>
      </c>
      <c r="BM244" s="478">
        <f t="shared" si="55"/>
        <v>0</v>
      </c>
      <c r="BO244" s="199">
        <f t="shared" si="56"/>
        <v>0</v>
      </c>
      <c r="BQ244" s="199">
        <f t="shared" si="57"/>
        <v>0</v>
      </c>
      <c r="BS244" s="348">
        <f t="shared" si="58"/>
        <v>0</v>
      </c>
    </row>
    <row r="245" spans="1:73" s="206" customFormat="1" hidden="1">
      <c r="A245" s="197"/>
      <c r="B245" s="206" t="s">
        <v>278</v>
      </c>
      <c r="E245" s="206">
        <v>0</v>
      </c>
      <c r="G245" s="199">
        <v>0</v>
      </c>
      <c r="I245" s="206">
        <f t="shared" si="53"/>
        <v>0</v>
      </c>
      <c r="K245" s="206">
        <v>0</v>
      </c>
      <c r="M245" s="206">
        <v>0</v>
      </c>
      <c r="O245" s="206">
        <v>0</v>
      </c>
      <c r="Q245" s="206">
        <v>0</v>
      </c>
      <c r="S245" s="217">
        <v>0</v>
      </c>
      <c r="T245" s="217"/>
      <c r="U245" s="206">
        <v>0</v>
      </c>
      <c r="W245" s="206">
        <v>0</v>
      </c>
      <c r="Y245" s="206">
        <v>0</v>
      </c>
      <c r="AA245" s="206">
        <v>0</v>
      </c>
      <c r="AC245" s="206">
        <v>0</v>
      </c>
      <c r="AE245" s="206">
        <v>0</v>
      </c>
      <c r="AG245" s="206">
        <v>0</v>
      </c>
      <c r="AI245" s="206">
        <v>0</v>
      </c>
      <c r="AK245" s="206">
        <f t="shared" si="54"/>
        <v>0</v>
      </c>
      <c r="AM245" s="206">
        <v>0</v>
      </c>
      <c r="AO245" s="206">
        <v>0</v>
      </c>
      <c r="AQ245" s="206">
        <v>0</v>
      </c>
      <c r="AS245" s="206">
        <v>0</v>
      </c>
      <c r="AU245" s="206">
        <v>0</v>
      </c>
      <c r="AW245" s="206">
        <v>0</v>
      </c>
      <c r="AY245" s="206">
        <v>0</v>
      </c>
      <c r="BA245" s="206">
        <v>0</v>
      </c>
      <c r="BC245" s="206">
        <v>0</v>
      </c>
      <c r="BE245" s="206">
        <v>0</v>
      </c>
      <c r="BG245" s="206">
        <v>0</v>
      </c>
      <c r="BI245" s="206">
        <v>0</v>
      </c>
      <c r="BK245" s="206">
        <v>0</v>
      </c>
      <c r="BM245" s="478">
        <f t="shared" si="55"/>
        <v>0</v>
      </c>
      <c r="BO245" s="199">
        <f t="shared" si="56"/>
        <v>0</v>
      </c>
      <c r="BQ245" s="199">
        <f t="shared" si="57"/>
        <v>0</v>
      </c>
      <c r="BS245" s="348">
        <f t="shared" si="58"/>
        <v>0</v>
      </c>
    </row>
    <row r="246" spans="1:73" s="206" customFormat="1" hidden="1">
      <c r="A246" s="197"/>
      <c r="B246" s="206" t="s">
        <v>279</v>
      </c>
      <c r="E246" s="206">
        <v>0</v>
      </c>
      <c r="G246" s="199">
        <v>0</v>
      </c>
      <c r="I246" s="206">
        <f t="shared" si="53"/>
        <v>0</v>
      </c>
      <c r="K246" s="206">
        <v>0</v>
      </c>
      <c r="M246" s="206">
        <v>0</v>
      </c>
      <c r="O246" s="206">
        <v>0</v>
      </c>
      <c r="Q246" s="206">
        <v>0</v>
      </c>
      <c r="S246" s="217">
        <v>0</v>
      </c>
      <c r="T246" s="217"/>
      <c r="U246" s="206">
        <v>0</v>
      </c>
      <c r="W246" s="206">
        <v>0</v>
      </c>
      <c r="Y246" s="206">
        <v>0</v>
      </c>
      <c r="AA246" s="206">
        <v>0</v>
      </c>
      <c r="AC246" s="206">
        <v>0</v>
      </c>
      <c r="AE246" s="206">
        <v>0</v>
      </c>
      <c r="AG246" s="206">
        <v>0</v>
      </c>
      <c r="AI246" s="206">
        <v>0</v>
      </c>
      <c r="AK246" s="206">
        <f t="shared" si="54"/>
        <v>0</v>
      </c>
      <c r="AM246" s="206">
        <v>0</v>
      </c>
      <c r="AO246" s="206">
        <v>0</v>
      </c>
      <c r="AQ246" s="206">
        <v>0</v>
      </c>
      <c r="AS246" s="206">
        <v>0</v>
      </c>
      <c r="AU246" s="206">
        <v>0</v>
      </c>
      <c r="AW246" s="206">
        <v>0</v>
      </c>
      <c r="AY246" s="206">
        <v>0</v>
      </c>
      <c r="BA246" s="206">
        <v>0</v>
      </c>
      <c r="BC246" s="206">
        <v>0</v>
      </c>
      <c r="BE246" s="206">
        <v>0</v>
      </c>
      <c r="BG246" s="206">
        <v>0</v>
      </c>
      <c r="BI246" s="206">
        <v>0</v>
      </c>
      <c r="BK246" s="206">
        <v>0</v>
      </c>
      <c r="BM246" s="478">
        <f t="shared" si="55"/>
        <v>0</v>
      </c>
      <c r="BO246" s="199">
        <f t="shared" si="56"/>
        <v>0</v>
      </c>
      <c r="BQ246" s="199">
        <f t="shared" si="57"/>
        <v>0</v>
      </c>
      <c r="BS246" s="348">
        <f t="shared" si="58"/>
        <v>0</v>
      </c>
    </row>
    <row r="247" spans="1:73" s="206" customFormat="1" hidden="1">
      <c r="A247" s="197"/>
      <c r="B247" s="206" t="s">
        <v>277</v>
      </c>
      <c r="E247" s="206">
        <v>0</v>
      </c>
      <c r="G247" s="199">
        <v>0</v>
      </c>
      <c r="I247" s="206">
        <f t="shared" si="53"/>
        <v>0</v>
      </c>
      <c r="K247" s="206">
        <v>0</v>
      </c>
      <c r="M247" s="206">
        <v>0</v>
      </c>
      <c r="O247" s="206">
        <v>0</v>
      </c>
      <c r="Q247" s="206">
        <v>0</v>
      </c>
      <c r="S247" s="217">
        <v>0</v>
      </c>
      <c r="T247" s="217"/>
      <c r="U247" s="206">
        <v>0</v>
      </c>
      <c r="W247" s="206">
        <v>0</v>
      </c>
      <c r="Y247" s="206">
        <v>0</v>
      </c>
      <c r="AA247" s="206">
        <v>0</v>
      </c>
      <c r="AC247" s="206">
        <v>0</v>
      </c>
      <c r="AE247" s="206">
        <v>0</v>
      </c>
      <c r="AG247" s="206">
        <v>0</v>
      </c>
      <c r="AI247" s="206">
        <v>0</v>
      </c>
      <c r="AK247" s="206">
        <f t="shared" si="54"/>
        <v>0</v>
      </c>
      <c r="AM247" s="206">
        <v>0</v>
      </c>
      <c r="AO247" s="206">
        <v>0</v>
      </c>
      <c r="AQ247" s="206">
        <v>0</v>
      </c>
      <c r="AS247" s="206">
        <v>0</v>
      </c>
      <c r="AU247" s="206">
        <v>0</v>
      </c>
      <c r="AW247" s="206">
        <v>0</v>
      </c>
      <c r="AY247" s="206">
        <v>0</v>
      </c>
      <c r="BA247" s="206">
        <v>0</v>
      </c>
      <c r="BC247" s="206">
        <v>0</v>
      </c>
      <c r="BE247" s="206">
        <v>0</v>
      </c>
      <c r="BG247" s="206">
        <v>0</v>
      </c>
      <c r="BI247" s="206">
        <v>0</v>
      </c>
      <c r="BK247" s="206">
        <v>0</v>
      </c>
      <c r="BM247" s="478">
        <f t="shared" si="55"/>
        <v>0</v>
      </c>
      <c r="BO247" s="199">
        <f t="shared" si="56"/>
        <v>0</v>
      </c>
      <c r="BQ247" s="199">
        <f t="shared" si="57"/>
        <v>0</v>
      </c>
      <c r="BS247" s="348">
        <f t="shared" si="58"/>
        <v>0</v>
      </c>
    </row>
    <row r="248" spans="1:73" s="206" customFormat="1">
      <c r="A248" s="197"/>
      <c r="B248" s="206" t="s">
        <v>926</v>
      </c>
      <c r="E248" s="206">
        <f>375000</f>
        <v>375000</v>
      </c>
      <c r="G248" s="200">
        <f>BQ248</f>
        <v>378323.93</v>
      </c>
      <c r="I248" s="206">
        <f t="shared" si="53"/>
        <v>3323.929999999993</v>
      </c>
      <c r="K248" s="206">
        <f>474.67+505.33+825.25</f>
        <v>1805.25</v>
      </c>
      <c r="M248" s="206">
        <v>0</v>
      </c>
      <c r="O248" s="206">
        <f>605.32+461.4+330.3</f>
        <v>1397.02</v>
      </c>
      <c r="Q248" s="203">
        <f>1397.02-1397.02+3171.91+812.23+747.73+79.82+71.39</f>
        <v>4883.08</v>
      </c>
      <c r="S248" s="217">
        <f>5285+1030.34+122.91+819.44+172.58+1425</f>
        <v>8855.27</v>
      </c>
      <c r="T248" s="217"/>
      <c r="U248" s="233">
        <f>5072.96+4935.11+1074.93+1199.36+839.59+500.82+1631.74+360</f>
        <v>15614.51</v>
      </c>
      <c r="V248" s="233"/>
      <c r="W248" s="233">
        <f>4948.92+4164.95+1938.42+73.37+1209.54+321.96</f>
        <v>12657.16</v>
      </c>
      <c r="X248" s="233"/>
      <c r="Y248" s="218">
        <f>5936.81+100+968+826.59+978.73+259.17+1117.25+953.02+170.25+5551.71+34.19+1157.17+27.79+37.62+2182.8+303.21</f>
        <v>20604.309999999998</v>
      </c>
      <c r="Z248" s="233"/>
      <c r="AA248" s="218">
        <f>793.07+7.58+419.3</f>
        <v>1219.95</v>
      </c>
      <c r="AB248" s="233"/>
      <c r="AC248" s="233">
        <f>2025.33+73.48+1145.46</f>
        <v>3244.27</v>
      </c>
      <c r="AD248" s="233"/>
      <c r="AE248" s="233">
        <f>126.84+1131.4+66.49</f>
        <v>1324.73</v>
      </c>
      <c r="AF248" s="233"/>
      <c r="AG248" s="206">
        <f>0+9.17+484.41+2152.82+1383.69+126.22</f>
        <v>4156.3100000000004</v>
      </c>
      <c r="AI248" s="206">
        <f>22069.5+4589.45+16484.03+9568.95+2059.32+9301.58+27961.73+19918.9+27650.83+41293.92+19502.89+22838.53+316.65+746.73+18.72+1640.13+828.67+580.92+200.12+2231.25+1852.25</f>
        <v>231655.07</v>
      </c>
      <c r="AK248" s="206">
        <f>SUM(K248:AI248)</f>
        <v>307416.93</v>
      </c>
      <c r="AM248" s="206">
        <v>0</v>
      </c>
      <c r="AO248" s="206">
        <f>1960.12+588.63</f>
        <v>2548.75</v>
      </c>
      <c r="AQ248" s="206">
        <f>421.55+3436.57+3454.11+169.3+886.67+25.32+2462.22+858.45+149.62</f>
        <v>11863.810000000001</v>
      </c>
      <c r="AS248" s="206">
        <f>1078.7+1919.12+465.81+221.24+525</f>
        <v>4209.87</v>
      </c>
      <c r="AU248" s="206">
        <f>70-3858.12-2606.17</f>
        <v>-6394.29</v>
      </c>
      <c r="AW248" s="206">
        <f>199.9+1730.09+20</f>
        <v>1949.99</v>
      </c>
      <c r="AY248" s="206">
        <f>655.21+2950</f>
        <v>3605.21</v>
      </c>
      <c r="BA248" s="206">
        <f>21+794+73.25+784.41</f>
        <v>1672.6599999999999</v>
      </c>
      <c r="BC248" s="206">
        <f>4293+1218+46</f>
        <v>5557</v>
      </c>
      <c r="BE248" s="206">
        <v>17144</v>
      </c>
      <c r="BG248" s="206">
        <f>21644-125-1437</f>
        <v>20082</v>
      </c>
      <c r="BI248" s="206">
        <f>8668-71876+71876</f>
        <v>8668</v>
      </c>
      <c r="BK248" s="206">
        <v>0</v>
      </c>
      <c r="BM248" s="478">
        <f t="shared" si="55"/>
        <v>378323.93</v>
      </c>
      <c r="BO248" s="199">
        <v>0</v>
      </c>
      <c r="BQ248" s="199">
        <f t="shared" si="57"/>
        <v>378323.93</v>
      </c>
      <c r="BS248" s="360">
        <f t="shared" si="58"/>
        <v>-3323.929999999993</v>
      </c>
    </row>
    <row r="249" spans="1:73" s="206" customFormat="1">
      <c r="A249" s="197"/>
      <c r="T249" s="217"/>
      <c r="BM249" s="480"/>
    </row>
    <row r="250" spans="1:73" s="221" customFormat="1">
      <c r="A250" s="212"/>
      <c r="B250" s="225" t="s">
        <v>286</v>
      </c>
      <c r="E250" s="224">
        <f>SUM(E240:E249)</f>
        <v>375000</v>
      </c>
      <c r="F250" s="225"/>
      <c r="G250" s="224">
        <f>SUM(G240:G249)</f>
        <v>378323.93</v>
      </c>
      <c r="H250" s="225"/>
      <c r="I250" s="224">
        <f>SUM(I240:I249)</f>
        <v>3323.929999999993</v>
      </c>
      <c r="J250" s="225"/>
      <c r="K250" s="224">
        <f>SUM(K240:K249)</f>
        <v>1805.25</v>
      </c>
      <c r="L250" s="225"/>
      <c r="M250" s="224">
        <f>SUM(M240:M249)</f>
        <v>0</v>
      </c>
      <c r="N250" s="225"/>
      <c r="O250" s="224">
        <f>SUM(O240:O249)</f>
        <v>1397.02</v>
      </c>
      <c r="P250" s="225"/>
      <c r="Q250" s="224">
        <f>SUM(Q240:Q249)</f>
        <v>4883.08</v>
      </c>
      <c r="R250" s="225"/>
      <c r="S250" s="224">
        <f>SUM(S240:S249)</f>
        <v>8855.27</v>
      </c>
      <c r="T250" s="223"/>
      <c r="U250" s="224">
        <f>SUM(U240:U249)</f>
        <v>15614.51</v>
      </c>
      <c r="V250" s="225"/>
      <c r="W250" s="224">
        <f>SUM(W240:W249)</f>
        <v>12657.16</v>
      </c>
      <c r="X250" s="225"/>
      <c r="Y250" s="224">
        <f>SUM(Y241:Y249)</f>
        <v>20604.309999999998</v>
      </c>
      <c r="Z250" s="225"/>
      <c r="AA250" s="224">
        <f>SUM(AA241:AA249)</f>
        <v>1219.95</v>
      </c>
      <c r="AB250" s="225"/>
      <c r="AC250" s="224">
        <f>SUM(AC240:AC249)</f>
        <v>3244.27</v>
      </c>
      <c r="AD250" s="225"/>
      <c r="AE250" s="224">
        <f>SUM(AE240:AE249)</f>
        <v>1324.73</v>
      </c>
      <c r="AF250" s="225"/>
      <c r="AG250" s="224">
        <f>SUM(AG240:AG249)</f>
        <v>4156.3100000000004</v>
      </c>
      <c r="AH250" s="225"/>
      <c r="AI250" s="224">
        <f>SUM(AI240:AI249)</f>
        <v>231655.07</v>
      </c>
      <c r="AJ250" s="225"/>
      <c r="AK250" s="224">
        <f>SUM(AK240:AK249)</f>
        <v>307416.93</v>
      </c>
      <c r="AL250" s="225"/>
      <c r="AM250" s="225">
        <f>SUM(AM240:AM249)</f>
        <v>0</v>
      </c>
      <c r="AN250" s="225"/>
      <c r="AO250" s="224">
        <f>SUM(AO240:AO249)</f>
        <v>2548.75</v>
      </c>
      <c r="AP250" s="225"/>
      <c r="AQ250" s="224">
        <f>SUM(AQ240:AQ249)</f>
        <v>11863.810000000001</v>
      </c>
      <c r="AR250" s="225"/>
      <c r="AS250" s="224">
        <f>SUM(AS240:AS249)</f>
        <v>4209.87</v>
      </c>
      <c r="AT250" s="225"/>
      <c r="AU250" s="224">
        <f>SUM(AU240:AU249)</f>
        <v>-6394.29</v>
      </c>
      <c r="AV250" s="225"/>
      <c r="AW250" s="224">
        <f>SUM(AW240:AW249)</f>
        <v>1949.99</v>
      </c>
      <c r="AX250" s="225"/>
      <c r="AY250" s="224">
        <f>SUM(AY240:AY249)</f>
        <v>3605.21</v>
      </c>
      <c r="AZ250" s="225"/>
      <c r="BA250" s="224">
        <f>SUM(BA240:BA249)</f>
        <v>1672.6599999999999</v>
      </c>
      <c r="BB250" s="225"/>
      <c r="BC250" s="224">
        <f>SUM(BC240:BC249)</f>
        <v>5557</v>
      </c>
      <c r="BD250" s="225"/>
      <c r="BE250" s="224">
        <f>SUM(BE240:BE249)</f>
        <v>17144</v>
      </c>
      <c r="BF250" s="225"/>
      <c r="BG250" s="224">
        <f>SUM(BG240:BG249)</f>
        <v>20082</v>
      </c>
      <c r="BH250" s="225"/>
      <c r="BI250" s="224">
        <f>SUM(BI240:BI249)</f>
        <v>8668</v>
      </c>
      <c r="BJ250" s="225"/>
      <c r="BK250" s="224">
        <f>SUM(BK240:BK249)</f>
        <v>0</v>
      </c>
      <c r="BL250" s="225"/>
      <c r="BM250" s="489">
        <f>SUM(BM240:BM249)</f>
        <v>378323.93</v>
      </c>
      <c r="BN250" s="225"/>
      <c r="BO250" s="224">
        <f>SUM(BO240:BO249)</f>
        <v>0</v>
      </c>
      <c r="BP250" s="225"/>
      <c r="BQ250" s="224">
        <f>SUM(BQ240:BQ249)</f>
        <v>378323.93</v>
      </c>
      <c r="BR250" s="225"/>
      <c r="BS250" s="224">
        <f>SUM(BS240:BS249)</f>
        <v>-3323.929999999993</v>
      </c>
      <c r="BT250" s="225"/>
    </row>
    <row r="251" spans="1:73">
      <c r="A251" s="212"/>
      <c r="B251" s="206"/>
      <c r="C251" s="187"/>
      <c r="D251" s="187"/>
      <c r="K251" s="199"/>
      <c r="L251" s="206"/>
      <c r="M251" s="199"/>
      <c r="O251" s="199"/>
      <c r="Q251" s="199"/>
      <c r="S251" s="199"/>
      <c r="U251" s="199"/>
      <c r="V251" s="206"/>
      <c r="W251" s="199"/>
      <c r="X251" s="206"/>
      <c r="Y251" s="199"/>
      <c r="Z251" s="206"/>
      <c r="AA251" s="199"/>
      <c r="AB251" s="206"/>
      <c r="AC251" s="199"/>
      <c r="AD251" s="206"/>
      <c r="AE251" s="199"/>
      <c r="AF251" s="206"/>
      <c r="AM251" s="206"/>
    </row>
    <row r="252" spans="1:73">
      <c r="A252" s="212" t="s">
        <v>283</v>
      </c>
      <c r="B252" s="206"/>
      <c r="C252" s="187"/>
      <c r="D252" s="187"/>
      <c r="K252" s="199"/>
      <c r="L252" s="206"/>
      <c r="M252" s="199"/>
      <c r="O252" s="199"/>
      <c r="Q252" s="199"/>
      <c r="S252" s="199"/>
      <c r="U252" s="199"/>
      <c r="V252" s="206"/>
      <c r="W252" s="199"/>
      <c r="X252" s="206"/>
      <c r="Y252" s="199"/>
      <c r="Z252" s="206"/>
      <c r="AA252" s="199"/>
      <c r="AB252" s="206"/>
      <c r="AC252" s="199"/>
      <c r="AD252" s="206"/>
      <c r="AE252" s="199"/>
      <c r="AF252" s="206"/>
      <c r="AK252" s="206">
        <f>SUM(K252:AJ252)</f>
        <v>0</v>
      </c>
      <c r="AM252" s="206"/>
      <c r="BM252" s="480"/>
      <c r="BO252" s="206"/>
    </row>
    <row r="253" spans="1:73" s="206" customFormat="1">
      <c r="A253" s="197"/>
      <c r="B253" s="206" t="s">
        <v>457</v>
      </c>
      <c r="E253" s="206">
        <v>300000</v>
      </c>
      <c r="G253" s="200">
        <f>BM253</f>
        <v>304747.25</v>
      </c>
      <c r="I253" s="206">
        <f>+G253-E253</f>
        <v>4747.25</v>
      </c>
      <c r="K253" s="206">
        <f>14520.32+7378.21</f>
        <v>21898.53</v>
      </c>
      <c r="M253" s="206">
        <v>6134.01</v>
      </c>
      <c r="O253" s="207">
        <v>9917.44</v>
      </c>
      <c r="Q253" s="206">
        <v>0</v>
      </c>
      <c r="S253" s="206">
        <v>0</v>
      </c>
      <c r="T253" s="217"/>
      <c r="U253" s="206">
        <v>43465.95</v>
      </c>
      <c r="W253" s="206">
        <v>0</v>
      </c>
      <c r="Y253" s="206">
        <v>0</v>
      </c>
      <c r="AA253" s="206">
        <v>0</v>
      </c>
      <c r="AC253" s="206">
        <f>23476.13+5034.12</f>
        <v>28510.25</v>
      </c>
      <c r="AE253" s="206">
        <v>0</v>
      </c>
      <c r="AG253" s="206">
        <f>14180+79879+10609</f>
        <v>104668</v>
      </c>
      <c r="AI253" s="206">
        <f>5515.93+6134.01+9917.44+43465.95</f>
        <v>65033.33</v>
      </c>
      <c r="AK253" s="206">
        <f>SUM(K253:AJ253)</f>
        <v>279627.51</v>
      </c>
      <c r="AM253" s="206">
        <v>0</v>
      </c>
      <c r="AO253" s="206">
        <v>2036.4</v>
      </c>
      <c r="AQ253" s="206">
        <v>0</v>
      </c>
      <c r="AS253" s="206">
        <v>15743.99</v>
      </c>
      <c r="AU253" s="206">
        <v>0</v>
      </c>
      <c r="AW253" s="206">
        <v>0</v>
      </c>
      <c r="AY253" s="206">
        <f>6519.85+132.5+600</f>
        <v>7252.35</v>
      </c>
      <c r="BA253" s="206">
        <v>0</v>
      </c>
      <c r="BC253" s="206">
        <v>0</v>
      </c>
      <c r="BE253" s="206">
        <v>0</v>
      </c>
      <c r="BG253" s="206">
        <v>87</v>
      </c>
      <c r="BI253" s="206">
        <v>0</v>
      </c>
      <c r="BK253" s="206">
        <v>0</v>
      </c>
      <c r="BM253" s="478">
        <f>SUM(AK253:BL253)</f>
        <v>304747.25</v>
      </c>
      <c r="BO253" s="199">
        <v>0</v>
      </c>
      <c r="BQ253" s="199">
        <f>SUM(BM253:BO253)</f>
        <v>304747.25</v>
      </c>
      <c r="BS253" s="360">
        <f>+E253-BQ253</f>
        <v>-4747.25</v>
      </c>
      <c r="BU253" s="206" t="s">
        <v>476</v>
      </c>
    </row>
    <row r="254" spans="1:73" s="206" customFormat="1" ht="12" customHeight="1">
      <c r="A254" s="197"/>
      <c r="B254" s="206" t="s">
        <v>455</v>
      </c>
      <c r="E254" s="206">
        <v>150000</v>
      </c>
      <c r="G254" s="200">
        <v>104427</v>
      </c>
      <c r="I254" s="206">
        <f>+G254-E254</f>
        <v>-45573</v>
      </c>
      <c r="K254" s="206">
        <f>14346.82+10271.2+3762.91+345.13+1704.5+780.46</f>
        <v>31211.02</v>
      </c>
      <c r="M254" s="206">
        <v>0</v>
      </c>
      <c r="O254" s="206">
        <v>0</v>
      </c>
      <c r="Q254" s="206">
        <v>0</v>
      </c>
      <c r="S254" s="206">
        <v>0</v>
      </c>
      <c r="T254" s="217"/>
      <c r="U254" s="206">
        <v>0</v>
      </c>
      <c r="W254" s="206">
        <v>0</v>
      </c>
      <c r="Y254" s="206">
        <f>2585.04</f>
        <v>2585.04</v>
      </c>
      <c r="AA254" s="206">
        <v>0</v>
      </c>
      <c r="AC254" s="206">
        <f>2387.16+7055.46</f>
        <v>9442.619999999999</v>
      </c>
      <c r="AE254" s="206">
        <v>2771.63</v>
      </c>
      <c r="AG254" s="206">
        <v>0</v>
      </c>
      <c r="AI254" s="206">
        <f>4050.27+674.69+464.29+429.85+270.9+931.98+6727.02</f>
        <v>13549</v>
      </c>
      <c r="AK254" s="206">
        <f>SUM(K254:AJ254)</f>
        <v>59559.30999999999</v>
      </c>
      <c r="AM254" s="206">
        <v>0</v>
      </c>
      <c r="AO254" s="206">
        <v>3255.75</v>
      </c>
      <c r="AQ254" s="206">
        <v>0</v>
      </c>
      <c r="AS254" s="206">
        <v>0</v>
      </c>
      <c r="AU254" s="206">
        <f>10253.1+880.28+1508.22+16000</f>
        <v>28641.599999999999</v>
      </c>
      <c r="AW254" s="206">
        <v>-31.37</v>
      </c>
      <c r="AY254" s="206">
        <v>13001.75</v>
      </c>
      <c r="BA254" s="206">
        <v>0</v>
      </c>
      <c r="BC254" s="206">
        <v>0</v>
      </c>
      <c r="BE254" s="206">
        <v>0</v>
      </c>
      <c r="BG254" s="206">
        <v>0</v>
      </c>
      <c r="BI254" s="206">
        <v>0</v>
      </c>
      <c r="BK254" s="206">
        <v>0</v>
      </c>
      <c r="BM254" s="478">
        <f>SUM(AK254:BL254)</f>
        <v>104427.04</v>
      </c>
      <c r="BO254" s="199">
        <v>0</v>
      </c>
      <c r="BQ254" s="199">
        <f>SUM(BM254:BO254)</f>
        <v>104427.04</v>
      </c>
      <c r="BS254" s="360">
        <f>+E254-BQ254</f>
        <v>45572.960000000006</v>
      </c>
      <c r="BU254" s="206" t="s">
        <v>476</v>
      </c>
    </row>
    <row r="255" spans="1:73" s="206" customFormat="1">
      <c r="A255" s="197"/>
      <c r="B255" s="206" t="s">
        <v>359</v>
      </c>
      <c r="E255" s="206">
        <v>0</v>
      </c>
      <c r="G255" s="199">
        <v>0</v>
      </c>
      <c r="I255" s="206">
        <f>+G255-E255</f>
        <v>0</v>
      </c>
      <c r="K255" s="206">
        <v>2705</v>
      </c>
      <c r="O255" s="206">
        <v>934</v>
      </c>
      <c r="T255" s="217"/>
      <c r="U255" s="206">
        <v>0</v>
      </c>
      <c r="W255" s="206">
        <v>-10271.200000000001</v>
      </c>
      <c r="AE255" s="206">
        <v>0</v>
      </c>
      <c r="AG255" s="206">
        <v>0</v>
      </c>
      <c r="AI255" s="206">
        <v>0</v>
      </c>
      <c r="AK255" s="206">
        <f>SUM(K255:AI255)</f>
        <v>-6632.2000000000007</v>
      </c>
      <c r="AM255" s="206">
        <v>0</v>
      </c>
      <c r="AO255" s="206">
        <v>0</v>
      </c>
      <c r="AQ255" s="206">
        <v>0</v>
      </c>
      <c r="AS255" s="206">
        <v>0</v>
      </c>
      <c r="AU255" s="206">
        <v>0</v>
      </c>
      <c r="AW255" s="206">
        <v>0</v>
      </c>
      <c r="AY255" s="206">
        <v>0</v>
      </c>
      <c r="BA255" s="206">
        <v>0</v>
      </c>
      <c r="BC255" s="206">
        <v>0</v>
      </c>
      <c r="BE255" s="206">
        <v>0</v>
      </c>
      <c r="BG255" s="206">
        <v>0</v>
      </c>
      <c r="BI255" s="206">
        <v>0</v>
      </c>
      <c r="BK255" s="206">
        <v>0</v>
      </c>
      <c r="BM255" s="478">
        <f>SUM(AK255:BL255)</f>
        <v>-6632.2000000000007</v>
      </c>
      <c r="BO255" s="199">
        <v>0</v>
      </c>
      <c r="BQ255" s="199">
        <f>SUM(BM255:BO255)</f>
        <v>-6632.2000000000007</v>
      </c>
      <c r="BS255" s="360">
        <f>+E255-BQ255</f>
        <v>6632.2000000000007</v>
      </c>
    </row>
    <row r="256" spans="1:73" s="206" customFormat="1">
      <c r="A256" s="197"/>
      <c r="B256" s="206" t="s">
        <v>1228</v>
      </c>
      <c r="E256" s="206">
        <v>40000</v>
      </c>
      <c r="G256" s="206">
        <v>29698</v>
      </c>
      <c r="I256" s="206">
        <f>+G256-E256</f>
        <v>-10302</v>
      </c>
      <c r="T256" s="217"/>
      <c r="AK256" s="206">
        <f>SUM(K256:AI256)</f>
        <v>0</v>
      </c>
      <c r="AS256" s="206">
        <f>'Invoice Detail'!D412+'Invoice Detail'!D413</f>
        <v>23988.75</v>
      </c>
      <c r="AW256" s="206">
        <v>4231.25</v>
      </c>
      <c r="AY256" s="206">
        <v>947.5</v>
      </c>
      <c r="BA256" s="206">
        <v>530</v>
      </c>
      <c r="BI256" s="206">
        <v>0</v>
      </c>
      <c r="BK256" s="206">
        <v>0</v>
      </c>
      <c r="BM256" s="478">
        <f>SUM(AK256:BL256)</f>
        <v>29697.5</v>
      </c>
      <c r="BO256" s="199">
        <v>0</v>
      </c>
      <c r="BQ256" s="199">
        <f>SUM(BM256:BO256)</f>
        <v>29697.5</v>
      </c>
      <c r="BS256" s="360">
        <f>+E256-BQ256</f>
        <v>10302.5</v>
      </c>
    </row>
    <row r="257" spans="1:72" s="206" customFormat="1">
      <c r="A257" s="197"/>
      <c r="B257" s="206" t="s">
        <v>1229</v>
      </c>
      <c r="E257" s="206">
        <v>-40000</v>
      </c>
      <c r="G257" s="206">
        <v>-42444</v>
      </c>
      <c r="I257" s="206">
        <f>+G257-E257</f>
        <v>-2444</v>
      </c>
      <c r="T257" s="217"/>
      <c r="AK257" s="206">
        <f>SUM(K257:AI257)</f>
        <v>0</v>
      </c>
      <c r="AW257" s="206">
        <v>-23988.75</v>
      </c>
      <c r="AY257" s="206">
        <v>0</v>
      </c>
      <c r="BA257" s="206">
        <v>0</v>
      </c>
      <c r="BC257" s="206">
        <v>0</v>
      </c>
      <c r="BE257" s="206">
        <v>0</v>
      </c>
      <c r="BG257" s="206">
        <f>-20000+1545</f>
        <v>-18455</v>
      </c>
      <c r="BI257" s="206">
        <v>0</v>
      </c>
      <c r="BK257" s="206">
        <v>0</v>
      </c>
      <c r="BM257" s="478">
        <f>SUM(AK257:BL257)</f>
        <v>-42443.75</v>
      </c>
      <c r="BO257" s="199">
        <v>0</v>
      </c>
      <c r="BQ257" s="199">
        <f>SUM(BM257:BO257)</f>
        <v>-42443.75</v>
      </c>
      <c r="BS257" s="360">
        <f>+E257-BQ257</f>
        <v>2443.75</v>
      </c>
    </row>
    <row r="258" spans="1:72" s="206" customFormat="1">
      <c r="A258" s="197"/>
      <c r="T258" s="217"/>
      <c r="BM258" s="480"/>
      <c r="BS258" s="217"/>
    </row>
    <row r="259" spans="1:72" s="221" customFormat="1">
      <c r="A259" s="212"/>
      <c r="B259" s="225" t="s">
        <v>287</v>
      </c>
      <c r="E259" s="224">
        <f>SUM(E253:E258)</f>
        <v>450000</v>
      </c>
      <c r="F259" s="225"/>
      <c r="G259" s="224">
        <f>SUM(G253:G258)</f>
        <v>396428.25</v>
      </c>
      <c r="H259" s="225"/>
      <c r="I259" s="224">
        <f>SUM(I253:I258)</f>
        <v>-53571.75</v>
      </c>
      <c r="J259" s="225"/>
      <c r="K259" s="224">
        <f>SUM(K253:K258)</f>
        <v>55814.55</v>
      </c>
      <c r="L259" s="225"/>
      <c r="M259" s="224">
        <f>SUM(M253:M258)</f>
        <v>6134.01</v>
      </c>
      <c r="N259" s="225"/>
      <c r="O259" s="224">
        <f>SUM(O253:O258)</f>
        <v>10851.44</v>
      </c>
      <c r="P259" s="225"/>
      <c r="Q259" s="224">
        <f>SUM(Q253:Q258)</f>
        <v>0</v>
      </c>
      <c r="R259" s="225"/>
      <c r="S259" s="224">
        <f>SUM(S253:S258)</f>
        <v>0</v>
      </c>
      <c r="T259" s="223"/>
      <c r="U259" s="224">
        <f>SUM(U253:U258)</f>
        <v>43465.95</v>
      </c>
      <c r="V259" s="225"/>
      <c r="W259" s="224">
        <f>SUM(W253:W258)</f>
        <v>-10271.200000000001</v>
      </c>
      <c r="X259" s="225"/>
      <c r="Y259" s="224">
        <f>SUM(Y253:Y258)</f>
        <v>2585.04</v>
      </c>
      <c r="Z259" s="225"/>
      <c r="AA259" s="224">
        <f>SUM(AA253:AA258)</f>
        <v>0</v>
      </c>
      <c r="AB259" s="225"/>
      <c r="AC259" s="224">
        <f>SUM(AC252:AC258)</f>
        <v>37952.869999999995</v>
      </c>
      <c r="AD259" s="225"/>
      <c r="AE259" s="224">
        <f>SUM(AE253:AE258)</f>
        <v>2771.63</v>
      </c>
      <c r="AF259" s="225"/>
      <c r="AG259" s="224">
        <f>SUM(AG253:AG258)</f>
        <v>104668</v>
      </c>
      <c r="AH259" s="225"/>
      <c r="AI259" s="224">
        <f>SUM(AI253:AI258)</f>
        <v>78582.33</v>
      </c>
      <c r="AJ259" s="225"/>
      <c r="AK259" s="224">
        <f>SUM(AK252:AK258)</f>
        <v>332554.62</v>
      </c>
      <c r="AL259" s="225"/>
      <c r="AM259" s="225">
        <f>SUM(AM253:AM258)</f>
        <v>0</v>
      </c>
      <c r="AN259" s="225"/>
      <c r="AO259" s="224">
        <f>SUM(AO253:AO258)</f>
        <v>5292.15</v>
      </c>
      <c r="AP259" s="225"/>
      <c r="AQ259" s="224">
        <f>SUM(AQ253:AQ258)</f>
        <v>0</v>
      </c>
      <c r="AR259" s="225"/>
      <c r="AS259" s="224">
        <f>SUM(AS253:AS258)</f>
        <v>39732.74</v>
      </c>
      <c r="AT259" s="225"/>
      <c r="AU259" s="224">
        <f>SUM(AU253:AU258)</f>
        <v>28641.599999999999</v>
      </c>
      <c r="AV259" s="225"/>
      <c r="AW259" s="224">
        <f>SUM(AW253:AW258)</f>
        <v>-19788.87</v>
      </c>
      <c r="AX259" s="225"/>
      <c r="AY259" s="224">
        <f>SUM(AY253:AY258)</f>
        <v>21201.599999999999</v>
      </c>
      <c r="AZ259" s="225"/>
      <c r="BA259" s="224">
        <f>SUM(BA253:BA258)</f>
        <v>530</v>
      </c>
      <c r="BB259" s="225"/>
      <c r="BC259" s="224">
        <f>SUM(BC253:BC258)</f>
        <v>0</v>
      </c>
      <c r="BD259" s="225"/>
      <c r="BE259" s="224">
        <f>SUM(BE253:BE258)</f>
        <v>0</v>
      </c>
      <c r="BF259" s="225"/>
      <c r="BG259" s="224">
        <f>SUM(BG253:BG258)</f>
        <v>-18368</v>
      </c>
      <c r="BH259" s="225"/>
      <c r="BI259" s="224">
        <f>SUM(BI253:BI258)</f>
        <v>0</v>
      </c>
      <c r="BJ259" s="225"/>
      <c r="BK259" s="224">
        <f>SUM(BK253:BK258)</f>
        <v>0</v>
      </c>
      <c r="BL259" s="225"/>
      <c r="BM259" s="489">
        <f>SUM(BM252:BM258)</f>
        <v>389795.83999999997</v>
      </c>
      <c r="BN259" s="225"/>
      <c r="BO259" s="224">
        <f>SUM(BO252:BO258)</f>
        <v>0</v>
      </c>
      <c r="BP259" s="225"/>
      <c r="BQ259" s="224">
        <f>SUM(BQ253:BQ258)</f>
        <v>389795.83999999997</v>
      </c>
      <c r="BR259" s="225"/>
      <c r="BS259" s="409">
        <f>SUM(BS253:BS258)</f>
        <v>60204.160000000003</v>
      </c>
      <c r="BT259" s="225"/>
    </row>
    <row r="260" spans="1:72" ht="15.75" customHeight="1">
      <c r="A260" s="212"/>
      <c r="B260" s="206"/>
      <c r="C260" s="187"/>
      <c r="D260" s="187"/>
      <c r="E260" s="206"/>
      <c r="G260" s="206"/>
      <c r="I260" s="206"/>
      <c r="K260" s="206"/>
      <c r="L260" s="206"/>
      <c r="M260" s="206"/>
      <c r="O260" s="206"/>
      <c r="Q260" s="206"/>
      <c r="S260" s="206"/>
      <c r="U260" s="206"/>
      <c r="V260" s="206"/>
      <c r="W260" s="206"/>
      <c r="X260" s="206"/>
      <c r="Y260" s="206"/>
      <c r="Z260" s="206"/>
      <c r="AA260" s="206"/>
      <c r="AB260" s="206"/>
      <c r="AC260" s="206"/>
      <c r="AD260" s="206"/>
      <c r="AE260" s="206"/>
      <c r="AF260" s="206"/>
      <c r="AG260" s="206"/>
      <c r="AI260" s="206"/>
      <c r="AK260" s="206"/>
      <c r="AM260" s="206"/>
      <c r="AO260" s="206"/>
      <c r="BM260" s="480"/>
      <c r="BO260" s="206"/>
      <c r="BQ260" s="206"/>
      <c r="BS260" s="206"/>
    </row>
    <row r="261" spans="1:72" s="221" customFormat="1" hidden="1">
      <c r="A261" s="212" t="s">
        <v>424</v>
      </c>
      <c r="B261" s="225"/>
      <c r="E261" s="221">
        <v>0</v>
      </c>
      <c r="F261" s="225"/>
      <c r="G261" s="221">
        <f>+E261+I261</f>
        <v>0</v>
      </c>
      <c r="H261" s="225"/>
      <c r="I261" s="221">
        <v>0</v>
      </c>
      <c r="J261" s="225"/>
      <c r="K261" s="221">
        <v>0</v>
      </c>
      <c r="L261" s="225"/>
      <c r="M261" s="221">
        <v>0</v>
      </c>
      <c r="N261" s="225"/>
      <c r="O261" s="221">
        <v>0</v>
      </c>
      <c r="P261" s="225"/>
      <c r="Q261" s="221">
        <v>0</v>
      </c>
      <c r="R261" s="225"/>
      <c r="S261" s="221">
        <v>0</v>
      </c>
      <c r="T261" s="223"/>
      <c r="U261" s="221">
        <v>0</v>
      </c>
      <c r="V261" s="225"/>
      <c r="W261" s="221">
        <v>0</v>
      </c>
      <c r="X261" s="225"/>
      <c r="Y261" s="221">
        <v>0</v>
      </c>
      <c r="Z261" s="225"/>
      <c r="AA261" s="221">
        <v>0</v>
      </c>
      <c r="AB261" s="225"/>
      <c r="AC261" s="221">
        <v>0</v>
      </c>
      <c r="AD261" s="225"/>
      <c r="AE261" s="221">
        <v>0</v>
      </c>
      <c r="AF261" s="225"/>
      <c r="AG261" s="221">
        <v>0</v>
      </c>
      <c r="AH261" s="225"/>
      <c r="AI261" s="221">
        <v>0</v>
      </c>
      <c r="AJ261" s="225"/>
      <c r="AK261" s="221">
        <f>SUM(K261:AJ261)</f>
        <v>0</v>
      </c>
      <c r="AL261" s="225"/>
      <c r="AM261" s="225">
        <v>0</v>
      </c>
      <c r="AN261" s="225"/>
      <c r="AO261" s="221">
        <v>0</v>
      </c>
      <c r="AP261" s="225"/>
      <c r="AQ261" s="225">
        <v>0</v>
      </c>
      <c r="AR261" s="225"/>
      <c r="AS261" s="225">
        <v>0</v>
      </c>
      <c r="AT261" s="225"/>
      <c r="AU261" s="225">
        <v>0</v>
      </c>
      <c r="AV261" s="225"/>
      <c r="AW261" s="225">
        <v>0</v>
      </c>
      <c r="AX261" s="225"/>
      <c r="AY261" s="225">
        <v>0</v>
      </c>
      <c r="AZ261" s="225"/>
      <c r="BA261" s="225">
        <v>0</v>
      </c>
      <c r="BB261" s="225"/>
      <c r="BC261" s="225">
        <v>0</v>
      </c>
      <c r="BD261" s="225"/>
      <c r="BE261" s="225">
        <v>0</v>
      </c>
      <c r="BF261" s="225"/>
      <c r="BG261" s="225">
        <v>0</v>
      </c>
      <c r="BH261" s="225"/>
      <c r="BI261" s="225">
        <v>0</v>
      </c>
      <c r="BJ261" s="225"/>
      <c r="BK261" s="225">
        <v>0</v>
      </c>
      <c r="BL261" s="225"/>
      <c r="BM261" s="440">
        <f>SUM(AC261:AT261)</f>
        <v>0</v>
      </c>
      <c r="BN261" s="225"/>
      <c r="BO261" s="221">
        <f>+MAX(0,G261-AK261+AM261)</f>
        <v>0</v>
      </c>
      <c r="BP261" s="225"/>
      <c r="BQ261" s="221">
        <f>+AK261+BO261</f>
        <v>0</v>
      </c>
      <c r="BR261" s="225"/>
      <c r="BS261" s="221">
        <f>+G261-BQ261</f>
        <v>0</v>
      </c>
      <c r="BT261" s="225"/>
    </row>
    <row r="262" spans="1:72" hidden="1">
      <c r="A262" s="212"/>
      <c r="B262" s="206"/>
      <c r="C262" s="187"/>
      <c r="D262" s="187"/>
      <c r="E262" s="206"/>
      <c r="G262" s="206"/>
      <c r="I262" s="206"/>
      <c r="K262" s="206"/>
      <c r="L262" s="206"/>
      <c r="M262" s="206"/>
      <c r="O262" s="206"/>
      <c r="Q262" s="206"/>
      <c r="S262" s="206"/>
      <c r="U262" s="206"/>
      <c r="V262" s="206"/>
      <c r="W262" s="206"/>
      <c r="X262" s="206"/>
      <c r="Y262" s="206"/>
      <c r="Z262" s="206"/>
      <c r="AA262" s="206"/>
      <c r="AB262" s="206"/>
      <c r="AC262" s="206"/>
      <c r="AD262" s="206"/>
      <c r="AE262" s="206"/>
      <c r="AF262" s="206"/>
      <c r="AG262" s="206"/>
      <c r="AI262" s="206"/>
      <c r="AK262" s="206"/>
      <c r="AM262" s="206"/>
      <c r="AO262" s="206"/>
      <c r="BM262" s="480"/>
      <c r="BO262" s="206"/>
      <c r="BQ262" s="206"/>
      <c r="BS262" s="206"/>
    </row>
    <row r="263" spans="1:72" s="221" customFormat="1" hidden="1">
      <c r="A263" s="212" t="s">
        <v>425</v>
      </c>
      <c r="B263" s="225"/>
      <c r="E263" s="230"/>
      <c r="F263" s="225"/>
      <c r="G263" s="221">
        <v>0</v>
      </c>
      <c r="H263" s="225"/>
      <c r="I263" s="221">
        <f>+G263-E263</f>
        <v>0</v>
      </c>
      <c r="J263" s="225"/>
      <c r="K263" s="221">
        <v>0</v>
      </c>
      <c r="L263" s="225"/>
      <c r="M263" s="221">
        <v>0</v>
      </c>
      <c r="N263" s="225"/>
      <c r="O263" s="221">
        <v>0</v>
      </c>
      <c r="P263" s="225"/>
      <c r="Q263" s="221">
        <v>0</v>
      </c>
      <c r="R263" s="225"/>
      <c r="S263" s="221">
        <v>0</v>
      </c>
      <c r="T263" s="223"/>
      <c r="U263" s="221">
        <v>0</v>
      </c>
      <c r="V263" s="225"/>
      <c r="W263" s="221">
        <v>0</v>
      </c>
      <c r="X263" s="225"/>
      <c r="Y263" s="221">
        <v>0</v>
      </c>
      <c r="Z263" s="225"/>
      <c r="AA263" s="221">
        <v>0</v>
      </c>
      <c r="AB263" s="225"/>
      <c r="AC263" s="221">
        <v>0</v>
      </c>
      <c r="AD263" s="225"/>
      <c r="AE263" s="221">
        <v>0</v>
      </c>
      <c r="AF263" s="225"/>
      <c r="AG263" s="221">
        <v>0</v>
      </c>
      <c r="AH263" s="225"/>
      <c r="AI263" s="221">
        <v>0</v>
      </c>
      <c r="AJ263" s="225"/>
      <c r="AK263" s="221">
        <f>SUM(K263:AJ263)</f>
        <v>0</v>
      </c>
      <c r="AL263" s="225"/>
      <c r="AM263" s="225">
        <v>0</v>
      </c>
      <c r="AN263" s="225"/>
      <c r="AO263" s="221">
        <v>0</v>
      </c>
      <c r="AP263" s="225"/>
      <c r="AQ263" s="225">
        <v>0</v>
      </c>
      <c r="AR263" s="225"/>
      <c r="AS263" s="225">
        <v>0</v>
      </c>
      <c r="AT263" s="225"/>
      <c r="AU263" s="225">
        <v>0</v>
      </c>
      <c r="AV263" s="225"/>
      <c r="AW263" s="225">
        <v>0</v>
      </c>
      <c r="AX263" s="225"/>
      <c r="AY263" s="225">
        <v>0</v>
      </c>
      <c r="AZ263" s="225"/>
      <c r="BA263" s="225">
        <v>0</v>
      </c>
      <c r="BB263" s="225"/>
      <c r="BC263" s="225">
        <v>0</v>
      </c>
      <c r="BD263" s="225"/>
      <c r="BE263" s="225">
        <v>0</v>
      </c>
      <c r="BF263" s="225"/>
      <c r="BG263" s="225">
        <v>0</v>
      </c>
      <c r="BH263" s="225"/>
      <c r="BI263" s="225">
        <v>0</v>
      </c>
      <c r="BJ263" s="225"/>
      <c r="BK263" s="225">
        <v>0</v>
      </c>
      <c r="BL263" s="225"/>
      <c r="BM263" s="440">
        <f>SUM(AC263:AT263)</f>
        <v>0</v>
      </c>
      <c r="BN263" s="225"/>
      <c r="BO263" s="221">
        <f>+MAX(0,G263-AK263+AM263)</f>
        <v>0</v>
      </c>
      <c r="BP263" s="225"/>
      <c r="BQ263" s="221">
        <f>+AK263+BO263</f>
        <v>0</v>
      </c>
      <c r="BR263" s="225"/>
      <c r="BS263" s="221">
        <f>+G263-BQ263</f>
        <v>0</v>
      </c>
      <c r="BT263" s="225"/>
    </row>
    <row r="264" spans="1:72" hidden="1">
      <c r="A264" s="212"/>
      <c r="B264" s="206"/>
      <c r="C264" s="187"/>
      <c r="D264" s="187"/>
      <c r="E264" s="206"/>
      <c r="G264" s="206"/>
      <c r="I264" s="206"/>
      <c r="K264" s="206"/>
      <c r="L264" s="206"/>
      <c r="M264" s="206"/>
      <c r="O264" s="206"/>
      <c r="Q264" s="206"/>
      <c r="S264" s="206"/>
      <c r="U264" s="206"/>
      <c r="V264" s="206"/>
      <c r="W264" s="206"/>
      <c r="X264" s="206"/>
      <c r="Y264" s="206"/>
      <c r="Z264" s="206"/>
      <c r="AA264" s="206"/>
      <c r="AB264" s="206"/>
      <c r="AC264" s="206"/>
      <c r="AD264" s="206"/>
      <c r="AE264" s="206"/>
      <c r="AF264" s="206"/>
      <c r="AG264" s="206"/>
      <c r="AI264" s="206"/>
      <c r="AK264" s="206"/>
      <c r="AM264" s="206"/>
      <c r="AO264" s="206"/>
      <c r="BM264" s="480"/>
      <c r="BO264" s="206"/>
      <c r="BQ264" s="206"/>
      <c r="BS264" s="206"/>
    </row>
    <row r="265" spans="1:72" s="221" customFormat="1" hidden="1">
      <c r="A265" s="212" t="s">
        <v>435</v>
      </c>
      <c r="B265" s="225"/>
      <c r="E265" s="221">
        <v>0</v>
      </c>
      <c r="F265" s="225"/>
      <c r="G265" s="221">
        <f>+E265+I265</f>
        <v>0</v>
      </c>
      <c r="H265" s="225"/>
      <c r="I265" s="221">
        <v>0</v>
      </c>
      <c r="J265" s="225"/>
      <c r="K265" s="221">
        <v>0</v>
      </c>
      <c r="L265" s="225"/>
      <c r="M265" s="221">
        <v>0</v>
      </c>
      <c r="N265" s="225"/>
      <c r="O265" s="221">
        <v>0</v>
      </c>
      <c r="P265" s="225"/>
      <c r="Q265" s="221">
        <v>0</v>
      </c>
      <c r="R265" s="225"/>
      <c r="S265" s="221">
        <v>0</v>
      </c>
      <c r="T265" s="223"/>
      <c r="U265" s="221">
        <v>0</v>
      </c>
      <c r="V265" s="225"/>
      <c r="W265" s="221">
        <v>0</v>
      </c>
      <c r="X265" s="225"/>
      <c r="Y265" s="221">
        <v>0</v>
      </c>
      <c r="Z265" s="225"/>
      <c r="AA265" s="221">
        <v>0</v>
      </c>
      <c r="AB265" s="225"/>
      <c r="AC265" s="221">
        <v>0</v>
      </c>
      <c r="AD265" s="225"/>
      <c r="AE265" s="221">
        <v>0</v>
      </c>
      <c r="AF265" s="225"/>
      <c r="AG265" s="221">
        <v>0</v>
      </c>
      <c r="AH265" s="225"/>
      <c r="AI265" s="221">
        <v>0</v>
      </c>
      <c r="AJ265" s="225"/>
      <c r="AK265" s="221">
        <f>SUM(K265:AJ265)</f>
        <v>0</v>
      </c>
      <c r="AL265" s="225"/>
      <c r="AM265" s="225">
        <v>0</v>
      </c>
      <c r="AN265" s="225"/>
      <c r="AO265" s="221">
        <v>0</v>
      </c>
      <c r="AP265" s="225"/>
      <c r="AQ265" s="225">
        <v>0</v>
      </c>
      <c r="AR265" s="225"/>
      <c r="AS265" s="225">
        <v>0</v>
      </c>
      <c r="AT265" s="225"/>
      <c r="AU265" s="225">
        <v>0</v>
      </c>
      <c r="AV265" s="225"/>
      <c r="AW265" s="225">
        <v>0</v>
      </c>
      <c r="AX265" s="225"/>
      <c r="AY265" s="225">
        <v>0</v>
      </c>
      <c r="AZ265" s="225"/>
      <c r="BA265" s="225">
        <v>0</v>
      </c>
      <c r="BB265" s="225"/>
      <c r="BC265" s="225">
        <v>0</v>
      </c>
      <c r="BD265" s="225"/>
      <c r="BE265" s="225">
        <v>0</v>
      </c>
      <c r="BF265" s="225"/>
      <c r="BG265" s="225">
        <v>0</v>
      </c>
      <c r="BH265" s="225"/>
      <c r="BI265" s="225">
        <v>0</v>
      </c>
      <c r="BJ265" s="225"/>
      <c r="BK265" s="225">
        <v>0</v>
      </c>
      <c r="BL265" s="225"/>
      <c r="BM265" s="440">
        <f>SUM(AC265:AT265)</f>
        <v>0</v>
      </c>
      <c r="BN265" s="225"/>
      <c r="BO265" s="221">
        <f>+MAX(0,G265-AK265+AM265)</f>
        <v>0</v>
      </c>
      <c r="BP265" s="225"/>
      <c r="BQ265" s="221">
        <f>+AK265+BO265</f>
        <v>0</v>
      </c>
      <c r="BR265" s="225"/>
      <c r="BS265" s="221">
        <f>+G265-BQ265</f>
        <v>0</v>
      </c>
      <c r="BT265" s="225"/>
    </row>
    <row r="266" spans="1:72" hidden="1">
      <c r="A266" s="212"/>
      <c r="B266" s="206"/>
      <c r="C266" s="187"/>
      <c r="D266" s="187"/>
      <c r="E266" s="206"/>
      <c r="G266" s="206"/>
      <c r="I266" s="206"/>
      <c r="K266" s="206"/>
      <c r="L266" s="206"/>
      <c r="M266" s="206"/>
      <c r="O266" s="206"/>
      <c r="Q266" s="206"/>
      <c r="S266" s="206"/>
      <c r="U266" s="206"/>
      <c r="V266" s="206"/>
      <c r="W266" s="206"/>
      <c r="X266" s="206"/>
      <c r="Y266" s="206"/>
      <c r="Z266" s="206"/>
      <c r="AA266" s="206"/>
      <c r="AB266" s="206"/>
      <c r="AC266" s="206"/>
      <c r="AD266" s="206"/>
      <c r="AE266" s="206"/>
      <c r="AF266" s="206"/>
      <c r="AG266" s="206"/>
      <c r="AI266" s="206"/>
      <c r="AK266" s="206"/>
      <c r="AM266" s="206"/>
      <c r="AO266" s="206"/>
      <c r="BM266" s="480"/>
      <c r="BO266" s="206"/>
      <c r="BQ266" s="206"/>
      <c r="BS266" s="206"/>
    </row>
    <row r="267" spans="1:72" s="236" customFormat="1">
      <c r="A267" s="234"/>
      <c r="B267" s="235" t="s">
        <v>284</v>
      </c>
      <c r="E267" s="236">
        <f>+E235+E237+E250+E259+E265+E261+E263</f>
        <v>825000</v>
      </c>
      <c r="G267" s="236">
        <f>+G235+G237+G250+G259+G265+G261+G263</f>
        <v>774752.17999999993</v>
      </c>
      <c r="I267" s="236">
        <f>+I235+I237+I250+I259+I265+I261+I263</f>
        <v>-50247.820000000007</v>
      </c>
      <c r="K267" s="236">
        <f>+K235+K237+K250+K259+K265+K261+K263</f>
        <v>57619.8</v>
      </c>
      <c r="M267" s="236">
        <f>+M235+M237+M250+M259+M265+M261+M263</f>
        <v>6134.01</v>
      </c>
      <c r="O267" s="236">
        <f>+O235+O237+O250+O259+O265+O261+O263</f>
        <v>12248.460000000001</v>
      </c>
      <c r="Q267" s="236">
        <f>+Q235+Q237+Q250+Q259+Q265+Q261+Q263</f>
        <v>4883.08</v>
      </c>
      <c r="S267" s="236">
        <f>+S235+S237+S250+S259+S265+S261+S263</f>
        <v>8855.27</v>
      </c>
      <c r="T267" s="223"/>
      <c r="U267" s="236">
        <f>+U235+U237+U250+U259+U265+U261+U263</f>
        <v>59080.46</v>
      </c>
      <c r="W267" s="236">
        <f>+W235+W237+W250+W259+W265+W261+W263</f>
        <v>2385.9599999999991</v>
      </c>
      <c r="Y267" s="236">
        <f>+Y235+Y237+Y250+Y259+Y265+Y261+Y263</f>
        <v>23189.35</v>
      </c>
      <c r="AA267" s="236">
        <f>+AA235+AA237+AA250+AA259+AA265+AA261+AA263</f>
        <v>1219.95</v>
      </c>
      <c r="AC267" s="236">
        <f>+AC235+AC237+AC250+AC259+AC265+AC261+AC263</f>
        <v>41197.139999999992</v>
      </c>
      <c r="AE267" s="236">
        <f>+AE235+AE237+AE250+AE259+AE265+AE261+AE263</f>
        <v>4096.3600000000006</v>
      </c>
      <c r="AG267" s="236">
        <f>+AG235+AG237+AG250+AG259+AG265+AG261+AG263</f>
        <v>108824.31</v>
      </c>
      <c r="AI267" s="236">
        <f>+AI235+AI237+AI250+AI259+AI265+AI261+AI263</f>
        <v>310237.40000000002</v>
      </c>
      <c r="AK267" s="236">
        <f>+AK235+AK237+AK250+AK259+AK265+AK261+AK263</f>
        <v>639971.55000000005</v>
      </c>
      <c r="AM267" s="236">
        <f>+AM235+AM237+AM250+AM259+AM265+AM261+AM263</f>
        <v>0</v>
      </c>
      <c r="AO267" s="236">
        <f>+AO235+AO237+AO250+AO259+AO265+AO261+AO263</f>
        <v>7840.9</v>
      </c>
      <c r="AQ267" s="236">
        <f>+AQ235+AQ237+AQ250+AQ259+AQ265+AQ261+AQ263</f>
        <v>11863.810000000001</v>
      </c>
      <c r="AS267" s="236">
        <f>+AS235+AS237+AS250+AS259+AS265+AS261+AS263</f>
        <v>43942.61</v>
      </c>
      <c r="AU267" s="236">
        <f>+AU235+AU237+AU250+AU259+AU265+AU261+AU263</f>
        <v>22247.309999999998</v>
      </c>
      <c r="AW267" s="236">
        <f>+AW235+AW237+AW250+AW259+AW265+AW261+AW263</f>
        <v>-17838.879999999997</v>
      </c>
      <c r="AY267" s="236">
        <f>+AY235+AY237+AY250+AY259+AY265+AY261+AY263</f>
        <v>24806.809999999998</v>
      </c>
      <c r="BA267" s="236">
        <f>+BA235+BA237+BA250+BA259+BA265+BA261+BA263</f>
        <v>2202.66</v>
      </c>
      <c r="BC267" s="236">
        <f>+BC235+BC237+BC250+BC259+BC265+BC261+BC263</f>
        <v>5557</v>
      </c>
      <c r="BE267" s="236">
        <f>+BE235+BE237+BE250+BE259+BE265+BE261+BE263</f>
        <v>17144</v>
      </c>
      <c r="BG267" s="236">
        <f>+BG235+BG237+BG250+BG259+BG265+BG261+BG263</f>
        <v>1714</v>
      </c>
      <c r="BI267" s="236">
        <f>+BI235+BI237+BI250+BI259+BI265+BI261+BI263</f>
        <v>8668</v>
      </c>
      <c r="BK267" s="236">
        <f>+BK235+BK237+BK250+BK259+BK265+BK261+BK263</f>
        <v>0</v>
      </c>
      <c r="BM267" s="495">
        <f>+BM235+BM237+BM250+BM259+BM265+BM261+BM263</f>
        <v>768119.77</v>
      </c>
      <c r="BO267" s="236">
        <f>+BO235+BO237+BO250+BO259+BO265+BO261+BO263</f>
        <v>0</v>
      </c>
      <c r="BQ267" s="236">
        <f>+BQ235+BQ237+BQ250+BQ259+BQ265+BQ261+BQ263</f>
        <v>768119.77</v>
      </c>
      <c r="BS267" s="236">
        <f>+BS235+BS237+BS250+BS259+BS265+BS261+BS263</f>
        <v>56880.23000000001</v>
      </c>
    </row>
    <row r="268" spans="1:72">
      <c r="A268" s="383"/>
      <c r="B268" s="220"/>
      <c r="C268" s="187"/>
      <c r="D268" s="187"/>
      <c r="K268" s="199"/>
      <c r="L268" s="206"/>
      <c r="M268" s="199"/>
      <c r="O268" s="199"/>
      <c r="Q268" s="199"/>
      <c r="S268" s="199"/>
      <c r="U268" s="199"/>
      <c r="V268" s="206"/>
      <c r="W268" s="199"/>
      <c r="X268" s="206"/>
      <c r="Y268" s="199"/>
      <c r="Z268" s="206"/>
      <c r="AA268" s="199"/>
      <c r="AB268" s="206"/>
      <c r="AC268" s="199"/>
      <c r="AD268" s="206"/>
      <c r="AE268" s="199"/>
      <c r="AF268" s="206"/>
      <c r="AM268" s="206"/>
    </row>
    <row r="269" spans="1:72" s="221" customFormat="1">
      <c r="A269" s="340" t="s">
        <v>319</v>
      </c>
      <c r="B269" s="220"/>
      <c r="E269" s="221">
        <f>E267+E226</f>
        <v>112383987.94999999</v>
      </c>
      <c r="F269" s="225"/>
      <c r="G269" s="221">
        <f>G267+G226</f>
        <v>118288004.06000002</v>
      </c>
      <c r="H269" s="225"/>
      <c r="I269" s="221">
        <f>I267+I226</f>
        <v>5840651.1099999994</v>
      </c>
      <c r="J269" s="225"/>
      <c r="K269" s="221">
        <f>K267+K226</f>
        <v>21428869.800000001</v>
      </c>
      <c r="L269" s="225"/>
      <c r="M269" s="221">
        <f>M267+M226</f>
        <v>4411803.49</v>
      </c>
      <c r="N269" s="225"/>
      <c r="O269" s="221">
        <f>O267+O226</f>
        <v>3230174.65</v>
      </c>
      <c r="P269" s="225"/>
      <c r="Q269" s="221">
        <f>Q267+Q226</f>
        <v>1856449.2000000002</v>
      </c>
      <c r="R269" s="225"/>
      <c r="S269" s="221">
        <f>S267+S226</f>
        <v>3025974.27</v>
      </c>
      <c r="T269" s="225"/>
      <c r="U269" s="221">
        <f>U267+U226</f>
        <v>4604975.96</v>
      </c>
      <c r="V269" s="225"/>
      <c r="W269" s="221">
        <f>W267+W226</f>
        <v>2900713.4799999995</v>
      </c>
      <c r="X269" s="225"/>
      <c r="Y269" s="221">
        <f>Y267+Y226</f>
        <v>1888966.6900000004</v>
      </c>
      <c r="Z269" s="225"/>
      <c r="AA269" s="221">
        <f>AA267+AA226</f>
        <v>3340374.04</v>
      </c>
      <c r="AB269" s="225"/>
      <c r="AC269" s="221">
        <f>AC267+AC226</f>
        <v>3343727.4600000004</v>
      </c>
      <c r="AD269" s="225"/>
      <c r="AE269" s="221">
        <f>AE267+AE226</f>
        <v>7253667.2000000011</v>
      </c>
      <c r="AF269" s="225"/>
      <c r="AG269" s="221">
        <f>AG267+AG226</f>
        <v>7769992.7399999993</v>
      </c>
      <c r="AH269" s="225"/>
      <c r="AI269" s="221">
        <f>AI267+AI226</f>
        <v>7427682.1600000011</v>
      </c>
      <c r="AJ269" s="225"/>
      <c r="AK269" s="221">
        <f>AK267+AK226</f>
        <v>72483371.140000015</v>
      </c>
      <c r="AL269" s="225"/>
      <c r="AM269" s="221">
        <f>AM267+AM226</f>
        <v>0</v>
      </c>
      <c r="AN269" s="225"/>
      <c r="AO269" s="221">
        <f>AO267+AO226</f>
        <v>9532656.5999999996</v>
      </c>
      <c r="AP269" s="225"/>
      <c r="AQ269" s="221">
        <f>AQ267+AQ226</f>
        <v>4926942.93</v>
      </c>
      <c r="AR269" s="225"/>
      <c r="AS269" s="221">
        <f>AS267+AS226</f>
        <v>8747843.2300000004</v>
      </c>
      <c r="AT269" s="225"/>
      <c r="AU269" s="221">
        <f>AU267+AU226</f>
        <v>708516.27000000048</v>
      </c>
      <c r="AV269" s="225"/>
      <c r="AW269" s="221">
        <f>AW267+AW226</f>
        <v>3868098.2</v>
      </c>
      <c r="AX269" s="225"/>
      <c r="AY269" s="221">
        <f>AY267+AY226</f>
        <v>5098299.45</v>
      </c>
      <c r="AZ269" s="225"/>
      <c r="BA269" s="221">
        <f>BA267+BA226</f>
        <v>4523964.54</v>
      </c>
      <c r="BB269" s="225"/>
      <c r="BC269" s="221">
        <f>BC267+BC226</f>
        <v>3427047</v>
      </c>
      <c r="BE269" s="221">
        <f>BE267+BE226</f>
        <v>6595266</v>
      </c>
      <c r="BG269" s="221">
        <f>BG267+BG226</f>
        <v>982694</v>
      </c>
      <c r="BI269" s="221">
        <f>BI267+BI226</f>
        <v>1254974</v>
      </c>
      <c r="BK269" s="221">
        <f>BK267+BK226</f>
        <v>25904</v>
      </c>
      <c r="BL269" s="225"/>
      <c r="BM269" s="473">
        <f>BM267+BM226</f>
        <v>122175577.36000001</v>
      </c>
      <c r="BN269" s="225"/>
      <c r="BO269" s="221">
        <f>BO267+BO226</f>
        <v>-3854137.2699999991</v>
      </c>
      <c r="BP269" s="225"/>
      <c r="BQ269" s="221">
        <f>BQ267+BQ226</f>
        <v>118321440.09000002</v>
      </c>
      <c r="BR269" s="225"/>
      <c r="BS269" s="221">
        <f>BS267+BS226</f>
        <v>-5937452.1400000071</v>
      </c>
      <c r="BT269" s="225"/>
    </row>
    <row r="270" spans="1:72">
      <c r="A270" s="383"/>
      <c r="B270" s="220"/>
      <c r="C270" s="187"/>
      <c r="D270" s="187"/>
      <c r="K270" s="199"/>
      <c r="L270" s="206"/>
      <c r="M270" s="199"/>
      <c r="O270" s="199"/>
      <c r="Q270" s="199"/>
      <c r="S270" s="199"/>
      <c r="U270" s="199"/>
      <c r="V270" s="206"/>
      <c r="W270" s="199"/>
      <c r="X270" s="206"/>
      <c r="Y270" s="199"/>
      <c r="Z270" s="206"/>
      <c r="AA270" s="199"/>
      <c r="AB270" s="206"/>
      <c r="AC270" s="199"/>
      <c r="AD270" s="206"/>
      <c r="AE270" s="199"/>
      <c r="AF270" s="206"/>
      <c r="AM270" s="206"/>
    </row>
    <row r="271" spans="1:72">
      <c r="A271" s="383"/>
      <c r="B271" s="220" t="s">
        <v>318</v>
      </c>
      <c r="C271" s="187"/>
      <c r="D271" s="187"/>
      <c r="E271" s="199">
        <v>0</v>
      </c>
      <c r="G271" s="199">
        <v>-1725000</v>
      </c>
      <c r="K271" s="199"/>
      <c r="L271" s="206"/>
      <c r="M271" s="199"/>
      <c r="O271" s="199"/>
      <c r="Q271" s="199"/>
      <c r="S271" s="199"/>
      <c r="U271" s="199"/>
      <c r="V271" s="206"/>
      <c r="W271" s="199"/>
      <c r="X271" s="206"/>
      <c r="Y271" s="199"/>
      <c r="Z271" s="206"/>
      <c r="AA271" s="199"/>
      <c r="AB271" s="206"/>
      <c r="AC271" s="199"/>
      <c r="AD271" s="206"/>
      <c r="AE271" s="199"/>
      <c r="AF271" s="206"/>
      <c r="AK271" s="199">
        <f>SUM(K271:AI271)</f>
        <v>0</v>
      </c>
      <c r="AM271" s="206"/>
      <c r="BM271" s="478">
        <f>SUM(AK271:BL271)</f>
        <v>0</v>
      </c>
      <c r="BO271" s="199">
        <f>G271-BM271</f>
        <v>-1725000</v>
      </c>
      <c r="BQ271" s="199">
        <f>BM271+BO271</f>
        <v>-1725000</v>
      </c>
      <c r="BS271" s="199">
        <f>E271-BQ271</f>
        <v>1725000</v>
      </c>
    </row>
    <row r="272" spans="1:72">
      <c r="A272" s="383"/>
      <c r="B272" s="220"/>
      <c r="C272" s="187"/>
      <c r="D272" s="187"/>
      <c r="K272" s="199"/>
      <c r="L272" s="206"/>
      <c r="M272" s="199"/>
      <c r="O272" s="199"/>
      <c r="Q272" s="199"/>
      <c r="S272" s="199"/>
      <c r="U272" s="199"/>
      <c r="V272" s="206"/>
      <c r="W272" s="199"/>
      <c r="X272" s="206"/>
      <c r="Y272" s="199"/>
      <c r="Z272" s="206"/>
      <c r="AA272" s="199"/>
      <c r="AB272" s="206"/>
      <c r="AC272" s="199"/>
      <c r="AD272" s="206"/>
      <c r="AE272" s="199"/>
      <c r="AF272" s="206"/>
      <c r="AM272" s="206"/>
    </row>
    <row r="273" spans="1:72" s="229" customFormat="1" ht="13.8" thickBot="1">
      <c r="A273" s="499" t="s">
        <v>1655</v>
      </c>
      <c r="B273" s="236"/>
      <c r="E273" s="238">
        <f>E269+E271</f>
        <v>112383987.94999999</v>
      </c>
      <c r="F273" s="236"/>
      <c r="G273" s="238">
        <f>G269+G271</f>
        <v>116563004.06000002</v>
      </c>
      <c r="H273" s="236"/>
      <c r="I273" s="238">
        <f>I269+I271</f>
        <v>5840651.1099999994</v>
      </c>
      <c r="J273" s="236"/>
      <c r="K273" s="238">
        <f>K269+K271</f>
        <v>21428869.800000001</v>
      </c>
      <c r="L273" s="236"/>
      <c r="M273" s="238">
        <f>M269+M271</f>
        <v>4411803.49</v>
      </c>
      <c r="N273" s="236"/>
      <c r="O273" s="238">
        <f>O269+O271</f>
        <v>3230174.65</v>
      </c>
      <c r="P273" s="236"/>
      <c r="Q273" s="238">
        <f>Q269+Q271</f>
        <v>1856449.2000000002</v>
      </c>
      <c r="R273" s="236"/>
      <c r="S273" s="238">
        <f>S269+S271</f>
        <v>3025974.27</v>
      </c>
      <c r="T273" s="236"/>
      <c r="U273" s="238">
        <f>U269+U271</f>
        <v>4604975.96</v>
      </c>
      <c r="V273" s="236"/>
      <c r="W273" s="238">
        <f>W269+W271</f>
        <v>2900713.4799999995</v>
      </c>
      <c r="X273" s="236"/>
      <c r="Y273" s="238">
        <f>Y269+Y271</f>
        <v>1888966.6900000004</v>
      </c>
      <c r="Z273" s="236"/>
      <c r="AA273" s="238">
        <f>AA269+AA271</f>
        <v>3340374.04</v>
      </c>
      <c r="AB273" s="236"/>
      <c r="AC273" s="238">
        <f>AC269+AC271</f>
        <v>3343727.4600000004</v>
      </c>
      <c r="AD273" s="236"/>
      <c r="AE273" s="238">
        <f>AE269+AE271</f>
        <v>7253667.2000000011</v>
      </c>
      <c r="AF273" s="236"/>
      <c r="AG273" s="238">
        <f>AG269+AG271</f>
        <v>7769992.7399999993</v>
      </c>
      <c r="AH273" s="236"/>
      <c r="AI273" s="238">
        <f>AI269+AI271</f>
        <v>7427682.1600000011</v>
      </c>
      <c r="AJ273" s="236"/>
      <c r="AK273" s="238">
        <f>AK269+AK271</f>
        <v>72483371.140000015</v>
      </c>
      <c r="AL273" s="236"/>
      <c r="AM273" s="238">
        <f>AM269+AM271</f>
        <v>0</v>
      </c>
      <c r="AN273" s="236"/>
      <c r="AO273" s="238">
        <f>AO269+AO271</f>
        <v>9532656.5999999996</v>
      </c>
      <c r="AP273" s="236"/>
      <c r="AQ273" s="238">
        <f>AQ269+AQ271</f>
        <v>4926942.93</v>
      </c>
      <c r="AR273" s="236"/>
      <c r="AS273" s="238">
        <f>AS269+AS271</f>
        <v>8747843.2300000004</v>
      </c>
      <c r="AT273" s="236"/>
      <c r="AU273" s="238">
        <f>AU269+AU271</f>
        <v>708516.27000000048</v>
      </c>
      <c r="AV273" s="236"/>
      <c r="AW273" s="238">
        <f>AW269+AW271</f>
        <v>3868098.2</v>
      </c>
      <c r="AX273" s="236"/>
      <c r="AY273" s="238">
        <f>AY269+AY271</f>
        <v>5098299.45</v>
      </c>
      <c r="AZ273" s="236"/>
      <c r="BA273" s="238">
        <f>BA269+BA271</f>
        <v>4523964.54</v>
      </c>
      <c r="BB273" s="236"/>
      <c r="BC273" s="238">
        <f>BC269+BC271</f>
        <v>3427047</v>
      </c>
      <c r="BD273" s="236"/>
      <c r="BE273" s="238">
        <f>BE269+BE271</f>
        <v>6595266</v>
      </c>
      <c r="BF273" s="236"/>
      <c r="BG273" s="238">
        <f>BG269+BG271</f>
        <v>982694</v>
      </c>
      <c r="BH273" s="236"/>
      <c r="BI273" s="238">
        <f>BI269+BI271</f>
        <v>1254974</v>
      </c>
      <c r="BJ273" s="236"/>
      <c r="BK273" s="238">
        <f>BK269+BK271</f>
        <v>25904</v>
      </c>
      <c r="BL273" s="236"/>
      <c r="BM273" s="474">
        <f>BM269+BM271</f>
        <v>122175577.36000001</v>
      </c>
      <c r="BN273" s="236"/>
      <c r="BO273" s="238">
        <f>BO269+BO271</f>
        <v>-5579137.2699999996</v>
      </c>
      <c r="BP273" s="236"/>
      <c r="BQ273" s="238">
        <f>BQ269+BQ271</f>
        <v>116596440.09000002</v>
      </c>
      <c r="BR273" s="236"/>
      <c r="BS273" s="238">
        <f>BS269+BS271</f>
        <v>-4212452.1400000071</v>
      </c>
      <c r="BT273" s="236"/>
    </row>
    <row r="274" spans="1:72" s="200" customFormat="1" ht="13.5" customHeight="1" thickTop="1">
      <c r="A274" s="217"/>
      <c r="C274" s="239"/>
      <c r="D274" s="239"/>
      <c r="F274" s="217"/>
      <c r="H274" s="217"/>
      <c r="J274" s="217"/>
      <c r="L274" s="217"/>
      <c r="N274" s="217"/>
      <c r="P274" s="217"/>
      <c r="R274" s="217"/>
      <c r="T274" s="217"/>
      <c r="V274" s="217"/>
      <c r="X274" s="217"/>
      <c r="Z274" s="217"/>
      <c r="AB274" s="217"/>
      <c r="AD274" s="217"/>
      <c r="AF274" s="217"/>
      <c r="AH274" s="217"/>
      <c r="AJ274" s="217"/>
      <c r="AL274" s="217"/>
      <c r="AM274" s="217"/>
      <c r="AN274" s="217"/>
      <c r="AP274" s="217"/>
      <c r="AQ274" s="217"/>
      <c r="AR274" s="217"/>
      <c r="AS274" s="217"/>
      <c r="AT274" s="217"/>
      <c r="AU274" s="217"/>
      <c r="AV274" s="217"/>
      <c r="AW274" s="217"/>
      <c r="AX274" s="217"/>
      <c r="AY274" s="217"/>
      <c r="AZ274" s="217"/>
      <c r="BA274" s="217"/>
      <c r="BB274" s="217"/>
      <c r="BC274" s="217"/>
      <c r="BD274" s="217"/>
      <c r="BE274" s="217"/>
      <c r="BF274" s="217"/>
      <c r="BG274" s="217"/>
      <c r="BH274" s="217"/>
      <c r="BI274" s="217"/>
      <c r="BJ274" s="217"/>
      <c r="BK274" s="217"/>
      <c r="BL274" s="217"/>
      <c r="BM274" s="488"/>
      <c r="BN274" s="217"/>
      <c r="BP274" s="217"/>
      <c r="BR274" s="217"/>
      <c r="BT274" s="217"/>
    </row>
    <row r="275" spans="1:72" s="241" customFormat="1" ht="14.25" customHeight="1" thickBot="1">
      <c r="A275" s="503" t="s">
        <v>294</v>
      </c>
      <c r="C275" s="242"/>
      <c r="D275" s="242"/>
      <c r="E275" s="243">
        <f>+E273/$E$3</f>
        <v>328608.15190058475</v>
      </c>
      <c r="F275" s="354"/>
      <c r="G275" s="243">
        <f>+G273/$E$3</f>
        <v>340827.49725146202</v>
      </c>
      <c r="H275" s="354"/>
      <c r="J275" s="354"/>
      <c r="L275" s="354"/>
      <c r="N275" s="354"/>
      <c r="P275" s="354"/>
      <c r="R275" s="354"/>
      <c r="T275" s="217"/>
      <c r="V275" s="354"/>
      <c r="X275" s="354"/>
      <c r="Z275" s="354"/>
      <c r="AB275" s="354"/>
      <c r="AD275" s="354"/>
      <c r="AF275" s="354"/>
      <c r="AH275" s="354"/>
      <c r="AJ275" s="354"/>
      <c r="AL275" s="354"/>
      <c r="AM275" s="354"/>
      <c r="AN275" s="354"/>
      <c r="AP275" s="354"/>
      <c r="AQ275" s="354"/>
      <c r="AR275" s="354"/>
      <c r="AS275" s="354"/>
      <c r="AT275" s="354"/>
      <c r="AU275" s="354"/>
      <c r="AV275" s="354"/>
      <c r="AW275" s="354"/>
      <c r="AX275" s="354"/>
      <c r="AY275" s="354"/>
      <c r="AZ275" s="354"/>
      <c r="BA275" s="354"/>
      <c r="BB275" s="354"/>
      <c r="BC275" s="354"/>
      <c r="BD275" s="354"/>
      <c r="BE275" s="354"/>
      <c r="BF275" s="354"/>
      <c r="BG275" s="354"/>
      <c r="BH275" s="354"/>
      <c r="BI275" s="354"/>
      <c r="BJ275" s="354"/>
      <c r="BK275" s="354"/>
      <c r="BL275" s="354"/>
      <c r="BM275" s="496"/>
      <c r="BN275" s="354"/>
      <c r="BP275" s="354"/>
      <c r="BQ275" s="243">
        <f>+BQ273/$E$3</f>
        <v>340925.26342105266</v>
      </c>
      <c r="BR275" s="354"/>
      <c r="BT275" s="354"/>
    </row>
    <row r="276" spans="1:72">
      <c r="C276" s="187"/>
      <c r="D276" s="187"/>
      <c r="K276" s="199"/>
      <c r="L276" s="206"/>
      <c r="M276" s="199"/>
      <c r="O276" s="199"/>
      <c r="Q276" s="199"/>
      <c r="S276" s="199"/>
      <c r="U276" s="199"/>
      <c r="V276" s="206"/>
      <c r="W276" s="199"/>
      <c r="X276" s="206"/>
      <c r="Y276" s="199"/>
      <c r="Z276" s="206"/>
      <c r="AA276" s="199"/>
      <c r="AB276" s="206"/>
      <c r="AC276" s="199"/>
      <c r="AD276" s="206"/>
      <c r="AE276" s="199"/>
      <c r="AF276" s="206"/>
      <c r="AM276" s="206"/>
      <c r="BS276" s="376"/>
    </row>
    <row r="277" spans="1:72">
      <c r="A277" s="206" t="s">
        <v>1010</v>
      </c>
      <c r="C277" s="187"/>
      <c r="D277" s="187"/>
      <c r="K277" s="199"/>
      <c r="L277" s="206"/>
      <c r="M277" s="199"/>
      <c r="O277" s="199"/>
      <c r="Q277" s="199"/>
      <c r="S277" s="199"/>
      <c r="U277" s="199"/>
      <c r="V277" s="206"/>
      <c r="W277" s="199"/>
      <c r="X277" s="206"/>
      <c r="Y277" s="199"/>
      <c r="Z277" s="206"/>
      <c r="AA277" s="199"/>
      <c r="AB277" s="206"/>
      <c r="AC277" s="199"/>
      <c r="AD277" s="206"/>
      <c r="AE277" s="199"/>
      <c r="AF277" s="206"/>
      <c r="AK277" s="206">
        <f>SUM(K277:AJ277)</f>
        <v>0</v>
      </c>
      <c r="AM277" s="206"/>
      <c r="AO277" s="199">
        <f>-9000000-14500000</f>
        <v>-23500000</v>
      </c>
      <c r="AQ277" s="206">
        <f>-58847040.04-(9577967.64-94763.44-19519.63-304750.57-160750)</f>
        <v>-67845224.039999992</v>
      </c>
      <c r="AS277" s="206">
        <f>-4391241.41-135811.59-(6078260-65537)</f>
        <v>-10539776</v>
      </c>
      <c r="AU277" s="206">
        <f>-5723578-421012</f>
        <v>-6144590</v>
      </c>
      <c r="AW277" s="206">
        <v>0</v>
      </c>
      <c r="AY277" s="206">
        <v>-2403255</v>
      </c>
      <c r="BA277" s="206">
        <v>-735341</v>
      </c>
      <c r="BC277" s="206">
        <v>-1143360</v>
      </c>
      <c r="BE277" s="206">
        <v>0</v>
      </c>
      <c r="BG277" s="206">
        <v>0</v>
      </c>
      <c r="BI277" s="206">
        <v>0</v>
      </c>
      <c r="BK277" s="206">
        <v>0</v>
      </c>
      <c r="BM277" s="478">
        <f>SUM(AK277:BL277)</f>
        <v>-112311546.03999999</v>
      </c>
    </row>
    <row r="278" spans="1:72">
      <c r="C278" s="187"/>
      <c r="D278" s="187"/>
      <c r="K278" s="199"/>
      <c r="L278" s="206"/>
      <c r="M278" s="199"/>
      <c r="O278" s="199"/>
      <c r="Q278" s="199"/>
      <c r="S278" s="199"/>
      <c r="U278" s="199"/>
      <c r="V278" s="206"/>
      <c r="W278" s="199"/>
      <c r="X278" s="206"/>
      <c r="Y278" s="199"/>
      <c r="Z278" s="206"/>
      <c r="AA278" s="199"/>
      <c r="AB278" s="206"/>
      <c r="AC278" s="199"/>
      <c r="AD278" s="206"/>
      <c r="AE278" s="199"/>
      <c r="AF278" s="206"/>
      <c r="AK278" s="206"/>
      <c r="AM278" s="206"/>
      <c r="BM278" s="480"/>
    </row>
    <row r="279" spans="1:72">
      <c r="A279" s="206" t="s">
        <v>144</v>
      </c>
      <c r="C279" s="187"/>
      <c r="D279" s="187"/>
      <c r="K279" s="199"/>
      <c r="L279" s="206"/>
      <c r="M279" s="199"/>
      <c r="O279" s="199"/>
      <c r="Q279" s="199"/>
      <c r="S279" s="199"/>
      <c r="U279" s="199"/>
      <c r="V279" s="206"/>
      <c r="W279" s="199">
        <v>-5000000</v>
      </c>
      <c r="X279" s="206"/>
      <c r="Y279" s="199"/>
      <c r="Z279" s="206"/>
      <c r="AA279" s="199"/>
      <c r="AB279" s="206"/>
      <c r="AC279" s="199"/>
      <c r="AD279" s="206"/>
      <c r="AE279" s="199"/>
      <c r="AF279" s="206"/>
      <c r="AK279" s="206">
        <f>SUM(K279:AJ279)</f>
        <v>-5000000</v>
      </c>
      <c r="AM279" s="206"/>
      <c r="AQ279" s="206">
        <v>5000000</v>
      </c>
      <c r="AU279" s="206">
        <v>0</v>
      </c>
      <c r="AW279" s="206">
        <v>0</v>
      </c>
      <c r="AY279" s="206">
        <v>0</v>
      </c>
      <c r="BA279" s="206">
        <v>0</v>
      </c>
      <c r="BC279" s="206">
        <v>0</v>
      </c>
      <c r="BE279" s="206">
        <v>0</v>
      </c>
      <c r="BG279" s="206">
        <v>0</v>
      </c>
      <c r="BI279" s="206">
        <v>0</v>
      </c>
      <c r="BK279" s="206">
        <v>0</v>
      </c>
      <c r="BM279" s="478">
        <f>SUM(AK279:BL279)</f>
        <v>0</v>
      </c>
    </row>
    <row r="280" spans="1:72">
      <c r="C280" s="187"/>
      <c r="D280" s="187"/>
      <c r="K280" s="199"/>
      <c r="L280" s="206"/>
      <c r="M280" s="199"/>
      <c r="O280" s="199"/>
      <c r="Q280" s="199"/>
      <c r="S280" s="199"/>
      <c r="U280" s="199"/>
      <c r="V280" s="206"/>
      <c r="W280" s="199"/>
      <c r="X280" s="206"/>
      <c r="Y280" s="199"/>
      <c r="Z280" s="206"/>
      <c r="AA280" s="199"/>
      <c r="AB280" s="206"/>
      <c r="AC280" s="199"/>
      <c r="AD280" s="206"/>
      <c r="AE280" s="199"/>
      <c r="AF280" s="206"/>
      <c r="AM280" s="206"/>
    </row>
    <row r="281" spans="1:72" s="229" customFormat="1" ht="13.8" thickBot="1">
      <c r="A281" s="499" t="s">
        <v>1658</v>
      </c>
      <c r="B281" s="236"/>
      <c r="E281" s="238">
        <f t="shared" ref="E281:AU281" si="59">+E277+E273+E279</f>
        <v>112383987.94999999</v>
      </c>
      <c r="F281" s="238">
        <f t="shared" si="59"/>
        <v>0</v>
      </c>
      <c r="G281" s="238">
        <f t="shared" si="59"/>
        <v>116563004.06000002</v>
      </c>
      <c r="H281" s="238">
        <f t="shared" si="59"/>
        <v>0</v>
      </c>
      <c r="I281" s="238">
        <f t="shared" si="59"/>
        <v>5840651.1099999994</v>
      </c>
      <c r="J281" s="238">
        <f t="shared" si="59"/>
        <v>0</v>
      </c>
      <c r="K281" s="238">
        <f>+K277+K273+K279</f>
        <v>21428869.800000001</v>
      </c>
      <c r="L281" s="238">
        <f t="shared" si="59"/>
        <v>0</v>
      </c>
      <c r="M281" s="238">
        <f t="shared" si="59"/>
        <v>4411803.49</v>
      </c>
      <c r="N281" s="238">
        <f t="shared" si="59"/>
        <v>0</v>
      </c>
      <c r="O281" s="238">
        <f t="shared" si="59"/>
        <v>3230174.65</v>
      </c>
      <c r="P281" s="238">
        <f t="shared" si="59"/>
        <v>0</v>
      </c>
      <c r="Q281" s="238">
        <f t="shared" si="59"/>
        <v>1856449.2000000002</v>
      </c>
      <c r="R281" s="238">
        <f t="shared" si="59"/>
        <v>0</v>
      </c>
      <c r="S281" s="238">
        <f t="shared" si="59"/>
        <v>3025974.27</v>
      </c>
      <c r="T281" s="238">
        <f t="shared" si="59"/>
        <v>0</v>
      </c>
      <c r="U281" s="238">
        <f t="shared" si="59"/>
        <v>4604975.96</v>
      </c>
      <c r="V281" s="238">
        <f t="shared" si="59"/>
        <v>0</v>
      </c>
      <c r="W281" s="238">
        <f t="shared" si="59"/>
        <v>-2099286.5200000005</v>
      </c>
      <c r="X281" s="238">
        <f t="shared" si="59"/>
        <v>0</v>
      </c>
      <c r="Y281" s="238">
        <f t="shared" si="59"/>
        <v>1888966.6900000004</v>
      </c>
      <c r="Z281" s="238">
        <f t="shared" si="59"/>
        <v>0</v>
      </c>
      <c r="AA281" s="238">
        <f t="shared" si="59"/>
        <v>3340374.04</v>
      </c>
      <c r="AB281" s="238">
        <f t="shared" si="59"/>
        <v>0</v>
      </c>
      <c r="AC281" s="238">
        <f t="shared" si="59"/>
        <v>3343727.4600000004</v>
      </c>
      <c r="AD281" s="238">
        <f t="shared" si="59"/>
        <v>0</v>
      </c>
      <c r="AE281" s="238">
        <f t="shared" si="59"/>
        <v>7253667.2000000011</v>
      </c>
      <c r="AF281" s="238">
        <f t="shared" si="59"/>
        <v>0</v>
      </c>
      <c r="AG281" s="238">
        <f t="shared" si="59"/>
        <v>7769992.7399999993</v>
      </c>
      <c r="AH281" s="238">
        <f t="shared" si="59"/>
        <v>0</v>
      </c>
      <c r="AI281" s="238">
        <f t="shared" si="59"/>
        <v>7427682.1600000011</v>
      </c>
      <c r="AJ281" s="238">
        <f t="shared" si="59"/>
        <v>0</v>
      </c>
      <c r="AK281" s="238">
        <f t="shared" si="59"/>
        <v>67483371.140000015</v>
      </c>
      <c r="AL281" s="238">
        <f t="shared" si="59"/>
        <v>0</v>
      </c>
      <c r="AM281" s="238">
        <f t="shared" si="59"/>
        <v>0</v>
      </c>
      <c r="AN281" s="238">
        <f t="shared" si="59"/>
        <v>0</v>
      </c>
      <c r="AO281" s="238">
        <f t="shared" si="59"/>
        <v>-13967343.4</v>
      </c>
      <c r="AP281" s="238">
        <f t="shared" si="59"/>
        <v>0</v>
      </c>
      <c r="AQ281" s="238">
        <f t="shared" si="59"/>
        <v>-57918281.109999992</v>
      </c>
      <c r="AR281" s="238">
        <f t="shared" si="59"/>
        <v>0</v>
      </c>
      <c r="AS281" s="238">
        <f t="shared" si="59"/>
        <v>-1791932.7699999996</v>
      </c>
      <c r="AT281" s="238">
        <f t="shared" si="59"/>
        <v>0</v>
      </c>
      <c r="AU281" s="238">
        <f t="shared" si="59"/>
        <v>-5436073.7299999995</v>
      </c>
      <c r="AV281" s="238"/>
      <c r="AW281" s="238">
        <f>+AW277+AW273+AW279</f>
        <v>3868098.2</v>
      </c>
      <c r="AX281" s="238"/>
      <c r="AY281" s="238">
        <f>+AY277+AY273+AY279</f>
        <v>2695044.45</v>
      </c>
      <c r="AZ281" s="238"/>
      <c r="BA281" s="238">
        <f>+BA277+BA273+BA279</f>
        <v>3788623.54</v>
      </c>
      <c r="BB281" s="238"/>
      <c r="BC281" s="238">
        <f>+BC277+BC273+BC279</f>
        <v>2283687</v>
      </c>
      <c r="BD281" s="238"/>
      <c r="BE281" s="238">
        <f>+BE277+BE273+BE279</f>
        <v>6595266</v>
      </c>
      <c r="BF281" s="238"/>
      <c r="BG281" s="238">
        <f>+BG277+BG273+BG279</f>
        <v>982694</v>
      </c>
      <c r="BH281" s="238"/>
      <c r="BI281" s="238">
        <f>+BI277+BI273+BI279</f>
        <v>1254974</v>
      </c>
      <c r="BJ281" s="238"/>
      <c r="BK281" s="238">
        <f>+BK277+BK273+BK279</f>
        <v>25904</v>
      </c>
      <c r="BL281" s="238"/>
      <c r="BM281" s="472">
        <f t="shared" ref="BM281:BS281" si="60">+BM277+BM273+BM279</f>
        <v>9864031.3200000226</v>
      </c>
      <c r="BN281" s="238">
        <f t="shared" si="60"/>
        <v>0</v>
      </c>
      <c r="BO281" s="238">
        <f t="shared" si="60"/>
        <v>-5579137.2699999996</v>
      </c>
      <c r="BP281" s="238">
        <f t="shared" si="60"/>
        <v>0</v>
      </c>
      <c r="BQ281" s="238">
        <f t="shared" si="60"/>
        <v>116596440.09000002</v>
      </c>
      <c r="BR281" s="238">
        <f t="shared" si="60"/>
        <v>0</v>
      </c>
      <c r="BS281" s="238">
        <f t="shared" si="60"/>
        <v>-4212452.1400000071</v>
      </c>
      <c r="BT281" s="236"/>
    </row>
    <row r="282" spans="1:72" ht="13.8" thickTop="1">
      <c r="C282" s="187"/>
      <c r="D282" s="187"/>
      <c r="K282" s="199"/>
      <c r="L282" s="206"/>
      <c r="M282" s="199"/>
      <c r="O282" s="199"/>
      <c r="Q282" s="199"/>
      <c r="S282" s="199"/>
      <c r="U282" s="199"/>
      <c r="V282" s="206"/>
      <c r="W282" s="199"/>
      <c r="X282" s="206"/>
      <c r="Y282" s="199"/>
      <c r="Z282" s="206"/>
      <c r="AA282" s="199"/>
      <c r="AB282" s="206"/>
      <c r="AC282" s="199"/>
      <c r="AD282" s="206"/>
      <c r="AE282" s="199"/>
      <c r="AF282" s="206"/>
      <c r="AM282" s="206"/>
    </row>
    <row r="283" spans="1:72" ht="15.6" hidden="1">
      <c r="A283" s="356"/>
      <c r="B283" s="194"/>
      <c r="C283" s="195"/>
      <c r="D283" s="178"/>
      <c r="E283" s="188"/>
      <c r="F283" s="356"/>
      <c r="G283" s="255"/>
      <c r="H283" s="353"/>
      <c r="I283" s="180"/>
      <c r="J283" s="356"/>
      <c r="K283" s="188"/>
      <c r="L283" s="353"/>
      <c r="M283" s="188"/>
      <c r="N283" s="353"/>
      <c r="O283" s="188"/>
      <c r="P283" s="353"/>
      <c r="Q283" s="188"/>
      <c r="R283" s="353"/>
      <c r="S283" s="188"/>
      <c r="T283" s="363"/>
      <c r="U283" s="188"/>
      <c r="V283" s="363"/>
      <c r="W283" s="188"/>
      <c r="X283" s="353"/>
      <c r="Y283" s="188"/>
      <c r="Z283" s="353"/>
      <c r="AA283" s="188"/>
      <c r="AB283" s="353"/>
      <c r="AC283" s="188"/>
      <c r="AD283" s="353"/>
      <c r="AE283" s="188"/>
      <c r="AF283" s="364"/>
      <c r="AG283" s="188"/>
      <c r="AH283" s="364"/>
      <c r="AI283" s="188"/>
      <c r="AJ283" s="356"/>
      <c r="AK283" s="189"/>
      <c r="AL283" s="356"/>
      <c r="AM283" s="386"/>
      <c r="AN283" s="356"/>
      <c r="AO283" s="188"/>
      <c r="AP283" s="364"/>
      <c r="AQ283" s="364"/>
      <c r="AR283" s="364"/>
      <c r="AS283" s="364"/>
      <c r="AT283" s="364"/>
      <c r="AU283" s="364"/>
      <c r="AV283" s="364"/>
      <c r="AW283" s="364"/>
      <c r="AX283" s="364"/>
      <c r="AY283" s="364"/>
      <c r="AZ283" s="364"/>
      <c r="BA283" s="364"/>
      <c r="BB283" s="364"/>
      <c r="BC283" s="364"/>
      <c r="BD283" s="364"/>
      <c r="BE283" s="364"/>
      <c r="BF283" s="364"/>
      <c r="BG283" s="364"/>
      <c r="BH283" s="364"/>
      <c r="BI283" s="364"/>
      <c r="BJ283" s="364"/>
      <c r="BK283" s="364"/>
      <c r="BL283" s="364"/>
      <c r="BM283" s="475"/>
      <c r="BN283" s="356"/>
      <c r="BO283" s="189"/>
      <c r="BP283" s="356"/>
      <c r="BQ283" s="189"/>
      <c r="BR283" s="356"/>
      <c r="BS283" s="189"/>
    </row>
    <row r="284" spans="1:72" hidden="1">
      <c r="A284" s="373"/>
      <c r="B284" s="219" t="s">
        <v>1650</v>
      </c>
      <c r="C284" s="219"/>
      <c r="D284" s="219"/>
      <c r="E284" s="219">
        <f>'[8]Doyle-ENA'!AG527</f>
        <v>0</v>
      </c>
      <c r="F284" s="219">
        <f>'[8]Doyle-ENA'!AH527</f>
        <v>0</v>
      </c>
      <c r="G284" s="219">
        <f>'[8]Doyle-ENA'!AI527</f>
        <v>0</v>
      </c>
      <c r="H284" s="219">
        <f>'[8]Doyle-ENA'!AJ527</f>
        <v>0</v>
      </c>
      <c r="I284" s="219">
        <f>'[8]Doyle-ENA'!AK527</f>
        <v>0</v>
      </c>
      <c r="J284" s="219">
        <f>'[8]Doyle-ENA'!AL527</f>
        <v>0</v>
      </c>
      <c r="K284" s="219">
        <f>'[8]Doyle-ENA'!K527</f>
        <v>0</v>
      </c>
      <c r="L284" s="219">
        <f>'[8]Doyle-ENA'!L527</f>
        <v>0</v>
      </c>
      <c r="M284" s="219">
        <f>'[8]Doyle-ENA'!M527</f>
        <v>0</v>
      </c>
      <c r="N284" s="219">
        <f>'[8]Doyle-ENA'!N527</f>
        <v>0</v>
      </c>
      <c r="O284" s="219">
        <f>'[8]Doyle-ENA'!O527</f>
        <v>0</v>
      </c>
      <c r="P284" s="219">
        <f>'[8]Doyle-ENA'!P527</f>
        <v>0</v>
      </c>
      <c r="Q284" s="219">
        <f>'[8]Doyle-ENA'!Q527</f>
        <v>0</v>
      </c>
      <c r="R284" s="219">
        <f>'[8]Doyle-ENA'!R527</f>
        <v>0</v>
      </c>
      <c r="S284" s="219">
        <f>'[8]Doyle-ENA'!S527</f>
        <v>0</v>
      </c>
      <c r="T284" s="219">
        <f>'[8]Doyle-ENA'!T527</f>
        <v>0</v>
      </c>
      <c r="U284" s="219">
        <f>'[8]Doyle-ENA'!U527</f>
        <v>0</v>
      </c>
      <c r="V284" s="219">
        <f>'[8]Doyle-ENA'!V527</f>
        <v>0</v>
      </c>
      <c r="W284" s="219">
        <f>'[8]Doyle-ENA'!W527</f>
        <v>0</v>
      </c>
      <c r="X284" s="219">
        <f>'[8]Doyle-ENA'!X527</f>
        <v>0</v>
      </c>
      <c r="Y284" s="219">
        <f>'[8]Doyle-ENA'!Y527</f>
        <v>0</v>
      </c>
      <c r="Z284" s="219">
        <f>'[8]Doyle-ENA'!Z527</f>
        <v>0</v>
      </c>
      <c r="AA284" s="219">
        <f>'[8]Doyle-ENA'!AA527</f>
        <v>0</v>
      </c>
      <c r="AB284" s="219">
        <f>'[8]Doyle-ENA'!AB527</f>
        <v>0</v>
      </c>
      <c r="AC284" s="219">
        <f>'[8]Doyle-ENA'!AC527</f>
        <v>0</v>
      </c>
      <c r="AD284" s="219">
        <f>'[8]Doyle-ENA'!AD527</f>
        <v>0</v>
      </c>
      <c r="AE284" s="219">
        <f>'[8]Doyle-ENA'!AE527</f>
        <v>0</v>
      </c>
      <c r="AF284" s="219"/>
      <c r="AG284" s="219">
        <f>'[8]Doyle-ENA'!AG527</f>
        <v>0</v>
      </c>
      <c r="AH284" s="219">
        <f>'[8]Doyle-ENA'!AH527</f>
        <v>0</v>
      </c>
      <c r="AI284" s="219">
        <f>'[8]Doyle-ENA'!AI527</f>
        <v>0</v>
      </c>
      <c r="AJ284" s="219">
        <f>'[8]Doyle-ENA'!AJ527</f>
        <v>0</v>
      </c>
      <c r="AK284" s="219">
        <f>'[8]Doyle-ENA'!AK527</f>
        <v>0</v>
      </c>
      <c r="AL284" s="219">
        <f>'[8]Doyle-ENA'!AL527</f>
        <v>0</v>
      </c>
      <c r="AM284" s="219">
        <f>'[8]Doyle-ENA'!AM527</f>
        <v>0</v>
      </c>
      <c r="AN284" s="219">
        <f>'[8]Doyle-ENA'!AN527</f>
        <v>0</v>
      </c>
      <c r="AO284" s="219">
        <f>'[8]Doyle-ENA'!AO527</f>
        <v>0</v>
      </c>
      <c r="AP284" s="219"/>
      <c r="AQ284" s="219">
        <f>'[8]Doyle-ENA'!AQ527</f>
        <v>0</v>
      </c>
      <c r="AR284" s="219"/>
      <c r="AS284" s="219">
        <f>'[8]Doyle-ENA'!AS527</f>
        <v>0</v>
      </c>
      <c r="AT284" s="219"/>
      <c r="AU284" s="219">
        <f>'[8]Doyle-ENA'!BC527</f>
        <v>0</v>
      </c>
      <c r="AV284" s="219"/>
      <c r="AW284" s="219">
        <f>'[8]Doyle-ENA'!BE527</f>
        <v>0</v>
      </c>
      <c r="AX284" s="219"/>
      <c r="AY284" s="219">
        <f>'[8]Doyle-ENA'!BG527</f>
        <v>0</v>
      </c>
      <c r="AZ284" s="219"/>
      <c r="BA284" s="219">
        <f>'[8]Doyle-ENA'!BI527</f>
        <v>0</v>
      </c>
      <c r="BB284" s="219"/>
      <c r="BC284" s="219">
        <f>'[8]Doyle-ENA'!BK527</f>
        <v>0</v>
      </c>
      <c r="BD284" s="219"/>
      <c r="BE284" s="219">
        <f>'[8]Doyle-ENA'!BM527</f>
        <v>0</v>
      </c>
      <c r="BF284" s="219"/>
      <c r="BG284" s="219">
        <f>'[8]Doyle-ENA'!BO527</f>
        <v>0</v>
      </c>
      <c r="BH284" s="219"/>
      <c r="BI284" s="219">
        <f>'[8]Doyle-ENA'!BQ527</f>
        <v>0</v>
      </c>
      <c r="BJ284" s="219"/>
      <c r="BK284" s="219">
        <f>'[8]Doyle-ENA'!BS527</f>
        <v>0</v>
      </c>
      <c r="BL284" s="219"/>
      <c r="BM284" s="497">
        <f>'[8]Doyle-ENA'!BC527</f>
        <v>0</v>
      </c>
      <c r="BN284" s="219"/>
      <c r="BO284" s="219">
        <f>'[8]Doyle-ENA'!AO527</f>
        <v>0</v>
      </c>
      <c r="BP284" s="219">
        <f>'[8]Doyle-ENA'!AP527</f>
        <v>0</v>
      </c>
      <c r="BQ284" s="219">
        <f>'[8]Doyle-ENA'!AQ527</f>
        <v>0</v>
      </c>
      <c r="BR284" s="219">
        <f>'[8]Doyle-ENA'!AR527</f>
        <v>0</v>
      </c>
      <c r="BS284" s="214">
        <f>'[8]Doyle-ENA'!AS527</f>
        <v>0</v>
      </c>
    </row>
    <row r="285" spans="1:72">
      <c r="A285" s="510" t="s">
        <v>1325</v>
      </c>
      <c r="AK285" s="200"/>
      <c r="BM285" s="515"/>
      <c r="BS285" s="515">
        <v>4500000</v>
      </c>
    </row>
    <row r="286" spans="1:72">
      <c r="AK286" s="200"/>
      <c r="BM286" s="199"/>
    </row>
    <row r="287" spans="1:72" ht="13.8" thickBot="1">
      <c r="A287" s="516" t="s">
        <v>1326</v>
      </c>
      <c r="B287" s="512"/>
      <c r="C287" s="512"/>
      <c r="D287" s="512"/>
      <c r="E287" s="512"/>
      <c r="F287" s="511"/>
      <c r="G287" s="512"/>
      <c r="H287" s="511"/>
      <c r="I287" s="512"/>
      <c r="J287" s="511"/>
      <c r="L287" s="514"/>
      <c r="M287" s="513"/>
      <c r="N287" s="511"/>
      <c r="O287" s="513"/>
      <c r="P287" s="511"/>
      <c r="Q287" s="513"/>
      <c r="R287" s="511"/>
      <c r="S287" s="513"/>
      <c r="T287" s="511"/>
      <c r="U287" s="513"/>
      <c r="V287" s="514"/>
      <c r="W287" s="513"/>
      <c r="X287" s="514"/>
      <c r="Y287" s="513"/>
      <c r="Z287" s="514"/>
      <c r="AA287" s="513"/>
      <c r="AB287" s="514"/>
      <c r="AC287" s="513"/>
      <c r="AD287" s="514"/>
      <c r="AE287" s="513"/>
      <c r="AF287" s="514"/>
      <c r="AG287" s="512"/>
      <c r="AH287" s="511"/>
      <c r="AI287" s="512"/>
      <c r="AJ287" s="511"/>
      <c r="AK287" s="512"/>
      <c r="AL287" s="511"/>
      <c r="AM287" s="514"/>
      <c r="AN287" s="511"/>
      <c r="AO287" s="512"/>
      <c r="AP287" s="511"/>
      <c r="AQ287" s="511"/>
      <c r="AR287" s="511"/>
      <c r="AS287" s="511"/>
      <c r="AT287" s="511"/>
      <c r="AU287" s="511"/>
      <c r="AV287" s="511"/>
      <c r="AW287" s="511"/>
      <c r="AX287" s="511"/>
      <c r="AY287" s="511"/>
      <c r="AZ287" s="511"/>
      <c r="BA287" s="511"/>
      <c r="BB287" s="511"/>
      <c r="BC287" s="511"/>
      <c r="BD287" s="511"/>
      <c r="BE287" s="511"/>
      <c r="BF287" s="511"/>
      <c r="BG287" s="511"/>
      <c r="BH287" s="511"/>
      <c r="BI287" s="511"/>
      <c r="BJ287" s="511"/>
      <c r="BK287" s="511"/>
      <c r="BL287" s="511"/>
      <c r="BM287" s="516"/>
      <c r="BN287" s="511"/>
      <c r="BO287" s="512"/>
      <c r="BP287" s="511"/>
      <c r="BQ287" s="512"/>
      <c r="BR287" s="511"/>
      <c r="BS287" s="517">
        <f>SUM(BS281:BS286)</f>
        <v>287547.85999999288</v>
      </c>
    </row>
    <row r="288" spans="1:72" ht="13.8" thickTop="1">
      <c r="AK288" s="200"/>
      <c r="BM288" s="488"/>
    </row>
    <row r="289" spans="37:65">
      <c r="AK289" s="200"/>
      <c r="BM289" s="488"/>
    </row>
    <row r="290" spans="37:65">
      <c r="AK290" s="200"/>
      <c r="BM290" s="488"/>
    </row>
    <row r="291" spans="37:65">
      <c r="AK291" s="200"/>
      <c r="BM291" s="488"/>
    </row>
    <row r="292" spans="37:65">
      <c r="AK292" s="200"/>
      <c r="BM292" s="488"/>
    </row>
    <row r="293" spans="37:65">
      <c r="AK293" s="200"/>
      <c r="BM293" s="488"/>
    </row>
    <row r="294" spans="37:65">
      <c r="AK294" s="200"/>
      <c r="BM294" s="488"/>
    </row>
    <row r="295" spans="37:65">
      <c r="AK295" s="200"/>
      <c r="BM295" s="488"/>
    </row>
    <row r="296" spans="37:65">
      <c r="AK296" s="200"/>
      <c r="BM296" s="488"/>
    </row>
    <row r="297" spans="37:65">
      <c r="AK297" s="200"/>
      <c r="BM297" s="488"/>
    </row>
    <row r="298" spans="37:65">
      <c r="AK298" s="200"/>
      <c r="BM298" s="488"/>
    </row>
    <row r="299" spans="37:65">
      <c r="AK299" s="200"/>
      <c r="BM299" s="488"/>
    </row>
    <row r="300" spans="37:65">
      <c r="AK300" s="200"/>
      <c r="BM300" s="488"/>
    </row>
    <row r="301" spans="37:65">
      <c r="AK301" s="200"/>
      <c r="BM301" s="488"/>
    </row>
    <row r="302" spans="37:65">
      <c r="AK302" s="200"/>
      <c r="BM302" s="488"/>
    </row>
    <row r="303" spans="37:65">
      <c r="AK303" s="200"/>
      <c r="BM303" s="488"/>
    </row>
    <row r="304" spans="37:65">
      <c r="AK304" s="200"/>
      <c r="BM304" s="488"/>
    </row>
    <row r="305" spans="37:65">
      <c r="AK305" s="200"/>
      <c r="BM305" s="488"/>
    </row>
    <row r="306" spans="37:65">
      <c r="AK306" s="200"/>
      <c r="BM306" s="488"/>
    </row>
    <row r="307" spans="37:65">
      <c r="AK307" s="200"/>
      <c r="BM307" s="488"/>
    </row>
    <row r="308" spans="37:65">
      <c r="AK308" s="200"/>
      <c r="BM308" s="488"/>
    </row>
    <row r="309" spans="37:65">
      <c r="AK309" s="200"/>
      <c r="BM309" s="488"/>
    </row>
    <row r="310" spans="37:65">
      <c r="AK310" s="200"/>
      <c r="BM310" s="488"/>
    </row>
    <row r="311" spans="37:65">
      <c r="AK311" s="200"/>
      <c r="BM311" s="488"/>
    </row>
    <row r="312" spans="37:65">
      <c r="AK312" s="200"/>
      <c r="BM312" s="488"/>
    </row>
  </sheetData>
  <phoneticPr fontId="50" type="noConversion"/>
  <printOptions horizontalCentered="1"/>
  <pageMargins left="0.2" right="0.25" top="0.49" bottom="0.33" header="0.66" footer="0.33"/>
  <pageSetup scale="49" fitToHeight="3" orientation="landscape" horizontalDpi="300" verticalDpi="300" r:id="rId1"/>
  <headerFooter alignWithMargins="0"/>
  <rowBreaks count="2" manualBreakCount="2">
    <brk id="86" max="16383" man="1"/>
    <brk id="148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77"/>
  <sheetViews>
    <sheetView zoomScale="75" zoomScaleNormal="75" zoomScaleSheetLayoutView="25" workbookViewId="0">
      <pane xSplit="4" ySplit="7" topLeftCell="E8" activePane="bottomRight" state="frozen"/>
      <selection activeCell="A61" sqref="A61"/>
      <selection pane="topRight" activeCell="A61" sqref="A61"/>
      <selection pane="bottomLeft" activeCell="A61" sqref="A61"/>
      <selection pane="bottomRight" activeCell="E8" sqref="E8"/>
    </sheetView>
  </sheetViews>
  <sheetFormatPr defaultColWidth="9.109375" defaultRowHeight="13.2"/>
  <cols>
    <col min="1" max="1" width="4.6640625" style="206" customWidth="1"/>
    <col min="2" max="2" width="51.109375" style="206" customWidth="1"/>
    <col min="3" max="3" width="0.33203125" style="199" hidden="1" customWidth="1"/>
    <col min="4" max="4" width="1.6640625" style="199" customWidth="1"/>
    <col min="5" max="5" width="22" style="199" customWidth="1"/>
    <col min="6" max="6" width="0.88671875" style="206" customWidth="1"/>
    <col min="7" max="7" width="20.33203125" style="199" customWidth="1"/>
    <col min="8" max="8" width="0.88671875" style="206" customWidth="1"/>
    <col min="9" max="9" width="17.109375" style="199" customWidth="1"/>
    <col min="10" max="10" width="2.6640625" style="206" hidden="1" customWidth="1"/>
    <col min="11" max="11" width="21" style="244" hidden="1" customWidth="1"/>
    <col min="12" max="12" width="0.6640625" style="355" hidden="1" customWidth="1"/>
    <col min="13" max="13" width="17.88671875" style="244" hidden="1" customWidth="1"/>
    <col min="14" max="14" width="0.88671875" style="206" hidden="1" customWidth="1"/>
    <col min="15" max="15" width="17.88671875" style="244" hidden="1" customWidth="1"/>
    <col min="16" max="16" width="0.88671875" style="206" hidden="1" customWidth="1"/>
    <col min="17" max="17" width="17.88671875" style="244" hidden="1" customWidth="1"/>
    <col min="18" max="18" width="0.6640625" style="206" hidden="1" customWidth="1"/>
    <col min="19" max="19" width="16" style="244" hidden="1" customWidth="1"/>
    <col min="20" max="20" width="0.5546875" style="217" hidden="1" customWidth="1"/>
    <col min="21" max="21" width="17.88671875" style="244" hidden="1" customWidth="1"/>
    <col min="22" max="22" width="1" style="382" hidden="1" customWidth="1"/>
    <col min="23" max="23" width="17.88671875" style="244" hidden="1" customWidth="1"/>
    <col min="24" max="24" width="1" style="382" hidden="1" customWidth="1"/>
    <col min="25" max="25" width="17.88671875" style="244" hidden="1" customWidth="1"/>
    <col min="26" max="26" width="1.33203125" style="382" hidden="1" customWidth="1"/>
    <col min="27" max="27" width="17.88671875" style="244" hidden="1" customWidth="1"/>
    <col min="28" max="28" width="0.6640625" style="382" hidden="1" customWidth="1"/>
    <col min="29" max="29" width="17.6640625" style="244" hidden="1" customWidth="1"/>
    <col min="30" max="30" width="0.6640625" style="382" hidden="1" customWidth="1"/>
    <col min="31" max="31" width="17.88671875" style="244" hidden="1" customWidth="1"/>
    <col min="32" max="32" width="0.6640625" style="382" hidden="1" customWidth="1"/>
    <col min="33" max="33" width="18.6640625" style="199" hidden="1" customWidth="1"/>
    <col min="34" max="34" width="0.6640625" style="206" hidden="1" customWidth="1"/>
    <col min="35" max="35" width="17.88671875" style="199" hidden="1" customWidth="1"/>
    <col min="36" max="36" width="0.6640625" style="206" hidden="1" customWidth="1"/>
    <col min="37" max="37" width="18.44140625" style="199" hidden="1" customWidth="1"/>
    <col min="38" max="38" width="0.5546875" style="206" hidden="1" customWidth="1"/>
    <col min="39" max="39" width="19.109375" style="382" hidden="1" customWidth="1"/>
    <col min="40" max="40" width="0.88671875" style="206" hidden="1" customWidth="1"/>
    <col min="41" max="41" width="17.88671875" style="199" hidden="1" customWidth="1"/>
    <col min="42" max="42" width="1" style="206" hidden="1" customWidth="1"/>
    <col min="43" max="43" width="17.5546875" style="206" hidden="1" customWidth="1"/>
    <col min="44" max="44" width="0.88671875" style="206" hidden="1" customWidth="1"/>
    <col min="45" max="45" width="19.5546875" style="206" hidden="1" customWidth="1"/>
    <col min="46" max="46" width="0.5546875" style="206" hidden="1" customWidth="1"/>
    <col min="47" max="47" width="17.88671875" style="206" hidden="1" customWidth="1"/>
    <col min="48" max="48" width="0.88671875" style="206" hidden="1" customWidth="1"/>
    <col min="49" max="49" width="17.5546875" style="206" hidden="1" customWidth="1"/>
    <col min="50" max="50" width="0.6640625" style="206" customWidth="1"/>
    <col min="51" max="51" width="17.5546875" style="206" hidden="1" customWidth="1"/>
    <col min="52" max="52" width="0.88671875" style="206" hidden="1" customWidth="1"/>
    <col min="53" max="53" width="0.109375" style="206" hidden="1" customWidth="1"/>
    <col min="54" max="54" width="2.6640625" style="206" hidden="1" customWidth="1"/>
    <col min="55" max="55" width="17.5546875" style="206" hidden="1" customWidth="1"/>
    <col min="56" max="56" width="0.88671875" style="206" hidden="1" customWidth="1"/>
    <col min="57" max="57" width="20.88671875" style="199" customWidth="1"/>
    <col min="58" max="58" width="0.88671875" style="206" customWidth="1"/>
    <col min="59" max="59" width="24.5546875" style="199" customWidth="1"/>
    <col min="60" max="60" width="0.5546875" style="206" customWidth="1"/>
    <col min="61" max="61" width="20.88671875" style="199" customWidth="1"/>
    <col min="62" max="62" width="0.6640625" style="206" customWidth="1"/>
    <col min="63" max="63" width="16.44140625" style="199" customWidth="1"/>
    <col min="64" max="64" width="0.88671875" style="206" customWidth="1"/>
    <col min="65" max="65" width="75.88671875" style="199" customWidth="1"/>
    <col min="66" max="16384" width="9.109375" style="199"/>
  </cols>
  <sheetData>
    <row r="1" spans="1:65" s="178" customFormat="1" ht="15.6">
      <c r="A1" s="500" t="s">
        <v>1053</v>
      </c>
      <c r="B1" s="175"/>
      <c r="C1" s="398"/>
      <c r="D1" s="177"/>
      <c r="E1" s="177"/>
      <c r="F1" s="384"/>
      <c r="G1" s="177"/>
      <c r="H1" s="356"/>
      <c r="J1" s="356"/>
      <c r="K1" s="179"/>
      <c r="L1" s="353"/>
      <c r="M1" s="179"/>
      <c r="N1" s="356"/>
      <c r="O1" s="179"/>
      <c r="P1" s="356"/>
      <c r="Q1" s="179"/>
      <c r="R1" s="356"/>
      <c r="S1" s="179"/>
      <c r="T1" s="194"/>
      <c r="U1" s="179"/>
      <c r="V1" s="363"/>
      <c r="W1" s="179"/>
      <c r="X1" s="363"/>
      <c r="Y1" s="179"/>
      <c r="Z1" s="363"/>
      <c r="AA1" s="179"/>
      <c r="AB1" s="363"/>
      <c r="AC1" s="179"/>
      <c r="AD1" s="363"/>
      <c r="AE1" s="179"/>
      <c r="AF1" s="363"/>
      <c r="AH1" s="356"/>
      <c r="AJ1" s="356"/>
      <c r="AK1" s="181"/>
      <c r="AL1" s="356"/>
      <c r="AM1" s="363"/>
      <c r="AN1" s="356"/>
      <c r="AP1" s="356"/>
      <c r="AQ1" s="356"/>
      <c r="AR1" s="356"/>
      <c r="AS1" s="356"/>
      <c r="AT1" s="356"/>
      <c r="AU1" s="356"/>
      <c r="AV1" s="356"/>
      <c r="AW1" s="356"/>
      <c r="AX1" s="356"/>
      <c r="AY1" s="356"/>
      <c r="AZ1" s="356"/>
      <c r="BA1" s="356"/>
      <c r="BB1" s="356"/>
      <c r="BC1" s="356"/>
      <c r="BD1" s="356"/>
      <c r="BE1" s="181"/>
      <c r="BF1" s="356"/>
      <c r="BG1" s="181"/>
      <c r="BH1" s="365"/>
      <c r="BI1" s="181"/>
      <c r="BJ1" s="365"/>
      <c r="BL1" s="356"/>
    </row>
    <row r="2" spans="1:65" s="178" customFormat="1" ht="15.6">
      <c r="A2" s="501" t="s">
        <v>438</v>
      </c>
      <c r="B2" s="175"/>
      <c r="C2" s="398"/>
      <c r="D2" s="177"/>
      <c r="E2" s="177"/>
      <c r="F2" s="384"/>
      <c r="G2" s="177"/>
      <c r="H2" s="356"/>
      <c r="J2" s="356"/>
      <c r="K2" s="179"/>
      <c r="L2" s="353"/>
      <c r="M2" s="179"/>
      <c r="N2" s="356"/>
      <c r="O2" s="179"/>
      <c r="P2" s="356"/>
      <c r="Q2" s="179"/>
      <c r="R2" s="356"/>
      <c r="S2" s="179"/>
      <c r="T2" s="194"/>
      <c r="U2" s="179"/>
      <c r="V2" s="363"/>
      <c r="W2" s="179"/>
      <c r="X2" s="363"/>
      <c r="Y2" s="179"/>
      <c r="Z2" s="363"/>
      <c r="AA2" s="179"/>
      <c r="AB2" s="363"/>
      <c r="AC2" s="179"/>
      <c r="AD2" s="363"/>
      <c r="AE2" s="179"/>
      <c r="AF2" s="363"/>
      <c r="AH2" s="356"/>
      <c r="AJ2" s="356"/>
      <c r="AL2" s="356"/>
      <c r="AM2" s="363"/>
      <c r="AN2" s="356"/>
      <c r="AP2" s="356"/>
      <c r="AQ2" s="356"/>
      <c r="AR2" s="356"/>
      <c r="AS2" s="356"/>
      <c r="AT2" s="356"/>
      <c r="AU2" s="356"/>
      <c r="AV2" s="356"/>
      <c r="AW2" s="356"/>
      <c r="AX2" s="356"/>
      <c r="AY2" s="356"/>
      <c r="AZ2" s="356"/>
      <c r="BA2" s="356"/>
      <c r="BB2" s="356"/>
      <c r="BC2" s="356"/>
      <c r="BD2" s="356"/>
      <c r="BF2" s="356"/>
      <c r="BH2" s="356"/>
      <c r="BJ2" s="356"/>
      <c r="BK2" s="376"/>
      <c r="BL2" s="356"/>
    </row>
    <row r="3" spans="1:65" s="178" customFormat="1" ht="15.6">
      <c r="A3" s="175"/>
      <c r="B3" s="175"/>
      <c r="C3" s="398"/>
      <c r="D3" s="177"/>
      <c r="E3" s="182">
        <v>342</v>
      </c>
      <c r="F3" s="384"/>
      <c r="G3" s="183" t="s">
        <v>293</v>
      </c>
      <c r="H3" s="356"/>
      <c r="J3" s="356"/>
      <c r="K3" s="179"/>
      <c r="L3" s="353"/>
      <c r="M3" s="179"/>
      <c r="N3" s="356"/>
      <c r="O3" s="179"/>
      <c r="P3" s="356"/>
      <c r="Q3" s="179"/>
      <c r="R3" s="356"/>
      <c r="S3" s="179"/>
      <c r="T3" s="194"/>
      <c r="U3" s="179"/>
      <c r="V3" s="363"/>
      <c r="W3" s="179"/>
      <c r="X3" s="363"/>
      <c r="Y3" s="179"/>
      <c r="Z3" s="363"/>
      <c r="AA3" s="179"/>
      <c r="AB3" s="363"/>
      <c r="AC3" s="179"/>
      <c r="AD3" s="363"/>
      <c r="AE3" s="179"/>
      <c r="AF3" s="363"/>
      <c r="AH3" s="356"/>
      <c r="AJ3" s="356"/>
      <c r="AK3" s="184"/>
      <c r="AL3" s="356"/>
      <c r="AM3" s="363"/>
      <c r="AN3" s="356"/>
      <c r="AP3" s="356"/>
      <c r="AQ3" s="356"/>
      <c r="AR3" s="356"/>
      <c r="AS3" s="356"/>
      <c r="AT3" s="356"/>
      <c r="AU3" s="356"/>
      <c r="AV3" s="356"/>
      <c r="AW3" s="356"/>
      <c r="AX3" s="356"/>
      <c r="AY3" s="356"/>
      <c r="AZ3" s="356"/>
      <c r="BA3" s="356"/>
      <c r="BB3" s="356"/>
      <c r="BC3" s="356"/>
      <c r="BD3" s="356"/>
      <c r="BE3" s="184"/>
      <c r="BF3" s="356"/>
      <c r="BG3" s="249"/>
      <c r="BH3" s="356"/>
      <c r="BI3" s="184"/>
      <c r="BJ3" s="356"/>
      <c r="BK3" s="181"/>
      <c r="BL3" s="356"/>
    </row>
    <row r="4" spans="1:65" s="178" customFormat="1" ht="15.6">
      <c r="A4" s="502"/>
      <c r="B4" s="186"/>
      <c r="C4" s="372"/>
      <c r="E4" s="180"/>
      <c r="F4" s="356"/>
      <c r="H4" s="353"/>
      <c r="I4" s="180"/>
      <c r="J4" s="356"/>
      <c r="K4" s="179"/>
      <c r="L4" s="353"/>
      <c r="M4" s="188" t="s">
        <v>360</v>
      </c>
      <c r="N4" s="353"/>
      <c r="O4" s="188" t="s">
        <v>360</v>
      </c>
      <c r="P4" s="353"/>
      <c r="Q4" s="188" t="s">
        <v>820</v>
      </c>
      <c r="R4" s="353"/>
      <c r="S4" s="188" t="s">
        <v>360</v>
      </c>
      <c r="T4" s="363"/>
      <c r="U4" s="188" t="s">
        <v>360</v>
      </c>
      <c r="V4" s="364"/>
      <c r="W4" s="188" t="s">
        <v>360</v>
      </c>
      <c r="X4" s="364"/>
      <c r="Y4" s="188" t="s">
        <v>360</v>
      </c>
      <c r="Z4" s="364"/>
      <c r="AA4" s="188" t="s">
        <v>360</v>
      </c>
      <c r="AB4" s="364"/>
      <c r="AC4" s="188" t="s">
        <v>360</v>
      </c>
      <c r="AD4" s="364"/>
      <c r="AE4" s="188" t="s">
        <v>360</v>
      </c>
      <c r="AF4" s="364"/>
      <c r="AG4" s="188" t="s">
        <v>360</v>
      </c>
      <c r="AH4" s="364"/>
      <c r="AI4" s="188" t="s">
        <v>360</v>
      </c>
      <c r="AJ4" s="356"/>
      <c r="AK4" s="189"/>
      <c r="AL4" s="356"/>
      <c r="AM4" s="385" t="s">
        <v>367</v>
      </c>
      <c r="AN4" s="356"/>
      <c r="AO4" s="188" t="s">
        <v>360</v>
      </c>
      <c r="AP4" s="364"/>
      <c r="AQ4" s="364" t="s">
        <v>360</v>
      </c>
      <c r="AR4" s="364"/>
      <c r="AS4" s="364" t="s">
        <v>360</v>
      </c>
      <c r="AT4" s="364"/>
      <c r="AU4" s="364" t="s">
        <v>360</v>
      </c>
      <c r="AV4" s="364"/>
      <c r="AW4" s="364" t="s">
        <v>360</v>
      </c>
      <c r="AX4" s="364"/>
      <c r="AY4" s="364" t="s">
        <v>360</v>
      </c>
      <c r="AZ4" s="356"/>
      <c r="BA4" s="364" t="s">
        <v>360</v>
      </c>
      <c r="BB4" s="356"/>
      <c r="BC4" s="364" t="s">
        <v>360</v>
      </c>
      <c r="BD4" s="356"/>
      <c r="BE4" s="189"/>
      <c r="BF4" s="356"/>
      <c r="BG4" s="189"/>
      <c r="BH4" s="356"/>
      <c r="BI4" s="189"/>
      <c r="BJ4" s="356"/>
      <c r="BK4" s="189"/>
      <c r="BL4" s="356"/>
    </row>
    <row r="5" spans="1:65" s="178" customFormat="1" ht="15.6">
      <c r="A5" s="356"/>
      <c r="B5" s="356"/>
      <c r="E5" s="190" t="s">
        <v>1656</v>
      </c>
      <c r="F5" s="356"/>
      <c r="G5" s="189" t="s">
        <v>1657</v>
      </c>
      <c r="H5" s="353"/>
      <c r="I5" s="190" t="s">
        <v>368</v>
      </c>
      <c r="J5" s="356"/>
      <c r="K5" s="188" t="s">
        <v>290</v>
      </c>
      <c r="L5" s="353"/>
      <c r="M5" s="188" t="s">
        <v>361</v>
      </c>
      <c r="N5" s="353"/>
      <c r="O5" s="188" t="s">
        <v>361</v>
      </c>
      <c r="P5" s="353"/>
      <c r="Q5" s="188" t="s">
        <v>361</v>
      </c>
      <c r="R5" s="353"/>
      <c r="S5" s="188" t="s">
        <v>361</v>
      </c>
      <c r="T5" s="363"/>
      <c r="U5" s="188" t="s">
        <v>361</v>
      </c>
      <c r="V5" s="364"/>
      <c r="W5" s="188" t="s">
        <v>361</v>
      </c>
      <c r="X5" s="364"/>
      <c r="Y5" s="188" t="s">
        <v>361</v>
      </c>
      <c r="Z5" s="364"/>
      <c r="AA5" s="188" t="s">
        <v>361</v>
      </c>
      <c r="AB5" s="364"/>
      <c r="AC5" s="188" t="s">
        <v>361</v>
      </c>
      <c r="AD5" s="364"/>
      <c r="AE5" s="188" t="s">
        <v>361</v>
      </c>
      <c r="AF5" s="364"/>
      <c r="AG5" s="188" t="s">
        <v>361</v>
      </c>
      <c r="AH5" s="364"/>
      <c r="AI5" s="188" t="s">
        <v>361</v>
      </c>
      <c r="AJ5" s="356"/>
      <c r="AK5" s="189" t="s">
        <v>290</v>
      </c>
      <c r="AL5" s="356"/>
      <c r="AM5" s="385" t="s">
        <v>368</v>
      </c>
      <c r="AN5" s="356"/>
      <c r="AO5" s="188" t="s">
        <v>361</v>
      </c>
      <c r="AP5" s="364"/>
      <c r="AQ5" s="364" t="s">
        <v>361</v>
      </c>
      <c r="AR5" s="364"/>
      <c r="AS5" s="364" t="s">
        <v>361</v>
      </c>
      <c r="AT5" s="364"/>
      <c r="AU5" s="364" t="s">
        <v>361</v>
      </c>
      <c r="AV5" s="364"/>
      <c r="AW5" s="364" t="s">
        <v>361</v>
      </c>
      <c r="AX5" s="364"/>
      <c r="AY5" s="364" t="s">
        <v>361</v>
      </c>
      <c r="AZ5" s="356"/>
      <c r="BA5" s="364" t="s">
        <v>361</v>
      </c>
      <c r="BB5" s="356"/>
      <c r="BC5" s="364" t="s">
        <v>361</v>
      </c>
      <c r="BD5" s="356"/>
      <c r="BE5" s="189" t="s">
        <v>290</v>
      </c>
      <c r="BF5" s="356"/>
      <c r="BG5" s="189" t="s">
        <v>311</v>
      </c>
      <c r="BH5" s="356"/>
      <c r="BI5" s="189" t="s">
        <v>1050</v>
      </c>
      <c r="BJ5" s="356"/>
      <c r="BK5" s="189" t="s">
        <v>1052</v>
      </c>
      <c r="BL5" s="356"/>
    </row>
    <row r="6" spans="1:65" s="178" customFormat="1" ht="15.6">
      <c r="A6" s="356"/>
      <c r="B6" s="356"/>
      <c r="C6" s="192"/>
      <c r="E6" s="193" t="s">
        <v>421</v>
      </c>
      <c r="F6" s="356"/>
      <c r="G6" s="192" t="s">
        <v>289</v>
      </c>
      <c r="H6" s="353"/>
      <c r="I6" s="193" t="s">
        <v>1054</v>
      </c>
      <c r="J6" s="356"/>
      <c r="K6" s="245" t="s">
        <v>623</v>
      </c>
      <c r="L6" s="353"/>
      <c r="M6" s="245" t="s">
        <v>940</v>
      </c>
      <c r="N6" s="353"/>
      <c r="O6" s="245" t="s">
        <v>939</v>
      </c>
      <c r="P6" s="353"/>
      <c r="Q6" s="245" t="s">
        <v>938</v>
      </c>
      <c r="R6" s="353"/>
      <c r="S6" s="245" t="s">
        <v>937</v>
      </c>
      <c r="T6" s="363"/>
      <c r="U6" s="245" t="s">
        <v>936</v>
      </c>
      <c r="V6" s="331"/>
      <c r="W6" s="245" t="s">
        <v>935</v>
      </c>
      <c r="X6" s="331"/>
      <c r="Y6" s="245" t="s">
        <v>934</v>
      </c>
      <c r="Z6" s="331"/>
      <c r="AA6" s="245" t="s">
        <v>548</v>
      </c>
      <c r="AB6" s="331"/>
      <c r="AC6" s="245" t="s">
        <v>578</v>
      </c>
      <c r="AD6" s="331"/>
      <c r="AE6" s="245" t="s">
        <v>933</v>
      </c>
      <c r="AF6" s="331"/>
      <c r="AG6" s="245" t="s">
        <v>987</v>
      </c>
      <c r="AH6" s="331"/>
      <c r="AI6" s="245" t="s">
        <v>1392</v>
      </c>
      <c r="AJ6" s="356"/>
      <c r="AK6" s="192" t="s">
        <v>364</v>
      </c>
      <c r="AL6" s="356"/>
      <c r="AM6" s="385" t="s">
        <v>369</v>
      </c>
      <c r="AN6" s="356"/>
      <c r="AO6" s="379">
        <v>36556</v>
      </c>
      <c r="AP6" s="380"/>
      <c r="AQ6" s="396">
        <v>36585</v>
      </c>
      <c r="AR6" s="380"/>
      <c r="AS6" s="396">
        <v>36616</v>
      </c>
      <c r="AT6" s="380"/>
      <c r="AU6" s="396">
        <v>36646</v>
      </c>
      <c r="AV6" s="439"/>
      <c r="AW6" s="396">
        <v>36677</v>
      </c>
      <c r="AX6" s="439"/>
      <c r="AY6" s="396">
        <v>36707</v>
      </c>
      <c r="AZ6" s="356"/>
      <c r="BA6" s="396">
        <v>36738</v>
      </c>
      <c r="BB6" s="356"/>
      <c r="BC6" s="396">
        <v>36769</v>
      </c>
      <c r="BD6" s="356"/>
      <c r="BE6" s="192" t="s">
        <v>364</v>
      </c>
      <c r="BF6" s="356"/>
      <c r="BG6" s="192" t="s">
        <v>1049</v>
      </c>
      <c r="BH6" s="356"/>
      <c r="BI6" s="192" t="s">
        <v>1051</v>
      </c>
      <c r="BJ6" s="356"/>
      <c r="BK6" s="192" t="s">
        <v>310</v>
      </c>
      <c r="BL6" s="356"/>
      <c r="BM6" s="192" t="s">
        <v>241</v>
      </c>
    </row>
    <row r="7" spans="1:65" s="178" customFormat="1" ht="15.6">
      <c r="A7" s="356"/>
      <c r="B7" s="194"/>
      <c r="C7" s="195"/>
      <c r="E7" s="188" t="s">
        <v>536</v>
      </c>
      <c r="F7" s="356"/>
      <c r="G7" s="255" t="str">
        <f>Summary!Q4</f>
        <v>as of 12/28/00</v>
      </c>
      <c r="H7" s="364"/>
      <c r="I7" s="188" t="str">
        <f>+Summary!$Q$4</f>
        <v>as of 12/28/00</v>
      </c>
      <c r="J7" s="364"/>
      <c r="K7" s="188" t="str">
        <f>+Summary!$Q$4</f>
        <v>as of 12/28/00</v>
      </c>
      <c r="L7" s="364"/>
      <c r="M7" s="188" t="str">
        <f>+Summary!$Q$4</f>
        <v>as of 12/28/00</v>
      </c>
      <c r="N7" s="364"/>
      <c r="O7" s="188" t="str">
        <f>+Summary!$Q$4</f>
        <v>as of 12/28/00</v>
      </c>
      <c r="P7" s="364"/>
      <c r="Q7" s="188" t="str">
        <f>+Summary!$Q$4</f>
        <v>as of 12/28/00</v>
      </c>
      <c r="R7" s="364"/>
      <c r="S7" s="188" t="str">
        <f>+Summary!$Q$4</f>
        <v>as of 12/28/00</v>
      </c>
      <c r="T7" s="364"/>
      <c r="U7" s="188" t="str">
        <f>+Summary!$Q$4</f>
        <v>as of 12/28/00</v>
      </c>
      <c r="V7" s="364"/>
      <c r="W7" s="188" t="str">
        <f>+Summary!$Q$4</f>
        <v>as of 12/28/00</v>
      </c>
      <c r="X7" s="364"/>
      <c r="Y7" s="188" t="str">
        <f>+Summary!$Q$4</f>
        <v>as of 12/28/00</v>
      </c>
      <c r="Z7" s="364"/>
      <c r="AA7" s="188" t="str">
        <f>+Summary!$Q$4</f>
        <v>as of 12/28/00</v>
      </c>
      <c r="AB7" s="364"/>
      <c r="AC7" s="188" t="str">
        <f>+Summary!$Q$4</f>
        <v>as of 12/28/00</v>
      </c>
      <c r="AD7" s="364"/>
      <c r="AE7" s="188" t="str">
        <f>+Summary!$Q$4</f>
        <v>as of 12/28/00</v>
      </c>
      <c r="AF7" s="364"/>
      <c r="AG7" s="188" t="str">
        <f>+Summary!$Q$4</f>
        <v>as of 12/28/00</v>
      </c>
      <c r="AH7" s="364"/>
      <c r="AI7" s="188" t="str">
        <f>+Summary!$Q$4</f>
        <v>as of 12/28/00</v>
      </c>
      <c r="AJ7" s="356"/>
      <c r="AK7" s="189" t="s">
        <v>1700</v>
      </c>
      <c r="AL7" s="356"/>
      <c r="AM7" s="386" t="str">
        <f>+Summary!$Q$4</f>
        <v>as of 12/28/00</v>
      </c>
      <c r="AN7" s="356"/>
      <c r="AO7" s="188" t="str">
        <f>+Summary!$Q$4</f>
        <v>as of 12/28/00</v>
      </c>
      <c r="AP7" s="364"/>
      <c r="AQ7" s="364" t="str">
        <f>+Summary!$Q$4</f>
        <v>as of 12/28/00</v>
      </c>
      <c r="AR7" s="364"/>
      <c r="AS7" s="364" t="str">
        <f>+Summary!$Q$4</f>
        <v>as of 12/28/00</v>
      </c>
      <c r="AT7" s="364"/>
      <c r="AU7" s="364" t="str">
        <f>+Summary!$Q$4</f>
        <v>as of 12/28/00</v>
      </c>
      <c r="AV7" s="364"/>
      <c r="AW7" s="364" t="str">
        <f>+Summary!$Q$4</f>
        <v>as of 12/28/00</v>
      </c>
      <c r="AX7" s="364"/>
      <c r="AY7" s="364" t="str">
        <f>+Summary!$Q$4</f>
        <v>as of 12/28/00</v>
      </c>
      <c r="AZ7" s="356"/>
      <c r="BA7" s="364" t="str">
        <f>+Summary!$Q$4</f>
        <v>as of 12/28/00</v>
      </c>
      <c r="BB7" s="356"/>
      <c r="BC7" s="364" t="str">
        <f>+Summary!$Q$4</f>
        <v>as of 12/28/00</v>
      </c>
      <c r="BD7" s="356"/>
      <c r="BE7" s="189" t="str">
        <f>Summary!Q4</f>
        <v>as of 12/28/00</v>
      </c>
      <c r="BF7" s="356"/>
      <c r="BG7" s="189">
        <f>Summary!S4</f>
        <v>0</v>
      </c>
      <c r="BH7" s="356"/>
      <c r="BI7" s="189">
        <f>Summary!U4</f>
        <v>0</v>
      </c>
      <c r="BJ7" s="356"/>
      <c r="BK7" s="189">
        <f>Summary!W4</f>
        <v>0</v>
      </c>
      <c r="BL7" s="356"/>
    </row>
    <row r="8" spans="1:65">
      <c r="C8" s="372"/>
      <c r="D8" s="372"/>
      <c r="K8" s="199"/>
      <c r="L8" s="206"/>
      <c r="M8" s="199"/>
      <c r="O8" s="199"/>
      <c r="Q8" s="199"/>
      <c r="S8" s="199"/>
      <c r="U8" s="199"/>
      <c r="V8" s="206"/>
      <c r="W8" s="199"/>
      <c r="X8" s="206"/>
      <c r="Y8" s="199"/>
      <c r="Z8" s="206"/>
      <c r="AA8" s="199"/>
      <c r="AB8" s="206"/>
      <c r="AC8" s="199"/>
      <c r="AD8" s="206"/>
      <c r="AE8" s="199"/>
      <c r="AF8" s="206"/>
      <c r="AM8" s="206"/>
    </row>
    <row r="9" spans="1:65" ht="15.6">
      <c r="A9" s="356"/>
      <c r="B9" s="194"/>
      <c r="C9" s="195"/>
      <c r="D9" s="178"/>
      <c r="E9" s="188"/>
      <c r="F9" s="356"/>
      <c r="G9" s="255"/>
      <c r="H9" s="353"/>
      <c r="I9" s="180"/>
      <c r="J9" s="356"/>
      <c r="K9" s="188"/>
      <c r="L9" s="353"/>
      <c r="M9" s="188"/>
      <c r="N9" s="353"/>
      <c r="O9" s="188"/>
      <c r="P9" s="353"/>
      <c r="Q9" s="188"/>
      <c r="R9" s="353"/>
      <c r="S9" s="188"/>
      <c r="T9" s="363"/>
      <c r="U9" s="188"/>
      <c r="V9" s="363"/>
      <c r="W9" s="188"/>
      <c r="X9" s="353"/>
      <c r="Y9" s="188"/>
      <c r="Z9" s="353"/>
      <c r="AA9" s="188"/>
      <c r="AB9" s="353"/>
      <c r="AC9" s="188"/>
      <c r="AD9" s="353"/>
      <c r="AE9" s="188"/>
      <c r="AF9" s="364"/>
      <c r="AG9" s="188"/>
      <c r="AH9" s="364"/>
      <c r="AI9" s="188"/>
      <c r="AJ9" s="356"/>
      <c r="AK9" s="189"/>
      <c r="AL9" s="356"/>
      <c r="AM9" s="386"/>
      <c r="AN9" s="356"/>
      <c r="AO9" s="188"/>
      <c r="AP9" s="364"/>
      <c r="AQ9" s="364"/>
      <c r="AR9" s="364"/>
      <c r="AS9" s="364"/>
      <c r="AT9" s="364"/>
      <c r="AU9" s="364"/>
      <c r="AV9" s="364"/>
      <c r="AW9" s="364"/>
      <c r="AX9" s="364"/>
      <c r="AY9" s="364"/>
      <c r="AZ9" s="364"/>
      <c r="BA9" s="364"/>
      <c r="BB9" s="364"/>
      <c r="BC9" s="364"/>
      <c r="BD9" s="364"/>
      <c r="BE9" s="189"/>
      <c r="BF9" s="356"/>
      <c r="BG9" s="189"/>
      <c r="BH9" s="356"/>
      <c r="BI9" s="189"/>
      <c r="BJ9" s="356"/>
      <c r="BK9" s="189"/>
    </row>
    <row r="10" spans="1:65" s="200" customFormat="1">
      <c r="A10" s="223" t="s">
        <v>1650</v>
      </c>
      <c r="B10" s="223"/>
      <c r="C10" s="223"/>
      <c r="D10" s="223"/>
      <c r="E10" s="223">
        <f>ENA!E281</f>
        <v>112383987.94999999</v>
      </c>
      <c r="F10" s="223">
        <f>'[8]Doyle-ENA'!AH527</f>
        <v>0</v>
      </c>
      <c r="G10" s="223">
        <f>ENA!E281</f>
        <v>112383987.94999999</v>
      </c>
      <c r="H10" s="223">
        <f>'[8]Doyle-ENA'!AJ527</f>
        <v>0</v>
      </c>
      <c r="I10" s="223">
        <f>G10-E10</f>
        <v>0</v>
      </c>
      <c r="J10" s="223"/>
      <c r="K10" s="223">
        <f>'[8]Doyle-ENA'!K527</f>
        <v>0</v>
      </c>
      <c r="L10" s="223">
        <f>'[8]Doyle-ENA'!L527</f>
        <v>0</v>
      </c>
      <c r="M10" s="244"/>
      <c r="N10" s="217"/>
      <c r="O10" s="244"/>
      <c r="P10" s="217"/>
      <c r="Q10" s="244"/>
      <c r="R10" s="217"/>
      <c r="S10" s="244"/>
      <c r="T10" s="223">
        <f>'[8]Doyle-ENA'!T527</f>
        <v>0</v>
      </c>
      <c r="U10" s="223">
        <f>'[8]Doyle-ENA'!U527</f>
        <v>0</v>
      </c>
      <c r="V10" s="223">
        <f>'[8]Doyle-ENA'!V527</f>
        <v>0</v>
      </c>
      <c r="W10" s="223">
        <f>'[8]Doyle-ENA'!W527</f>
        <v>0</v>
      </c>
      <c r="X10" s="223">
        <f>'[8]Doyle-ENA'!X527</f>
        <v>0</v>
      </c>
      <c r="Y10" s="223">
        <f>'[8]Doyle-ENA'!Y527</f>
        <v>0</v>
      </c>
      <c r="Z10" s="223">
        <f>'[8]Doyle-ENA'!Z527</f>
        <v>0</v>
      </c>
      <c r="AA10" s="223">
        <f>'[8]Doyle-ENA'!AA527</f>
        <v>0</v>
      </c>
      <c r="AB10" s="223">
        <f>'[8]Doyle-ENA'!AB527</f>
        <v>0</v>
      </c>
      <c r="AC10" s="223">
        <f>'[8]Doyle-ENA'!AC527</f>
        <v>0</v>
      </c>
      <c r="AD10" s="223">
        <f>'[8]Doyle-ENA'!AD527</f>
        <v>0</v>
      </c>
      <c r="AE10" s="223">
        <f>'[8]Doyle-ENA'!AE527</f>
        <v>0</v>
      </c>
      <c r="AF10" s="223"/>
      <c r="AG10" s="223">
        <f>'[8]Doyle-ENA'!AG527</f>
        <v>0</v>
      </c>
      <c r="AH10" s="223">
        <f>'[8]Doyle-ENA'!AH527</f>
        <v>0</v>
      </c>
      <c r="AI10" s="223">
        <f>'[8]Doyle-ENA'!AI527</f>
        <v>0</v>
      </c>
      <c r="AJ10" s="223">
        <f>'[8]Doyle-ENA'!AJ527</f>
        <v>0</v>
      </c>
      <c r="AK10" s="223">
        <f>'[8]Doyle-ENA'!AK527</f>
        <v>0</v>
      </c>
      <c r="AL10" s="223">
        <f>'[8]Doyle-ENA'!AL527</f>
        <v>0</v>
      </c>
      <c r="AM10" s="223">
        <f>'[8]Doyle-ENA'!AM527</f>
        <v>0</v>
      </c>
      <c r="AN10" s="223">
        <f>'[8]Doyle-ENA'!AN527</f>
        <v>0</v>
      </c>
      <c r="AO10" s="223">
        <v>23500000</v>
      </c>
      <c r="AP10" s="223">
        <f>'[8]Doyle-ENA'!N527</f>
        <v>0</v>
      </c>
      <c r="AQ10" s="223">
        <f>-ENA!AQ277</f>
        <v>67845224.039999992</v>
      </c>
      <c r="AR10" s="223">
        <f>'[8]Doyle-ENA'!P527</f>
        <v>0</v>
      </c>
      <c r="AS10" s="223">
        <f>10605313-65537</f>
        <v>10539776</v>
      </c>
      <c r="AT10" s="223"/>
      <c r="AU10" s="223">
        <v>5723578</v>
      </c>
      <c r="AV10" s="223"/>
      <c r="AW10" s="223">
        <v>0</v>
      </c>
      <c r="AX10" s="223"/>
      <c r="AY10" s="223">
        <f>2403255</f>
        <v>2403255</v>
      </c>
      <c r="AZ10" s="223"/>
      <c r="BA10" s="225">
        <v>1221890</v>
      </c>
      <c r="BB10" s="206"/>
      <c r="BC10" s="225">
        <v>1143360</v>
      </c>
      <c r="BE10" s="223">
        <f>SUM(AG10:BD10)</f>
        <v>112377083.03999999</v>
      </c>
      <c r="BF10" s="223"/>
      <c r="BG10" s="221">
        <f>+MAX(0,G10-BE10+AM10)</f>
        <v>6904.9099999964237</v>
      </c>
      <c r="BH10" s="223">
        <f>'[8]Doyle-ENA'!AP527</f>
        <v>0</v>
      </c>
      <c r="BI10" s="223">
        <f>SUM(BE10:BG10)</f>
        <v>112383987.94999999</v>
      </c>
      <c r="BJ10" s="223">
        <f>'[8]Doyle-ENA'!AR527</f>
        <v>0</v>
      </c>
      <c r="BK10" s="223">
        <f>-BI10+E10</f>
        <v>0</v>
      </c>
      <c r="BL10" s="223"/>
    </row>
    <row r="11" spans="1:65">
      <c r="C11" s="372"/>
      <c r="D11" s="372"/>
      <c r="K11" s="199"/>
      <c r="L11" s="206"/>
      <c r="M11" s="199"/>
      <c r="O11" s="199"/>
      <c r="Q11" s="199"/>
      <c r="S11" s="199"/>
      <c r="U11" s="199"/>
      <c r="V11" s="217"/>
      <c r="W11" s="199"/>
      <c r="X11" s="206"/>
      <c r="Y11" s="199"/>
      <c r="Z11" s="206"/>
      <c r="AA11" s="199"/>
      <c r="AB11" s="206"/>
      <c r="AC11" s="199"/>
      <c r="AD11" s="206"/>
      <c r="AE11" s="199"/>
      <c r="AF11" s="206"/>
      <c r="AK11" s="217"/>
      <c r="AM11" s="206"/>
      <c r="AO11" s="200"/>
      <c r="AP11" s="217"/>
      <c r="AQ11" s="217"/>
      <c r="AR11" s="217"/>
      <c r="AS11" s="217"/>
      <c r="AT11" s="217"/>
      <c r="AU11" s="217"/>
      <c r="BE11" s="217"/>
    </row>
    <row r="12" spans="1:65">
      <c r="A12" s="212" t="s">
        <v>259</v>
      </c>
      <c r="C12" s="212"/>
      <c r="D12" s="372"/>
      <c r="K12" s="200"/>
      <c r="L12" s="206"/>
      <c r="M12" s="200"/>
      <c r="O12" s="200"/>
      <c r="Q12" s="200"/>
      <c r="S12" s="200"/>
      <c r="U12" s="200"/>
      <c r="V12" s="217"/>
      <c r="W12" s="200"/>
      <c r="X12" s="206"/>
      <c r="Y12" s="200"/>
      <c r="Z12" s="206"/>
      <c r="AA12" s="200"/>
      <c r="AB12" s="206"/>
      <c r="AC12" s="200"/>
      <c r="AD12" s="206"/>
      <c r="AE12" s="200"/>
      <c r="AF12" s="206"/>
      <c r="AG12" s="200"/>
      <c r="AH12" s="217"/>
      <c r="AI12" s="200"/>
      <c r="AK12" s="217"/>
      <c r="AM12" s="217"/>
      <c r="AO12" s="200"/>
      <c r="AP12" s="217"/>
      <c r="AQ12" s="217"/>
      <c r="AR12" s="217"/>
      <c r="AS12" s="217"/>
      <c r="AT12" s="217"/>
      <c r="AU12" s="217"/>
      <c r="AV12" s="217"/>
      <c r="AW12" s="217"/>
      <c r="AX12" s="217"/>
      <c r="AY12" s="217"/>
      <c r="AZ12" s="217"/>
      <c r="BA12" s="217"/>
      <c r="BB12" s="217"/>
      <c r="BC12" s="217"/>
      <c r="BD12" s="217"/>
      <c r="BE12" s="217"/>
    </row>
    <row r="13" spans="1:65">
      <c r="B13" s="498" t="s">
        <v>410</v>
      </c>
      <c r="C13" s="197" t="s">
        <v>410</v>
      </c>
      <c r="D13" s="372"/>
      <c r="E13" s="199">
        <v>1128564</v>
      </c>
      <c r="F13" s="217"/>
      <c r="G13" s="199">
        <v>1128564</v>
      </c>
      <c r="H13" s="217"/>
      <c r="I13" s="199">
        <f>G13-E13</f>
        <v>0</v>
      </c>
      <c r="K13" s="200">
        <v>0</v>
      </c>
      <c r="L13" s="200">
        <v>0</v>
      </c>
      <c r="M13" s="200">
        <v>0</v>
      </c>
      <c r="N13" s="200">
        <v>0</v>
      </c>
      <c r="O13" s="200">
        <v>0</v>
      </c>
      <c r="P13" s="200">
        <v>0</v>
      </c>
      <c r="Q13" s="200">
        <v>0</v>
      </c>
      <c r="R13" s="200">
        <v>0</v>
      </c>
      <c r="S13" s="200">
        <v>1425</v>
      </c>
      <c r="U13" s="200">
        <v>0</v>
      </c>
      <c r="V13" s="217">
        <v>0</v>
      </c>
      <c r="W13" s="200">
        <v>0</v>
      </c>
      <c r="X13" s="217">
        <v>0</v>
      </c>
      <c r="Y13" s="200">
        <v>0</v>
      </c>
      <c r="Z13" s="217">
        <v>0</v>
      </c>
      <c r="AA13" s="200">
        <v>0</v>
      </c>
      <c r="AB13" s="217">
        <v>0</v>
      </c>
      <c r="AC13" s="200">
        <v>0</v>
      </c>
      <c r="AD13" s="217">
        <v>0</v>
      </c>
      <c r="AE13" s="200">
        <v>0</v>
      </c>
      <c r="AF13" s="217"/>
      <c r="AG13" s="200">
        <v>0</v>
      </c>
      <c r="AH13" s="217">
        <v>0</v>
      </c>
      <c r="AI13" s="200">
        <v>0</v>
      </c>
      <c r="AK13" s="217">
        <v>0</v>
      </c>
      <c r="AM13" s="217"/>
      <c r="AO13" s="200">
        <v>0</v>
      </c>
      <c r="AP13" s="217"/>
      <c r="AQ13" s="217">
        <v>0</v>
      </c>
      <c r="AR13" s="217"/>
      <c r="AS13" s="217">
        <v>0</v>
      </c>
      <c r="AT13" s="217"/>
      <c r="AU13" s="217">
        <f>162232.94+258779.11</f>
        <v>421012.05</v>
      </c>
      <c r="AV13" s="217"/>
      <c r="AW13" s="217">
        <f>122978.82+184631.15</f>
        <v>307609.96999999997</v>
      </c>
      <c r="AX13" s="217"/>
      <c r="AY13" s="217">
        <v>192998</v>
      </c>
      <c r="AZ13" s="217"/>
      <c r="BA13" s="217">
        <v>213192</v>
      </c>
      <c r="BB13" s="217"/>
      <c r="BC13" s="217">
        <v>0</v>
      </c>
      <c r="BD13" s="217"/>
      <c r="BE13" s="217">
        <f>SUM(AK13:BD13)</f>
        <v>1134812.02</v>
      </c>
      <c r="BG13" s="199">
        <f>+MAX(0,G13-BE13+AM13)</f>
        <v>0</v>
      </c>
      <c r="BI13" s="199">
        <f>SUM(BE13:BG13)</f>
        <v>1134812.02</v>
      </c>
      <c r="BK13" s="199">
        <f>-BI13+E13</f>
        <v>-6248.0200000000186</v>
      </c>
    </row>
    <row r="14" spans="1:65">
      <c r="B14" s="498" t="s">
        <v>1651</v>
      </c>
      <c r="C14" s="197" t="s">
        <v>285</v>
      </c>
      <c r="D14" s="372"/>
      <c r="E14" s="199">
        <v>0</v>
      </c>
      <c r="F14" s="217"/>
      <c r="G14" s="199">
        <v>0</v>
      </c>
      <c r="H14" s="217"/>
      <c r="I14" s="199">
        <f>G14-E14</f>
        <v>0</v>
      </c>
      <c r="K14" s="200">
        <v>0</v>
      </c>
      <c r="L14" s="200">
        <v>0</v>
      </c>
      <c r="M14" s="200">
        <v>0</v>
      </c>
      <c r="N14" s="200">
        <v>0</v>
      </c>
      <c r="O14" s="200">
        <v>0</v>
      </c>
      <c r="P14" s="200">
        <v>0</v>
      </c>
      <c r="Q14" s="200">
        <v>0</v>
      </c>
      <c r="R14" s="200">
        <v>0</v>
      </c>
      <c r="S14" s="200">
        <v>0</v>
      </c>
      <c r="U14" s="200">
        <v>0</v>
      </c>
      <c r="V14" s="217">
        <v>0</v>
      </c>
      <c r="W14" s="200">
        <v>0</v>
      </c>
      <c r="X14" s="217">
        <v>0</v>
      </c>
      <c r="Y14" s="200">
        <v>0</v>
      </c>
      <c r="Z14" s="217">
        <v>0</v>
      </c>
      <c r="AA14" s="200">
        <v>0</v>
      </c>
      <c r="AB14" s="217">
        <v>0</v>
      </c>
      <c r="AC14" s="200">
        <v>0</v>
      </c>
      <c r="AD14" s="217">
        <v>0</v>
      </c>
      <c r="AE14" s="200">
        <v>0</v>
      </c>
      <c r="AF14" s="217"/>
      <c r="AG14" s="200">
        <v>0</v>
      </c>
      <c r="AH14" s="217">
        <v>0</v>
      </c>
      <c r="AI14" s="200">
        <v>0</v>
      </c>
      <c r="AK14" s="217">
        <f>SUM(K14:AI14)</f>
        <v>0</v>
      </c>
      <c r="AM14" s="217"/>
      <c r="AO14" s="200">
        <v>0</v>
      </c>
      <c r="AP14" s="217"/>
      <c r="AQ14" s="217">
        <v>0</v>
      </c>
      <c r="AR14" s="217"/>
      <c r="AS14" s="217">
        <v>0</v>
      </c>
      <c r="AT14" s="217"/>
      <c r="AU14" s="217">
        <v>0</v>
      </c>
      <c r="AV14" s="217"/>
      <c r="AW14" s="217">
        <v>0</v>
      </c>
      <c r="AX14" s="217"/>
      <c r="AY14" s="217">
        <v>0</v>
      </c>
      <c r="AZ14" s="217"/>
      <c r="BA14" s="217">
        <v>0</v>
      </c>
      <c r="BB14" s="217"/>
      <c r="BC14" s="217">
        <v>0</v>
      </c>
      <c r="BD14" s="217"/>
      <c r="BE14" s="217">
        <f>SUM(AK14:BD14)</f>
        <v>0</v>
      </c>
      <c r="BG14" s="199">
        <f>+MAX(0,G14-BE14+AM14)</f>
        <v>0</v>
      </c>
      <c r="BI14" s="199">
        <f>SUM(BE14:BG14)</f>
        <v>0</v>
      </c>
      <c r="BK14" s="199">
        <f>-BI14+E14</f>
        <v>0</v>
      </c>
    </row>
    <row r="15" spans="1:65">
      <c r="B15" s="498" t="s">
        <v>359</v>
      </c>
      <c r="C15" s="197" t="s">
        <v>359</v>
      </c>
      <c r="D15" s="372"/>
      <c r="E15" s="199">
        <v>0</v>
      </c>
      <c r="F15" s="217"/>
      <c r="G15" s="199">
        <v>0</v>
      </c>
      <c r="H15" s="217"/>
      <c r="I15" s="199">
        <f>G15-E15</f>
        <v>0</v>
      </c>
      <c r="K15" s="200">
        <v>0</v>
      </c>
      <c r="L15" s="200">
        <v>0</v>
      </c>
      <c r="M15" s="200">
        <v>0</v>
      </c>
      <c r="N15" s="200">
        <v>0</v>
      </c>
      <c r="O15" s="200">
        <v>0</v>
      </c>
      <c r="P15" s="200">
        <v>0</v>
      </c>
      <c r="Q15" s="200">
        <v>0</v>
      </c>
      <c r="R15" s="200">
        <v>0</v>
      </c>
      <c r="S15" s="200">
        <v>0</v>
      </c>
      <c r="U15" s="200">
        <v>0</v>
      </c>
      <c r="V15" s="217">
        <v>0</v>
      </c>
      <c r="W15" s="200">
        <v>0</v>
      </c>
      <c r="X15" s="217">
        <v>0</v>
      </c>
      <c r="Y15" s="200">
        <v>0</v>
      </c>
      <c r="Z15" s="217">
        <v>0</v>
      </c>
      <c r="AA15" s="200">
        <v>0</v>
      </c>
      <c r="AB15" s="217">
        <v>0</v>
      </c>
      <c r="AC15" s="200">
        <v>0</v>
      </c>
      <c r="AD15" s="217">
        <v>0</v>
      </c>
      <c r="AE15" s="200">
        <v>0</v>
      </c>
      <c r="AF15" s="217"/>
      <c r="AG15" s="200">
        <v>0</v>
      </c>
      <c r="AH15" s="217">
        <v>0</v>
      </c>
      <c r="AI15" s="200">
        <v>0</v>
      </c>
      <c r="AK15" s="217">
        <f>SUM(K15:AI15)</f>
        <v>0</v>
      </c>
      <c r="AM15" s="217"/>
      <c r="AO15" s="200">
        <v>0</v>
      </c>
      <c r="AP15" s="217"/>
      <c r="AQ15" s="217">
        <v>0</v>
      </c>
      <c r="AR15" s="217"/>
      <c r="AS15" s="217">
        <v>0</v>
      </c>
      <c r="AT15" s="217"/>
      <c r="AU15" s="217">
        <v>0</v>
      </c>
      <c r="AV15" s="217"/>
      <c r="AW15" s="217">
        <v>0</v>
      </c>
      <c r="AX15" s="217"/>
      <c r="AY15" s="217">
        <v>0</v>
      </c>
      <c r="AZ15" s="217"/>
      <c r="BA15" s="217">
        <v>0</v>
      </c>
      <c r="BB15" s="217"/>
      <c r="BC15" s="217">
        <v>0</v>
      </c>
      <c r="BD15" s="217"/>
      <c r="BE15" s="217">
        <f>SUM(AK15:BD15)</f>
        <v>0</v>
      </c>
      <c r="BG15" s="199">
        <f>+MAX(0,G15-BE15+AM15)</f>
        <v>0</v>
      </c>
      <c r="BI15" s="199">
        <f>SUM(BE15:BG15)</f>
        <v>0</v>
      </c>
      <c r="BK15" s="199">
        <f>-BI15+E15</f>
        <v>0</v>
      </c>
    </row>
    <row r="16" spans="1:65" s="200" customFormat="1" ht="13.5" customHeight="1">
      <c r="A16" s="223"/>
      <c r="B16" s="375" t="s">
        <v>1652</v>
      </c>
      <c r="C16" s="212"/>
      <c r="D16" s="223"/>
      <c r="E16" s="389">
        <f t="shared" ref="E16:AE16" si="0">SUM(E13:E15)</f>
        <v>1128564</v>
      </c>
      <c r="F16" s="223">
        <f t="shared" si="0"/>
        <v>0</v>
      </c>
      <c r="G16" s="389">
        <f t="shared" si="0"/>
        <v>1128564</v>
      </c>
      <c r="H16" s="223">
        <f t="shared" si="0"/>
        <v>0</v>
      </c>
      <c r="I16" s="389">
        <f t="shared" si="0"/>
        <v>0</v>
      </c>
      <c r="J16" s="223"/>
      <c r="K16" s="389">
        <f t="shared" si="0"/>
        <v>0</v>
      </c>
      <c r="L16" s="223">
        <f t="shared" si="0"/>
        <v>0</v>
      </c>
      <c r="M16" s="389">
        <f t="shared" si="0"/>
        <v>0</v>
      </c>
      <c r="N16" s="223">
        <f t="shared" si="0"/>
        <v>0</v>
      </c>
      <c r="O16" s="389">
        <f t="shared" si="0"/>
        <v>0</v>
      </c>
      <c r="P16" s="223">
        <f t="shared" si="0"/>
        <v>0</v>
      </c>
      <c r="Q16" s="389">
        <f t="shared" si="0"/>
        <v>0</v>
      </c>
      <c r="R16" s="223">
        <f t="shared" si="0"/>
        <v>0</v>
      </c>
      <c r="S16" s="389">
        <f t="shared" si="0"/>
        <v>1425</v>
      </c>
      <c r="T16" s="223">
        <f t="shared" si="0"/>
        <v>0</v>
      </c>
      <c r="U16" s="389">
        <f t="shared" si="0"/>
        <v>0</v>
      </c>
      <c r="V16" s="223">
        <f t="shared" si="0"/>
        <v>0</v>
      </c>
      <c r="W16" s="389">
        <f t="shared" si="0"/>
        <v>0</v>
      </c>
      <c r="X16" s="223">
        <f t="shared" si="0"/>
        <v>0</v>
      </c>
      <c r="Y16" s="389">
        <f t="shared" si="0"/>
        <v>0</v>
      </c>
      <c r="Z16" s="223">
        <f t="shared" si="0"/>
        <v>0</v>
      </c>
      <c r="AA16" s="389">
        <f t="shared" si="0"/>
        <v>0</v>
      </c>
      <c r="AB16" s="223">
        <f t="shared" si="0"/>
        <v>0</v>
      </c>
      <c r="AC16" s="389">
        <f t="shared" si="0"/>
        <v>0</v>
      </c>
      <c r="AD16" s="223">
        <f t="shared" si="0"/>
        <v>0</v>
      </c>
      <c r="AE16" s="389">
        <f t="shared" si="0"/>
        <v>0</v>
      </c>
      <c r="AF16" s="223"/>
      <c r="AG16" s="389">
        <f t="shared" ref="AG16:AO16" si="1">SUM(AG13:AG15)</f>
        <v>0</v>
      </c>
      <c r="AH16" s="223">
        <f t="shared" si="1"/>
        <v>0</v>
      </c>
      <c r="AI16" s="389">
        <f t="shared" si="1"/>
        <v>0</v>
      </c>
      <c r="AJ16" s="223">
        <f t="shared" si="1"/>
        <v>0</v>
      </c>
      <c r="AK16" s="389">
        <f t="shared" si="1"/>
        <v>0</v>
      </c>
      <c r="AL16" s="223">
        <f t="shared" si="1"/>
        <v>0</v>
      </c>
      <c r="AM16" s="389">
        <f t="shared" si="1"/>
        <v>0</v>
      </c>
      <c r="AN16" s="223">
        <f t="shared" si="1"/>
        <v>0</v>
      </c>
      <c r="AO16" s="389">
        <f t="shared" si="1"/>
        <v>0</v>
      </c>
      <c r="AP16" s="223"/>
      <c r="AQ16" s="389">
        <f>SUM(AQ13:AQ15)</f>
        <v>0</v>
      </c>
      <c r="AR16" s="223"/>
      <c r="AS16" s="389">
        <f>SUM(AS13:AS15)</f>
        <v>0</v>
      </c>
      <c r="AT16" s="223"/>
      <c r="AU16" s="389">
        <f>SUM(AU13:AU15)</f>
        <v>421012.05</v>
      </c>
      <c r="AV16" s="223"/>
      <c r="AW16" s="389">
        <f>SUM(AW13:AW15)</f>
        <v>307609.96999999997</v>
      </c>
      <c r="AX16" s="223"/>
      <c r="AY16" s="389">
        <f>SUM(AY13:AY15)</f>
        <v>192998</v>
      </c>
      <c r="AZ16" s="223"/>
      <c r="BA16" s="389">
        <f>SUM(BA13:BA15)</f>
        <v>213192</v>
      </c>
      <c r="BB16" s="223"/>
      <c r="BC16" s="389">
        <f>SUM(BC13:BC15)</f>
        <v>0</v>
      </c>
      <c r="BD16" s="223"/>
      <c r="BE16" s="389">
        <f>SUM(BE13:BE15)</f>
        <v>1134812.02</v>
      </c>
      <c r="BF16" s="223"/>
      <c r="BG16" s="224">
        <v>-60717</v>
      </c>
      <c r="BH16" s="223">
        <f>SUM(BH13:BH15)</f>
        <v>0</v>
      </c>
      <c r="BI16" s="209">
        <f>SUM(BI13:BI15)</f>
        <v>1134812.02</v>
      </c>
      <c r="BJ16" s="223">
        <f>SUM(BJ13:BJ15)</f>
        <v>0</v>
      </c>
      <c r="BK16" s="389">
        <f>SUM(BK13:BK15)</f>
        <v>-6248.0200000000186</v>
      </c>
      <c r="BL16" s="217"/>
    </row>
    <row r="17" spans="1:64" s="200" customFormat="1" ht="13.5" customHeight="1">
      <c r="A17" s="223"/>
      <c r="B17" s="375"/>
      <c r="C17" s="212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3"/>
      <c r="Z17" s="223"/>
      <c r="AA17" s="223"/>
      <c r="AB17" s="223"/>
      <c r="AC17" s="223"/>
      <c r="AD17" s="223"/>
      <c r="AE17" s="223"/>
      <c r="AF17" s="223"/>
      <c r="AG17" s="223"/>
      <c r="AH17" s="223"/>
      <c r="AI17" s="223"/>
      <c r="AJ17" s="223"/>
      <c r="AK17" s="223"/>
      <c r="AL17" s="223"/>
      <c r="AM17" s="223"/>
      <c r="AN17" s="223"/>
      <c r="AO17" s="223"/>
      <c r="AP17" s="223"/>
      <c r="AQ17" s="223"/>
      <c r="AR17" s="223"/>
      <c r="AS17" s="223"/>
      <c r="AT17" s="223"/>
      <c r="AU17" s="223"/>
      <c r="AV17" s="223"/>
      <c r="AW17" s="223"/>
      <c r="AX17" s="223"/>
      <c r="AY17" s="223"/>
      <c r="AZ17" s="223"/>
      <c r="BA17" s="223"/>
      <c r="BB17" s="223"/>
      <c r="BC17" s="223"/>
      <c r="BD17" s="223"/>
      <c r="BE17" s="223"/>
      <c r="BF17" s="223"/>
      <c r="BG17" s="225"/>
      <c r="BH17" s="223"/>
      <c r="BI17" s="206"/>
      <c r="BJ17" s="223"/>
      <c r="BK17" s="223"/>
      <c r="BL17" s="217"/>
    </row>
    <row r="18" spans="1:64" s="222" customFormat="1" ht="14.25" customHeight="1">
      <c r="A18" s="212" t="s">
        <v>711</v>
      </c>
      <c r="B18" s="223"/>
      <c r="C18" s="212"/>
      <c r="E18" s="222">
        <v>-1128564</v>
      </c>
      <c r="F18" s="223">
        <v>0</v>
      </c>
      <c r="G18" s="222">
        <v>-1128564</v>
      </c>
      <c r="H18" s="223">
        <v>0</v>
      </c>
      <c r="I18" s="222">
        <v>0</v>
      </c>
      <c r="K18" s="222">
        <v>0</v>
      </c>
      <c r="L18" s="222">
        <v>0</v>
      </c>
      <c r="M18" s="222">
        <v>0</v>
      </c>
      <c r="N18" s="222">
        <v>0</v>
      </c>
      <c r="O18" s="222">
        <v>0</v>
      </c>
      <c r="P18" s="222">
        <v>0</v>
      </c>
      <c r="Q18" s="222">
        <v>0</v>
      </c>
      <c r="R18" s="222">
        <v>0</v>
      </c>
      <c r="S18" s="222">
        <v>0</v>
      </c>
      <c r="T18" s="222">
        <v>0</v>
      </c>
      <c r="U18" s="222">
        <v>0</v>
      </c>
      <c r="V18" s="223">
        <v>0</v>
      </c>
      <c r="W18" s="222">
        <v>0</v>
      </c>
      <c r="X18" s="223">
        <v>0</v>
      </c>
      <c r="Y18" s="222">
        <v>0</v>
      </c>
      <c r="Z18" s="223">
        <v>0</v>
      </c>
      <c r="AA18" s="222">
        <v>0</v>
      </c>
      <c r="AB18" s="223">
        <v>0</v>
      </c>
      <c r="AC18" s="222">
        <v>0</v>
      </c>
      <c r="AD18" s="223">
        <v>0</v>
      </c>
      <c r="AE18" s="222">
        <v>0</v>
      </c>
      <c r="AF18" s="223"/>
      <c r="AG18" s="222">
        <v>0</v>
      </c>
      <c r="AH18" s="223">
        <v>0</v>
      </c>
      <c r="AI18" s="222">
        <v>0</v>
      </c>
      <c r="AJ18" s="223"/>
      <c r="AK18" s="222">
        <f>SUM(K18:AI18)</f>
        <v>0</v>
      </c>
      <c r="AL18" s="223"/>
      <c r="AM18" s="223"/>
      <c r="AN18" s="223"/>
      <c r="AO18" s="223">
        <v>0</v>
      </c>
      <c r="AP18" s="223"/>
      <c r="AQ18" s="223">
        <v>0</v>
      </c>
      <c r="AR18" s="223"/>
      <c r="AS18" s="223">
        <v>0</v>
      </c>
      <c r="AT18" s="223"/>
      <c r="AU18" s="223"/>
      <c r="AV18" s="223"/>
      <c r="AW18" s="223">
        <v>0</v>
      </c>
      <c r="AX18" s="223"/>
      <c r="AY18" s="223">
        <v>-728622</v>
      </c>
      <c r="AZ18" s="223"/>
      <c r="BA18" s="223"/>
      <c r="BB18" s="223"/>
      <c r="BC18" s="223">
        <f>-192998-213192</f>
        <v>-406190</v>
      </c>
      <c r="BD18" s="223"/>
      <c r="BE18" s="223">
        <f>SUM(AG18:BD18)</f>
        <v>-1134812</v>
      </c>
      <c r="BF18" s="223"/>
      <c r="BG18" s="221">
        <f>+MAX(0,G18-BE18+AM18)</f>
        <v>6248</v>
      </c>
      <c r="BH18" s="223"/>
      <c r="BI18" s="221">
        <f>SUM(BE18:BG18)</f>
        <v>-1128564</v>
      </c>
      <c r="BJ18" s="223"/>
      <c r="BK18" s="222">
        <f>-BI18+E18</f>
        <v>0</v>
      </c>
      <c r="BL18" s="223"/>
    </row>
    <row r="19" spans="1:64">
      <c r="B19" s="212"/>
      <c r="C19" s="212" t="s">
        <v>411</v>
      </c>
      <c r="D19" s="372"/>
      <c r="K19" s="200"/>
      <c r="L19" s="206"/>
      <c r="M19" s="200"/>
      <c r="O19" s="200"/>
      <c r="Q19" s="200"/>
      <c r="S19" s="200"/>
      <c r="U19" s="200"/>
      <c r="V19" s="217"/>
      <c r="W19" s="200"/>
      <c r="X19" s="206"/>
      <c r="Y19" s="200"/>
      <c r="Z19" s="206"/>
      <c r="AA19" s="200"/>
      <c r="AB19" s="206"/>
      <c r="AC19" s="200"/>
      <c r="AD19" s="206"/>
      <c r="AE19" s="200"/>
      <c r="AF19" s="206"/>
      <c r="AG19" s="200"/>
      <c r="AH19" s="217"/>
      <c r="AI19" s="200"/>
      <c r="AK19" s="200"/>
      <c r="AM19" s="217"/>
      <c r="AO19" s="200"/>
      <c r="AP19" s="217"/>
      <c r="AQ19" s="217"/>
      <c r="AR19" s="217"/>
      <c r="AS19" s="217"/>
      <c r="AT19" s="217"/>
      <c r="AU19" s="217"/>
      <c r="AV19" s="217"/>
      <c r="AW19" s="217"/>
      <c r="AX19" s="217"/>
      <c r="AY19" s="217"/>
      <c r="AZ19" s="217"/>
      <c r="BA19" s="217"/>
      <c r="BB19" s="217"/>
      <c r="BC19" s="217"/>
      <c r="BD19" s="217"/>
      <c r="BE19" s="200"/>
    </row>
    <row r="20" spans="1:64" s="222" customFormat="1" ht="14.25" customHeight="1">
      <c r="A20" s="212" t="s">
        <v>270</v>
      </c>
      <c r="B20" s="223"/>
      <c r="C20" s="212"/>
      <c r="E20" s="222">
        <v>3921610</v>
      </c>
      <c r="F20" s="223">
        <v>0</v>
      </c>
      <c r="G20" s="222">
        <v>3921610</v>
      </c>
      <c r="H20" s="223">
        <v>0</v>
      </c>
      <c r="I20" s="222">
        <v>0</v>
      </c>
      <c r="K20" s="222">
        <v>0</v>
      </c>
      <c r="L20" s="222">
        <v>0</v>
      </c>
      <c r="M20" s="222">
        <v>0</v>
      </c>
      <c r="N20" s="222">
        <v>0</v>
      </c>
      <c r="O20" s="222">
        <v>0</v>
      </c>
      <c r="P20" s="222">
        <v>0</v>
      </c>
      <c r="Q20" s="222">
        <v>0</v>
      </c>
      <c r="R20" s="222">
        <v>0</v>
      </c>
      <c r="S20" s="222">
        <v>0</v>
      </c>
      <c r="T20" s="222">
        <v>0</v>
      </c>
      <c r="U20" s="222">
        <v>0</v>
      </c>
      <c r="V20" s="223">
        <v>0</v>
      </c>
      <c r="W20" s="222">
        <v>0</v>
      </c>
      <c r="X20" s="223">
        <v>0</v>
      </c>
      <c r="Y20" s="222">
        <v>0</v>
      </c>
      <c r="Z20" s="223">
        <v>0</v>
      </c>
      <c r="AA20" s="222">
        <v>0</v>
      </c>
      <c r="AB20" s="223">
        <v>0</v>
      </c>
      <c r="AC20" s="222">
        <v>0</v>
      </c>
      <c r="AD20" s="223">
        <v>0</v>
      </c>
      <c r="AE20" s="222">
        <v>0</v>
      </c>
      <c r="AF20" s="223"/>
      <c r="AG20" s="222">
        <v>0</v>
      </c>
      <c r="AH20" s="223">
        <v>0</v>
      </c>
      <c r="AI20" s="222">
        <v>0</v>
      </c>
      <c r="AJ20" s="223"/>
      <c r="AK20" s="222">
        <f>SUM(K20:AI20)</f>
        <v>0</v>
      </c>
      <c r="AL20" s="223"/>
      <c r="AM20" s="223"/>
      <c r="AN20" s="223"/>
      <c r="AO20" s="223">
        <v>0</v>
      </c>
      <c r="AP20" s="223"/>
      <c r="AQ20" s="223">
        <v>0</v>
      </c>
      <c r="AR20" s="223"/>
      <c r="AS20" s="223">
        <v>0</v>
      </c>
      <c r="AT20" s="223"/>
      <c r="AU20" s="223">
        <f>1190978.73+582581.06-17477.43</f>
        <v>1756082.36</v>
      </c>
      <c r="AV20" s="223"/>
      <c r="AW20" s="223">
        <v>0</v>
      </c>
      <c r="AX20" s="223"/>
      <c r="AY20" s="223">
        <v>419034</v>
      </c>
      <c r="AZ20" s="223"/>
      <c r="BA20" s="223">
        <v>2159779</v>
      </c>
      <c r="BB20" s="223"/>
      <c r="BC20" s="223">
        <v>0</v>
      </c>
      <c r="BD20" s="223"/>
      <c r="BE20" s="223">
        <f>SUM(AG20:BD20)</f>
        <v>4334895.3600000003</v>
      </c>
      <c r="BF20" s="223"/>
      <c r="BG20" s="221">
        <f>+MAX(0,G20-BE20+AM20)</f>
        <v>0</v>
      </c>
      <c r="BH20" s="223"/>
      <c r="BI20" s="221">
        <f>SUM(BE20:BG20)</f>
        <v>4334895.3600000003</v>
      </c>
      <c r="BJ20" s="223"/>
      <c r="BK20" s="222">
        <f>-BI20+E20</f>
        <v>-413285.36000000034</v>
      </c>
      <c r="BL20" s="223"/>
    </row>
    <row r="21" spans="1:64">
      <c r="C21" s="372"/>
      <c r="D21" s="372"/>
      <c r="K21" s="200"/>
      <c r="L21" s="206"/>
      <c r="M21" s="200"/>
      <c r="O21" s="200"/>
      <c r="Q21" s="200"/>
      <c r="S21" s="200"/>
      <c r="U21" s="200"/>
      <c r="V21" s="217"/>
      <c r="W21" s="200"/>
      <c r="X21" s="206"/>
      <c r="Y21" s="200"/>
      <c r="Z21" s="206"/>
      <c r="AA21" s="200"/>
      <c r="AB21" s="206"/>
      <c r="AC21" s="200"/>
      <c r="AD21" s="206"/>
      <c r="AE21" s="200"/>
      <c r="AF21" s="206"/>
      <c r="AG21" s="200"/>
      <c r="AH21" s="217"/>
      <c r="AI21" s="200"/>
      <c r="AK21" s="200"/>
      <c r="AL21" s="217"/>
      <c r="AM21" s="217"/>
      <c r="AN21" s="217"/>
      <c r="AO21" s="200"/>
      <c r="AP21" s="217"/>
      <c r="AQ21" s="217"/>
      <c r="AR21" s="217"/>
      <c r="AS21" s="217"/>
      <c r="AT21" s="217"/>
      <c r="AU21" s="217"/>
      <c r="AV21" s="217"/>
      <c r="AW21" s="217"/>
      <c r="AX21" s="217"/>
      <c r="AY21" s="217"/>
      <c r="AZ21" s="217"/>
      <c r="BA21" s="217"/>
      <c r="BB21" s="217"/>
      <c r="BC21" s="217"/>
      <c r="BD21" s="217"/>
      <c r="BE21" s="200"/>
      <c r="BF21" s="217"/>
      <c r="BG21" s="222"/>
      <c r="BH21" s="217"/>
      <c r="BI21" s="200"/>
      <c r="BJ21" s="217"/>
    </row>
    <row r="22" spans="1:64" s="221" customFormat="1">
      <c r="A22" s="212" t="s">
        <v>5</v>
      </c>
      <c r="B22" s="212"/>
      <c r="E22" s="221">
        <f>371000+59123</f>
        <v>430123</v>
      </c>
      <c r="F22" s="225"/>
      <c r="G22" s="221">
        <f>371000+59123</f>
        <v>430123</v>
      </c>
      <c r="H22" s="225"/>
      <c r="I22" s="221">
        <f>+G22-E22</f>
        <v>0</v>
      </c>
      <c r="J22" s="225"/>
      <c r="K22" s="221">
        <v>0</v>
      </c>
      <c r="L22" s="225"/>
      <c r="N22" s="225"/>
      <c r="P22" s="225"/>
      <c r="R22" s="225"/>
      <c r="T22" s="223"/>
      <c r="V22" s="225"/>
      <c r="X22" s="225"/>
      <c r="Z22" s="225"/>
      <c r="AB22" s="225"/>
      <c r="AD22" s="225"/>
      <c r="AF22" s="225"/>
      <c r="AH22" s="225"/>
      <c r="AJ22" s="225"/>
      <c r="AK22" s="221">
        <f>SUM(K22:AJ22)</f>
        <v>0</v>
      </c>
      <c r="AL22" s="225"/>
      <c r="AM22" s="225"/>
      <c r="AN22" s="225"/>
      <c r="AO22" s="222">
        <v>0</v>
      </c>
      <c r="AP22" s="223"/>
      <c r="AQ22" s="223">
        <v>160750</v>
      </c>
      <c r="AR22" s="223"/>
      <c r="AS22" s="223">
        <v>0</v>
      </c>
      <c r="AT22" s="223"/>
      <c r="AU22" s="223">
        <v>59123</v>
      </c>
      <c r="AV22" s="223"/>
      <c r="AW22" s="223">
        <v>0</v>
      </c>
      <c r="AX22" s="223"/>
      <c r="AY22" s="223">
        <v>0</v>
      </c>
      <c r="AZ22" s="225"/>
      <c r="BA22" s="223">
        <v>0</v>
      </c>
      <c r="BB22" s="225"/>
      <c r="BC22" s="223">
        <v>0</v>
      </c>
      <c r="BD22" s="225"/>
      <c r="BE22" s="223">
        <f>SUM(AG22:BD22)</f>
        <v>219873</v>
      </c>
      <c r="BF22" s="225"/>
      <c r="BG22" s="221">
        <f>+MAX(0,G22-BE22+AM22)</f>
        <v>210250</v>
      </c>
      <c r="BH22" s="225"/>
      <c r="BI22" s="221">
        <f>SUM(BE22:BG22)</f>
        <v>430123</v>
      </c>
      <c r="BJ22" s="225"/>
      <c r="BK22" s="348">
        <f>+E22-BI22</f>
        <v>0</v>
      </c>
      <c r="BL22" s="225"/>
    </row>
    <row r="23" spans="1:64">
      <c r="C23" s="372"/>
      <c r="D23" s="372"/>
      <c r="K23" s="200"/>
      <c r="L23" s="206"/>
      <c r="M23" s="200"/>
      <c r="O23" s="200"/>
      <c r="Q23" s="200"/>
      <c r="S23" s="200"/>
      <c r="U23" s="200"/>
      <c r="V23" s="217"/>
      <c r="W23" s="200"/>
      <c r="X23" s="206"/>
      <c r="Y23" s="200"/>
      <c r="Z23" s="206"/>
      <c r="AA23" s="200"/>
      <c r="AB23" s="206"/>
      <c r="AC23" s="200"/>
      <c r="AD23" s="206"/>
      <c r="AE23" s="200"/>
      <c r="AF23" s="206"/>
      <c r="AG23" s="200"/>
      <c r="AH23" s="217"/>
      <c r="AI23" s="200"/>
      <c r="AK23" s="200"/>
      <c r="AL23" s="217"/>
      <c r="AM23" s="225"/>
      <c r="AN23" s="217"/>
      <c r="AO23" s="200"/>
      <c r="AP23" s="217"/>
      <c r="AQ23" s="217"/>
      <c r="AR23" s="217"/>
      <c r="AS23" s="217"/>
      <c r="AT23" s="217"/>
      <c r="AU23" s="217"/>
      <c r="AV23" s="217"/>
      <c r="AW23" s="217"/>
      <c r="AX23" s="217"/>
      <c r="AY23" s="217"/>
      <c r="AZ23" s="217"/>
      <c r="BA23" s="217"/>
      <c r="BB23" s="217"/>
      <c r="BC23" s="217"/>
      <c r="BD23" s="217"/>
      <c r="BE23" s="200"/>
      <c r="BF23" s="217"/>
      <c r="BG23" s="221"/>
      <c r="BH23" s="217"/>
      <c r="BI23" s="200"/>
      <c r="BJ23" s="217"/>
    </row>
    <row r="24" spans="1:64" s="221" customFormat="1">
      <c r="A24" s="212" t="s">
        <v>710</v>
      </c>
      <c r="B24" s="225"/>
      <c r="E24" s="221">
        <v>1725000</v>
      </c>
      <c r="F24" s="225"/>
      <c r="G24" s="221">
        <v>1725000</v>
      </c>
      <c r="H24" s="225"/>
      <c r="I24" s="221">
        <f>+G24-E24</f>
        <v>0</v>
      </c>
      <c r="J24" s="225"/>
      <c r="K24" s="222"/>
      <c r="L24" s="225"/>
      <c r="M24" s="222"/>
      <c r="N24" s="225"/>
      <c r="O24" s="222"/>
      <c r="P24" s="225"/>
      <c r="Q24" s="222"/>
      <c r="R24" s="225"/>
      <c r="S24" s="222"/>
      <c r="T24" s="223"/>
      <c r="U24" s="222"/>
      <c r="V24" s="223"/>
      <c r="W24" s="222"/>
      <c r="X24" s="225"/>
      <c r="Y24" s="222"/>
      <c r="Z24" s="225"/>
      <c r="AA24" s="222"/>
      <c r="AB24" s="225"/>
      <c r="AC24" s="222"/>
      <c r="AD24" s="225"/>
      <c r="AE24" s="222"/>
      <c r="AF24" s="225"/>
      <c r="AG24" s="222"/>
      <c r="AH24" s="223"/>
      <c r="AI24" s="222"/>
      <c r="AJ24" s="225"/>
      <c r="AK24" s="222"/>
      <c r="AL24" s="223"/>
      <c r="AM24" s="225"/>
      <c r="AN24" s="223"/>
      <c r="AO24" s="222"/>
      <c r="AP24" s="223"/>
      <c r="AQ24" s="223"/>
      <c r="AR24" s="223"/>
      <c r="AS24" s="223"/>
      <c r="AT24" s="223"/>
      <c r="AU24" s="223"/>
      <c r="AV24" s="223"/>
      <c r="AW24" s="223"/>
      <c r="AX24" s="223"/>
      <c r="AY24" s="223"/>
      <c r="AZ24" s="223"/>
      <c r="BA24" s="223"/>
      <c r="BB24" s="223"/>
      <c r="BC24" s="223"/>
      <c r="BD24" s="223"/>
      <c r="BE24" s="223">
        <f>SUM(AG24:BD24)</f>
        <v>0</v>
      </c>
      <c r="BF24" s="223"/>
      <c r="BG24" s="221">
        <f>+MAX(0,G24-BE24+AM24)</f>
        <v>1725000</v>
      </c>
      <c r="BH24" s="223"/>
      <c r="BI24" s="221">
        <f>SUM(BE24:BG24)</f>
        <v>1725000</v>
      </c>
      <c r="BJ24" s="223"/>
      <c r="BK24" s="348">
        <f>+E24-BI24</f>
        <v>0</v>
      </c>
      <c r="BL24" s="225"/>
    </row>
    <row r="25" spans="1:64">
      <c r="C25" s="372"/>
      <c r="D25" s="372"/>
      <c r="K25" s="200"/>
      <c r="L25" s="206"/>
      <c r="M25" s="200"/>
      <c r="O25" s="200"/>
      <c r="Q25" s="200"/>
      <c r="S25" s="200"/>
      <c r="U25" s="200"/>
      <c r="V25" s="217"/>
      <c r="W25" s="200"/>
      <c r="X25" s="206"/>
      <c r="Y25" s="200"/>
      <c r="Z25" s="206"/>
      <c r="AA25" s="200"/>
      <c r="AB25" s="206"/>
      <c r="AC25" s="200"/>
      <c r="AD25" s="206"/>
      <c r="AE25" s="200"/>
      <c r="AF25" s="206"/>
      <c r="AG25" s="200"/>
      <c r="AH25" s="217"/>
      <c r="AI25" s="200"/>
      <c r="AK25" s="200"/>
      <c r="AL25" s="217"/>
      <c r="AM25" s="225"/>
      <c r="AN25" s="217"/>
      <c r="AO25" s="200"/>
      <c r="AP25" s="217"/>
      <c r="AQ25" s="217"/>
      <c r="AR25" s="217"/>
      <c r="AS25" s="217"/>
      <c r="AT25" s="217"/>
      <c r="AU25" s="217"/>
      <c r="AV25" s="217"/>
      <c r="AW25" s="217"/>
      <c r="AX25" s="217"/>
      <c r="AY25" s="217"/>
      <c r="AZ25" s="217"/>
      <c r="BA25" s="217"/>
      <c r="BB25" s="217"/>
      <c r="BC25" s="217"/>
      <c r="BD25" s="217"/>
      <c r="BE25" s="200"/>
      <c r="BF25" s="217"/>
      <c r="BG25" s="221"/>
      <c r="BH25" s="217"/>
      <c r="BI25" s="200"/>
      <c r="BJ25" s="217"/>
    </row>
    <row r="26" spans="1:64">
      <c r="A26" s="225" t="s">
        <v>1419</v>
      </c>
      <c r="C26" s="372"/>
      <c r="D26" s="372"/>
      <c r="E26" s="221">
        <v>200000</v>
      </c>
      <c r="G26" s="221">
        <v>200000</v>
      </c>
      <c r="I26" s="221">
        <f>+G26-E26</f>
        <v>0</v>
      </c>
      <c r="K26" s="200">
        <v>0</v>
      </c>
      <c r="L26" s="206"/>
      <c r="M26" s="200"/>
      <c r="O26" s="200"/>
      <c r="Q26" s="200"/>
      <c r="S26" s="200"/>
      <c r="U26" s="200"/>
      <c r="V26" s="217"/>
      <c r="W26" s="200"/>
      <c r="X26" s="206"/>
      <c r="Y26" s="200"/>
      <c r="Z26" s="206"/>
      <c r="AA26" s="200"/>
      <c r="AB26" s="206"/>
      <c r="AC26" s="200"/>
      <c r="AD26" s="206"/>
      <c r="AE26" s="200"/>
      <c r="AF26" s="206"/>
      <c r="AG26" s="200"/>
      <c r="AH26" s="217"/>
      <c r="AI26" s="200"/>
      <c r="AK26" s="221">
        <f>SUM(K26:AJ26)</f>
        <v>0</v>
      </c>
      <c r="AL26" s="217"/>
      <c r="AM26" s="225"/>
      <c r="AN26" s="217"/>
      <c r="AO26" s="200">
        <v>0</v>
      </c>
      <c r="AP26" s="217"/>
      <c r="AQ26" s="217">
        <v>0</v>
      </c>
      <c r="AR26" s="217"/>
      <c r="AS26" s="217">
        <v>0</v>
      </c>
      <c r="AT26" s="217"/>
      <c r="AU26" s="223">
        <v>0</v>
      </c>
      <c r="AV26" s="223"/>
      <c r="AW26" s="223">
        <v>0</v>
      </c>
      <c r="AX26" s="223"/>
      <c r="AY26" s="223">
        <v>0</v>
      </c>
      <c r="AZ26" s="217"/>
      <c r="BA26" s="223">
        <v>0</v>
      </c>
      <c r="BB26" s="217"/>
      <c r="BC26" s="223">
        <v>0</v>
      </c>
      <c r="BD26" s="217"/>
      <c r="BE26" s="223">
        <f>SUM(AG26:BD26)</f>
        <v>0</v>
      </c>
      <c r="BF26" s="217"/>
      <c r="BG26" s="221">
        <f>+MAX(G26-BE26+AM26)</f>
        <v>200000</v>
      </c>
      <c r="BH26" s="217"/>
      <c r="BI26" s="221">
        <f>SUM(BE26:BG26)</f>
        <v>200000</v>
      </c>
      <c r="BJ26" s="217"/>
      <c r="BK26" s="348">
        <v>0</v>
      </c>
    </row>
    <row r="27" spans="1:64">
      <c r="C27" s="372"/>
      <c r="D27" s="372"/>
      <c r="K27" s="200"/>
      <c r="L27" s="206"/>
      <c r="M27" s="200"/>
      <c r="O27" s="200"/>
      <c r="Q27" s="200"/>
      <c r="S27" s="200"/>
      <c r="U27" s="200"/>
      <c r="V27" s="217"/>
      <c r="W27" s="200"/>
      <c r="X27" s="206"/>
      <c r="Y27" s="200"/>
      <c r="Z27" s="206"/>
      <c r="AA27" s="200"/>
      <c r="AB27" s="206"/>
      <c r="AC27" s="200"/>
      <c r="AD27" s="206"/>
      <c r="AE27" s="200"/>
      <c r="AF27" s="206"/>
      <c r="AG27" s="200"/>
      <c r="AH27" s="217"/>
      <c r="AI27" s="200"/>
      <c r="AK27" s="200"/>
      <c r="AL27" s="217"/>
      <c r="AM27" s="225"/>
      <c r="AN27" s="217"/>
      <c r="AO27" s="200"/>
      <c r="AP27" s="217"/>
      <c r="AQ27" s="217"/>
      <c r="AR27" s="217"/>
      <c r="AS27" s="217"/>
      <c r="AT27" s="217"/>
      <c r="AU27" s="217"/>
      <c r="AV27" s="217"/>
      <c r="AW27" s="217"/>
      <c r="AX27" s="217"/>
      <c r="AY27" s="217"/>
      <c r="AZ27" s="217"/>
      <c r="BA27" s="217"/>
      <c r="BB27" s="217"/>
      <c r="BC27" s="217"/>
      <c r="BD27" s="217"/>
      <c r="BE27" s="200"/>
      <c r="BF27" s="217"/>
      <c r="BG27" s="221"/>
      <c r="BH27" s="217"/>
      <c r="BI27" s="200"/>
      <c r="BJ27" s="217"/>
    </row>
    <row r="28" spans="1:64" s="222" customFormat="1">
      <c r="A28" s="223" t="s">
        <v>1654</v>
      </c>
      <c r="B28" s="223"/>
      <c r="E28" s="222">
        <v>2000000</v>
      </c>
      <c r="F28" s="223">
        <v>0</v>
      </c>
      <c r="G28" s="222">
        <v>2000000</v>
      </c>
      <c r="H28" s="223">
        <v>0</v>
      </c>
      <c r="I28" s="222">
        <v>0</v>
      </c>
      <c r="K28" s="222">
        <v>0</v>
      </c>
      <c r="L28" s="222">
        <v>0</v>
      </c>
      <c r="M28" s="222">
        <v>0</v>
      </c>
      <c r="N28" s="222">
        <v>0</v>
      </c>
      <c r="O28" s="222">
        <v>0</v>
      </c>
      <c r="P28" s="222">
        <v>0</v>
      </c>
      <c r="Q28" s="222">
        <v>0</v>
      </c>
      <c r="R28" s="222">
        <v>0</v>
      </c>
      <c r="S28" s="222">
        <v>0</v>
      </c>
      <c r="T28" s="222">
        <v>0</v>
      </c>
      <c r="U28" s="222">
        <v>0</v>
      </c>
      <c r="V28" s="223">
        <v>0</v>
      </c>
      <c r="W28" s="222">
        <v>0</v>
      </c>
      <c r="X28" s="223">
        <v>0</v>
      </c>
      <c r="Y28" s="222">
        <v>0</v>
      </c>
      <c r="Z28" s="223">
        <v>0</v>
      </c>
      <c r="AA28" s="222">
        <v>0</v>
      </c>
      <c r="AB28" s="223">
        <v>0</v>
      </c>
      <c r="AC28" s="222">
        <v>0</v>
      </c>
      <c r="AD28" s="223">
        <v>0</v>
      </c>
      <c r="AE28" s="222">
        <v>0</v>
      </c>
      <c r="AF28" s="223"/>
      <c r="AG28" s="222">
        <v>0</v>
      </c>
      <c r="AH28" s="223">
        <v>0</v>
      </c>
      <c r="AI28" s="222">
        <v>0</v>
      </c>
      <c r="AJ28" s="223"/>
      <c r="AK28" s="222">
        <f>SUM(K28:AI28)</f>
        <v>0</v>
      </c>
      <c r="AL28" s="223"/>
      <c r="AM28" s="223">
        <v>0</v>
      </c>
      <c r="AN28" s="223"/>
      <c r="AO28" s="222">
        <v>0</v>
      </c>
      <c r="AP28" s="223"/>
      <c r="AQ28" s="223">
        <v>0</v>
      </c>
      <c r="AR28" s="223"/>
      <c r="AS28" s="223">
        <v>0</v>
      </c>
      <c r="AT28" s="223"/>
      <c r="AU28" s="223">
        <v>0</v>
      </c>
      <c r="AV28" s="223"/>
      <c r="AW28" s="223">
        <v>0</v>
      </c>
      <c r="AX28" s="223"/>
      <c r="AY28" s="223">
        <v>0</v>
      </c>
      <c r="AZ28" s="223"/>
      <c r="BA28" s="223">
        <v>0</v>
      </c>
      <c r="BB28" s="223"/>
      <c r="BC28" s="223">
        <v>0</v>
      </c>
      <c r="BD28" s="223"/>
      <c r="BE28" s="223">
        <f>SUM(AG28:BD28)</f>
        <v>0</v>
      </c>
      <c r="BF28" s="223"/>
      <c r="BG28" s="221">
        <f>+MAX(0,G28-BE28+AM28)</f>
        <v>2000000</v>
      </c>
      <c r="BH28" s="223"/>
      <c r="BI28" s="221">
        <f>SUM(BE28:BG28)</f>
        <v>2000000</v>
      </c>
      <c r="BJ28" s="223"/>
      <c r="BK28" s="222">
        <f>-BI28+E28</f>
        <v>0</v>
      </c>
      <c r="BL28" s="223"/>
    </row>
    <row r="29" spans="1:64" s="222" customFormat="1">
      <c r="A29" s="223"/>
      <c r="B29" s="223"/>
      <c r="F29" s="223"/>
      <c r="H29" s="223"/>
      <c r="V29" s="223"/>
      <c r="X29" s="223"/>
      <c r="Z29" s="223"/>
      <c r="AB29" s="223"/>
      <c r="AD29" s="223"/>
      <c r="AF29" s="223"/>
      <c r="AH29" s="223"/>
      <c r="AJ29" s="223"/>
      <c r="AL29" s="223"/>
      <c r="AM29" s="223"/>
      <c r="AN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00"/>
      <c r="BF29" s="223"/>
      <c r="BG29" s="221"/>
      <c r="BH29" s="223"/>
      <c r="BI29" s="221"/>
      <c r="BJ29" s="223"/>
      <c r="BL29" s="223"/>
    </row>
    <row r="30" spans="1:64" s="221" customFormat="1">
      <c r="A30" s="340" t="s">
        <v>1417</v>
      </c>
      <c r="B30" s="225"/>
      <c r="E30" s="221">
        <v>-5800000</v>
      </c>
      <c r="F30" s="225"/>
      <c r="G30" s="221">
        <v>-5800000</v>
      </c>
      <c r="H30" s="225"/>
      <c r="I30" s="221">
        <f>G30-E30</f>
        <v>0</v>
      </c>
      <c r="J30" s="225"/>
      <c r="K30" s="221">
        <v>0</v>
      </c>
      <c r="L30" s="225"/>
      <c r="M30" s="221">
        <v>0</v>
      </c>
      <c r="N30" s="225"/>
      <c r="O30" s="221">
        <v>0</v>
      </c>
      <c r="P30" s="225"/>
      <c r="Q30" s="221">
        <v>0</v>
      </c>
      <c r="R30" s="225"/>
      <c r="S30" s="221">
        <v>0</v>
      </c>
      <c r="T30" s="223"/>
      <c r="U30" s="221">
        <v>0</v>
      </c>
      <c r="V30" s="225"/>
      <c r="W30" s="221">
        <v>0</v>
      </c>
      <c r="X30" s="225"/>
      <c r="Y30" s="221">
        <v>0</v>
      </c>
      <c r="Z30" s="225"/>
      <c r="AA30" s="221">
        <v>0</v>
      </c>
      <c r="AB30" s="225"/>
      <c r="AC30" s="221">
        <v>0</v>
      </c>
      <c r="AD30" s="225"/>
      <c r="AE30" s="221">
        <v>0</v>
      </c>
      <c r="AF30" s="225"/>
      <c r="AG30" s="221">
        <v>0</v>
      </c>
      <c r="AH30" s="225"/>
      <c r="AI30" s="221">
        <v>0</v>
      </c>
      <c r="AJ30" s="225"/>
      <c r="AK30" s="221">
        <f>SUM(K30:AJ30)</f>
        <v>0</v>
      </c>
      <c r="AL30" s="225"/>
      <c r="AM30" s="225">
        <v>0</v>
      </c>
      <c r="AN30" s="225"/>
      <c r="AO30" s="225">
        <v>-5479320</v>
      </c>
      <c r="AP30" s="225"/>
      <c r="AQ30" s="225">
        <v>0</v>
      </c>
      <c r="AR30" s="225"/>
      <c r="AS30" s="225">
        <v>0</v>
      </c>
      <c r="AT30" s="225"/>
      <c r="AU30" s="225"/>
      <c r="AV30" s="225"/>
      <c r="AW30" s="225"/>
      <c r="AX30" s="225"/>
      <c r="AY30" s="225"/>
      <c r="AZ30" s="225"/>
      <c r="BA30" s="225"/>
      <c r="BB30" s="225"/>
      <c r="BC30" s="225"/>
      <c r="BD30" s="225"/>
      <c r="BE30" s="223">
        <f>SUM(AG30:BD30)</f>
        <v>-5479320</v>
      </c>
      <c r="BF30" s="225"/>
      <c r="BG30" s="221">
        <f>G30-BE30</f>
        <v>-320680</v>
      </c>
      <c r="BH30" s="225"/>
      <c r="BI30" s="221">
        <f>SUM(BE30:BG30)</f>
        <v>-5800000</v>
      </c>
      <c r="BJ30" s="225"/>
      <c r="BK30" s="222">
        <f>-BI30+E30</f>
        <v>0</v>
      </c>
      <c r="BL30" s="225"/>
    </row>
    <row r="31" spans="1:64">
      <c r="A31" s="212"/>
      <c r="B31" s="212"/>
      <c r="C31" s="372"/>
      <c r="D31" s="372"/>
      <c r="E31" s="200"/>
      <c r="F31" s="217"/>
      <c r="G31" s="200"/>
      <c r="H31" s="217"/>
      <c r="I31" s="200"/>
      <c r="J31" s="217"/>
      <c r="K31" s="200"/>
      <c r="L31" s="217"/>
      <c r="M31" s="200"/>
      <c r="N31" s="217"/>
      <c r="O31" s="200"/>
      <c r="P31" s="217"/>
      <c r="Q31" s="200"/>
      <c r="R31" s="217"/>
      <c r="S31" s="200"/>
      <c r="U31" s="200"/>
      <c r="V31" s="217"/>
      <c r="W31" s="200"/>
      <c r="X31" s="217"/>
      <c r="Y31" s="200"/>
      <c r="Z31" s="217"/>
      <c r="AA31" s="200"/>
      <c r="AB31" s="217"/>
      <c r="AC31" s="200"/>
      <c r="AD31" s="217"/>
      <c r="AE31" s="200"/>
      <c r="AF31" s="217"/>
      <c r="AG31" s="200"/>
      <c r="AH31" s="217"/>
      <c r="AI31" s="200"/>
      <c r="AK31" s="200"/>
      <c r="AM31" s="217"/>
      <c r="AO31" s="217"/>
      <c r="AP31" s="217"/>
      <c r="AQ31" s="217"/>
      <c r="AR31" s="217"/>
      <c r="AS31" s="217"/>
      <c r="AT31" s="217"/>
      <c r="AU31" s="217"/>
      <c r="AV31" s="217"/>
      <c r="AW31" s="217"/>
      <c r="AX31" s="217"/>
      <c r="AY31" s="217"/>
      <c r="AZ31" s="217"/>
      <c r="BA31" s="217"/>
      <c r="BB31" s="217"/>
      <c r="BC31" s="217"/>
      <c r="BD31" s="217"/>
      <c r="BE31" s="200"/>
      <c r="BG31" s="200"/>
      <c r="BH31" s="217"/>
      <c r="BI31" s="200"/>
      <c r="BJ31" s="217"/>
      <c r="BK31" s="348"/>
      <c r="BL31" s="217"/>
    </row>
    <row r="32" spans="1:64" s="221" customFormat="1">
      <c r="A32" s="340" t="s">
        <v>1418</v>
      </c>
      <c r="B32" s="225"/>
      <c r="E32" s="221">
        <v>5800000</v>
      </c>
      <c r="F32" s="225"/>
      <c r="G32" s="221">
        <v>5800000</v>
      </c>
      <c r="H32" s="225"/>
      <c r="I32" s="221">
        <f>G32-E32</f>
        <v>0</v>
      </c>
      <c r="J32" s="225"/>
      <c r="K32" s="221">
        <v>0</v>
      </c>
      <c r="L32" s="225"/>
      <c r="M32" s="221">
        <v>0</v>
      </c>
      <c r="N32" s="225"/>
      <c r="O32" s="221">
        <v>0</v>
      </c>
      <c r="P32" s="225"/>
      <c r="Q32" s="221">
        <v>0</v>
      </c>
      <c r="R32" s="225"/>
      <c r="S32" s="221">
        <v>0</v>
      </c>
      <c r="T32" s="223"/>
      <c r="U32" s="221">
        <v>0</v>
      </c>
      <c r="V32" s="225"/>
      <c r="W32" s="221">
        <v>0</v>
      </c>
      <c r="X32" s="225"/>
      <c r="Y32" s="221">
        <v>0</v>
      </c>
      <c r="Z32" s="225"/>
      <c r="AA32" s="221">
        <v>0</v>
      </c>
      <c r="AB32" s="225"/>
      <c r="AC32" s="221">
        <v>0</v>
      </c>
      <c r="AD32" s="225"/>
      <c r="AE32" s="221">
        <v>0</v>
      </c>
      <c r="AF32" s="225"/>
      <c r="AG32" s="221">
        <v>0</v>
      </c>
      <c r="AH32" s="225"/>
      <c r="AI32" s="221">
        <v>0</v>
      </c>
      <c r="AJ32" s="225"/>
      <c r="AK32" s="221">
        <v>0</v>
      </c>
      <c r="AL32" s="225"/>
      <c r="AM32" s="225">
        <v>0</v>
      </c>
      <c r="AN32" s="225"/>
      <c r="AO32" s="225">
        <v>5479320</v>
      </c>
      <c r="AP32" s="225"/>
      <c r="AQ32" s="225">
        <v>0</v>
      </c>
      <c r="AR32" s="225"/>
      <c r="AS32" s="225">
        <v>0</v>
      </c>
      <c r="AT32" s="225"/>
      <c r="AU32" s="225"/>
      <c r="AV32" s="225"/>
      <c r="AW32" s="225"/>
      <c r="AX32" s="225"/>
      <c r="AY32" s="225"/>
      <c r="AZ32" s="225"/>
      <c r="BA32" s="225"/>
      <c r="BB32" s="225"/>
      <c r="BC32" s="225"/>
      <c r="BD32" s="225"/>
      <c r="BE32" s="223">
        <f>SUM(AG32:BD32)</f>
        <v>5479320</v>
      </c>
      <c r="BF32" s="225"/>
      <c r="BG32" s="221">
        <f>G32-BE32</f>
        <v>320680</v>
      </c>
      <c r="BH32" s="225"/>
      <c r="BI32" s="221">
        <f>SUM(BE32:BG32)</f>
        <v>5800000</v>
      </c>
      <c r="BJ32" s="225"/>
      <c r="BK32" s="222">
        <f>-BI32+E32</f>
        <v>0</v>
      </c>
      <c r="BL32" s="225"/>
    </row>
    <row r="33" spans="1:64" s="221" customFormat="1">
      <c r="A33" s="212"/>
      <c r="B33" s="225"/>
      <c r="F33" s="225"/>
      <c r="H33" s="225"/>
      <c r="J33" s="225"/>
      <c r="L33" s="225"/>
      <c r="N33" s="225"/>
      <c r="P33" s="225"/>
      <c r="R33" s="225"/>
      <c r="T33" s="223"/>
      <c r="V33" s="225"/>
      <c r="X33" s="225"/>
      <c r="Z33" s="225"/>
      <c r="AB33" s="225"/>
      <c r="AD33" s="225"/>
      <c r="AF33" s="225"/>
      <c r="AH33" s="225"/>
      <c r="AJ33" s="225"/>
      <c r="AL33" s="225"/>
      <c r="AM33" s="225"/>
      <c r="AN33" s="225"/>
      <c r="AP33" s="225"/>
      <c r="AQ33" s="225"/>
      <c r="AR33" s="225"/>
      <c r="AS33" s="225"/>
      <c r="AT33" s="225"/>
      <c r="AU33" s="225"/>
      <c r="AV33" s="225"/>
      <c r="AW33" s="225"/>
      <c r="AX33" s="225"/>
      <c r="AY33" s="225"/>
      <c r="AZ33" s="225"/>
      <c r="BA33" s="225"/>
      <c r="BB33" s="225"/>
      <c r="BC33" s="225"/>
      <c r="BD33" s="225"/>
      <c r="BE33" s="200"/>
      <c r="BF33" s="225"/>
      <c r="BG33" s="200"/>
      <c r="BH33" s="225"/>
      <c r="BI33" s="200"/>
      <c r="BJ33" s="225"/>
      <c r="BK33" s="348"/>
      <c r="BL33" s="225"/>
    </row>
    <row r="34" spans="1:64" ht="13.8" thickBot="1">
      <c r="A34" s="518" t="s">
        <v>439</v>
      </c>
      <c r="B34" s="518"/>
      <c r="C34" s="238"/>
      <c r="D34" s="236"/>
      <c r="E34" s="238">
        <f>E28+E20+E16+E22+E26+E30+E32+E10+E24+E18</f>
        <v>120660720.94999999</v>
      </c>
      <c r="F34" s="238">
        <f>F28+F20+F16+F22+F26+F30+F32+F10</f>
        <v>0</v>
      </c>
      <c r="G34" s="238">
        <f>G28+G20+G16+G22+G26+G30+G32+G10+G24+G18</f>
        <v>120660720.94999999</v>
      </c>
      <c r="H34" s="238">
        <f>H28+H20+H16+H22+H26+H30+H32+H10</f>
        <v>0</v>
      </c>
      <c r="I34" s="238">
        <f>I28+I20+I16+I22+I26+I30+I32+I10+I24+I18</f>
        <v>0</v>
      </c>
      <c r="J34" s="238"/>
      <c r="K34" s="238">
        <f t="shared" ref="K34:AS34" si="2">K28+K20+K16+K22+K26+K30+K32+K10</f>
        <v>0</v>
      </c>
      <c r="L34" s="238">
        <f t="shared" si="2"/>
        <v>0</v>
      </c>
      <c r="M34" s="238">
        <f t="shared" si="2"/>
        <v>0</v>
      </c>
      <c r="N34" s="238">
        <f t="shared" si="2"/>
        <v>0</v>
      </c>
      <c r="O34" s="238">
        <f t="shared" si="2"/>
        <v>0</v>
      </c>
      <c r="P34" s="238">
        <f t="shared" si="2"/>
        <v>0</v>
      </c>
      <c r="Q34" s="238">
        <f t="shared" si="2"/>
        <v>0</v>
      </c>
      <c r="R34" s="238">
        <f t="shared" si="2"/>
        <v>0</v>
      </c>
      <c r="S34" s="238">
        <f t="shared" si="2"/>
        <v>1425</v>
      </c>
      <c r="T34" s="238">
        <f t="shared" si="2"/>
        <v>0</v>
      </c>
      <c r="U34" s="238">
        <f t="shared" si="2"/>
        <v>0</v>
      </c>
      <c r="V34" s="238">
        <f t="shared" si="2"/>
        <v>0</v>
      </c>
      <c r="W34" s="238">
        <f t="shared" si="2"/>
        <v>0</v>
      </c>
      <c r="X34" s="238">
        <f t="shared" si="2"/>
        <v>0</v>
      </c>
      <c r="Y34" s="238">
        <f t="shared" si="2"/>
        <v>0</v>
      </c>
      <c r="Z34" s="238">
        <f t="shared" si="2"/>
        <v>0</v>
      </c>
      <c r="AA34" s="238">
        <f t="shared" si="2"/>
        <v>0</v>
      </c>
      <c r="AB34" s="238">
        <f t="shared" si="2"/>
        <v>0</v>
      </c>
      <c r="AC34" s="238">
        <f t="shared" si="2"/>
        <v>0</v>
      </c>
      <c r="AD34" s="238">
        <f t="shared" si="2"/>
        <v>0</v>
      </c>
      <c r="AE34" s="238">
        <f t="shared" si="2"/>
        <v>0</v>
      </c>
      <c r="AF34" s="238">
        <f t="shared" si="2"/>
        <v>0</v>
      </c>
      <c r="AG34" s="238">
        <f t="shared" si="2"/>
        <v>0</v>
      </c>
      <c r="AH34" s="238">
        <f t="shared" si="2"/>
        <v>0</v>
      </c>
      <c r="AI34" s="238">
        <f t="shared" si="2"/>
        <v>0</v>
      </c>
      <c r="AJ34" s="238">
        <f t="shared" si="2"/>
        <v>0</v>
      </c>
      <c r="AK34" s="238">
        <f t="shared" si="2"/>
        <v>0</v>
      </c>
      <c r="AL34" s="238">
        <f t="shared" si="2"/>
        <v>0</v>
      </c>
      <c r="AM34" s="238">
        <f t="shared" si="2"/>
        <v>0</v>
      </c>
      <c r="AN34" s="238">
        <f t="shared" si="2"/>
        <v>0</v>
      </c>
      <c r="AO34" s="238">
        <f t="shared" si="2"/>
        <v>23500000</v>
      </c>
      <c r="AP34" s="238">
        <f t="shared" si="2"/>
        <v>0</v>
      </c>
      <c r="AQ34" s="238">
        <f t="shared" si="2"/>
        <v>68005974.039999992</v>
      </c>
      <c r="AR34" s="238">
        <f t="shared" si="2"/>
        <v>0</v>
      </c>
      <c r="AS34" s="238">
        <f t="shared" si="2"/>
        <v>10539776</v>
      </c>
      <c r="AT34" s="238"/>
      <c r="AU34" s="238">
        <f>AU28+AU20+AU16+AU22+AU26+AU30+AU32+AU10</f>
        <v>7959795.4100000001</v>
      </c>
      <c r="AV34" s="238"/>
      <c r="AW34" s="238">
        <f>AW28+AW20+AW16+AW22+AW26+AW30+AW32+AW10</f>
        <v>307609.96999999997</v>
      </c>
      <c r="AX34" s="238"/>
      <c r="AY34" s="238">
        <f>AY28+AY20+AY16+AY22+AY26+AY30+AY32+AY10</f>
        <v>3015287</v>
      </c>
      <c r="AZ34" s="238">
        <f>AZ28+AZ20+AZ16+AZ22+AZ26+AZ30+AZ32+AZ10</f>
        <v>0</v>
      </c>
      <c r="BA34" s="238">
        <f>BA28+BA20+BA16+BA22+BA26+BA30+BA32+BA10</f>
        <v>3594861</v>
      </c>
      <c r="BB34" s="238"/>
      <c r="BC34" s="238">
        <f>BC28+BC20+BC16+BC22+BC26+BC30+BC32+BC10</f>
        <v>1143360</v>
      </c>
      <c r="BD34" s="238"/>
      <c r="BE34" s="238">
        <f>BE28+BE20+BE16+BE22+BE26+BE30+BE32+BE10+BE24+BE18</f>
        <v>116931851.41999999</v>
      </c>
      <c r="BF34" s="238">
        <f>BF28+BF20+BF16+BF22+BF26+BF30+BF32+BF10</f>
        <v>0</v>
      </c>
      <c r="BG34" s="238">
        <f>BG28+BG20+BG16+BG22+BG26+BG30+BG32+BG10+BG24+BG18</f>
        <v>4087685.9099999964</v>
      </c>
      <c r="BH34" s="238">
        <f>BH28+BH20+BH16+BH22+BH26+BH30+BH32+BH10</f>
        <v>0</v>
      </c>
      <c r="BI34" s="238">
        <f>BI28+BI20+BI16+BI22+BI26+BI30+BI32+BI10+BI24+BI18</f>
        <v>121080254.32999998</v>
      </c>
      <c r="BJ34" s="238">
        <f>BJ28+BJ20+BJ16+BJ22+BJ26+BJ30+BJ32+BJ10</f>
        <v>0</v>
      </c>
      <c r="BK34" s="238">
        <f>BK28+BK20+BK16+BK22+BK26+BK30+BK32+BK10+BK24+BK18</f>
        <v>-419533.38000000035</v>
      </c>
      <c r="BL34" s="238">
        <f>BL28+BL20+BL16+BL22+BL26+BL30+BL32+BL10</f>
        <v>0</v>
      </c>
    </row>
    <row r="35" spans="1:64" ht="13.8" thickTop="1">
      <c r="K35" s="200"/>
      <c r="L35" s="206"/>
      <c r="M35" s="200"/>
      <c r="O35" s="200"/>
      <c r="Q35" s="200"/>
      <c r="S35" s="200"/>
      <c r="U35" s="200"/>
      <c r="V35" s="217"/>
      <c r="W35" s="200"/>
      <c r="X35" s="217"/>
      <c r="Y35" s="200"/>
      <c r="Z35" s="217"/>
      <c r="AA35" s="200"/>
      <c r="AB35" s="217"/>
      <c r="AC35" s="200"/>
      <c r="AD35" s="217"/>
      <c r="AE35" s="200"/>
      <c r="AF35" s="217"/>
      <c r="AG35" s="200"/>
      <c r="AH35" s="217"/>
      <c r="AI35" s="200"/>
      <c r="AK35" s="200"/>
      <c r="AM35" s="217"/>
      <c r="AO35" s="200"/>
      <c r="AP35" s="217"/>
      <c r="AQ35" s="217"/>
      <c r="AR35" s="217"/>
      <c r="AS35" s="217"/>
      <c r="AT35" s="217"/>
      <c r="AU35" s="217"/>
      <c r="AV35" s="217"/>
      <c r="AW35" s="217"/>
      <c r="AX35" s="217"/>
      <c r="AY35" s="217"/>
      <c r="BA35" s="217"/>
      <c r="BC35" s="217"/>
      <c r="BE35" s="200"/>
    </row>
    <row r="36" spans="1:64" s="221" customFormat="1">
      <c r="A36" s="212"/>
      <c r="B36" s="225"/>
      <c r="F36" s="225"/>
      <c r="H36" s="225"/>
      <c r="J36" s="225"/>
      <c r="L36" s="225"/>
      <c r="N36" s="225"/>
      <c r="P36" s="225"/>
      <c r="R36" s="225"/>
      <c r="T36" s="223"/>
      <c r="V36" s="225"/>
      <c r="X36" s="225"/>
      <c r="Z36" s="225"/>
      <c r="AB36" s="225"/>
      <c r="AD36" s="225"/>
      <c r="AF36" s="225"/>
      <c r="AH36" s="225"/>
      <c r="AJ36" s="225"/>
      <c r="AL36" s="225"/>
      <c r="AM36" s="225"/>
      <c r="AN36" s="225"/>
      <c r="AP36" s="225"/>
      <c r="AQ36" s="225"/>
      <c r="AR36" s="225"/>
      <c r="AS36" s="225"/>
      <c r="AT36" s="225"/>
      <c r="AU36" s="225"/>
      <c r="AV36" s="225"/>
      <c r="AW36" s="225"/>
      <c r="AX36" s="225"/>
      <c r="AY36" s="225"/>
      <c r="AZ36" s="225"/>
      <c r="BA36" s="225"/>
      <c r="BB36" s="225"/>
      <c r="BC36" s="225"/>
      <c r="BD36" s="225"/>
      <c r="BE36" s="222"/>
      <c r="BF36" s="225"/>
      <c r="BH36" s="225"/>
      <c r="BJ36" s="225"/>
      <c r="BK36" s="222"/>
      <c r="BL36" s="225"/>
    </row>
    <row r="37" spans="1:64" s="221" customFormat="1">
      <c r="A37" s="212"/>
      <c r="B37" s="206"/>
      <c r="F37" s="225"/>
      <c r="H37" s="225"/>
      <c r="J37" s="225"/>
      <c r="L37" s="225"/>
      <c r="N37" s="225"/>
      <c r="P37" s="225"/>
      <c r="R37" s="225"/>
      <c r="T37" s="223"/>
      <c r="V37" s="225"/>
      <c r="X37" s="225"/>
      <c r="Z37" s="225"/>
      <c r="AB37" s="225"/>
      <c r="AD37" s="225"/>
      <c r="AF37" s="225"/>
      <c r="AH37" s="225"/>
      <c r="AJ37" s="225"/>
      <c r="AL37" s="225"/>
      <c r="AM37" s="225"/>
      <c r="AN37" s="225"/>
      <c r="AP37" s="225"/>
      <c r="AQ37" s="225"/>
      <c r="AR37" s="225"/>
      <c r="AS37" s="225"/>
      <c r="AT37" s="225"/>
      <c r="AU37" s="225"/>
      <c r="AV37" s="225"/>
      <c r="AW37" s="225"/>
      <c r="AX37" s="225"/>
      <c r="AY37" s="225"/>
      <c r="AZ37" s="225"/>
      <c r="BA37" s="225"/>
      <c r="BB37" s="225"/>
      <c r="BC37" s="225"/>
      <c r="BD37" s="225"/>
      <c r="BE37" s="200"/>
      <c r="BF37" s="225"/>
      <c r="BH37" s="225"/>
      <c r="BJ37" s="225"/>
      <c r="BK37" s="199"/>
      <c r="BL37" s="225"/>
    </row>
    <row r="38" spans="1:64" s="221" customFormat="1">
      <c r="A38" s="225"/>
      <c r="B38" s="225"/>
      <c r="F38" s="225"/>
      <c r="H38" s="225"/>
      <c r="J38" s="225"/>
      <c r="L38" s="225"/>
      <c r="N38" s="225"/>
      <c r="P38" s="225"/>
      <c r="R38" s="225"/>
      <c r="T38" s="223"/>
      <c r="V38" s="225"/>
      <c r="X38" s="225"/>
      <c r="Z38" s="225"/>
      <c r="AB38" s="225"/>
      <c r="AD38" s="225"/>
      <c r="AF38" s="225"/>
      <c r="AH38" s="225"/>
      <c r="AJ38" s="225"/>
      <c r="AL38" s="225"/>
      <c r="AM38" s="225"/>
      <c r="AN38" s="225"/>
      <c r="AP38" s="225"/>
      <c r="AQ38" s="225"/>
      <c r="AR38" s="225"/>
      <c r="AS38" s="225"/>
      <c r="AT38" s="225"/>
      <c r="AU38" s="225"/>
      <c r="AV38" s="225"/>
      <c r="AW38" s="225"/>
      <c r="AX38" s="225"/>
      <c r="AY38" s="225"/>
      <c r="AZ38" s="225"/>
      <c r="BA38" s="225"/>
      <c r="BB38" s="225"/>
      <c r="BC38" s="225"/>
      <c r="BD38" s="225"/>
      <c r="BE38" s="222"/>
      <c r="BF38" s="225"/>
      <c r="BH38" s="225"/>
      <c r="BJ38" s="225"/>
      <c r="BK38" s="222"/>
      <c r="BL38" s="225"/>
    </row>
    <row r="39" spans="1:64">
      <c r="K39" s="200"/>
      <c r="L39" s="206"/>
      <c r="M39" s="200"/>
      <c r="O39" s="200"/>
      <c r="Q39" s="200"/>
      <c r="S39" s="200"/>
      <c r="U39" s="200"/>
      <c r="V39" s="217"/>
      <c r="W39" s="200"/>
      <c r="X39" s="217"/>
      <c r="Y39" s="200"/>
      <c r="Z39" s="217"/>
      <c r="AA39" s="200"/>
      <c r="AB39" s="217"/>
      <c r="AC39" s="200"/>
      <c r="AD39" s="217"/>
      <c r="AE39" s="200"/>
      <c r="AF39" s="217"/>
      <c r="AK39" s="200"/>
      <c r="AM39" s="217"/>
      <c r="BE39" s="200"/>
    </row>
    <row r="40" spans="1:64">
      <c r="AK40" s="200"/>
      <c r="BE40" s="200"/>
    </row>
    <row r="41" spans="1:64">
      <c r="AK41" s="200"/>
      <c r="BE41" s="200"/>
    </row>
    <row r="42" spans="1:64">
      <c r="AK42" s="200"/>
      <c r="BE42" s="200"/>
    </row>
    <row r="43" spans="1:64">
      <c r="AK43" s="200"/>
      <c r="BE43" s="200"/>
    </row>
    <row r="44" spans="1:64">
      <c r="AK44" s="200"/>
      <c r="BE44" s="200"/>
    </row>
    <row r="45" spans="1:64">
      <c r="AK45" s="200"/>
      <c r="BE45" s="200"/>
    </row>
    <row r="46" spans="1:64">
      <c r="AK46" s="200"/>
      <c r="BE46" s="200"/>
    </row>
    <row r="47" spans="1:64">
      <c r="AK47" s="200"/>
      <c r="BE47" s="200"/>
    </row>
    <row r="48" spans="1:64">
      <c r="AK48" s="200"/>
      <c r="BE48" s="200"/>
    </row>
    <row r="49" spans="37:57">
      <c r="AK49" s="200"/>
      <c r="BE49" s="200"/>
    </row>
    <row r="50" spans="37:57">
      <c r="AK50" s="200"/>
      <c r="BE50" s="200"/>
    </row>
    <row r="51" spans="37:57">
      <c r="AK51" s="200"/>
      <c r="BE51" s="200"/>
    </row>
    <row r="52" spans="37:57">
      <c r="AK52" s="200"/>
      <c r="BE52" s="200"/>
    </row>
    <row r="53" spans="37:57">
      <c r="AK53" s="200"/>
      <c r="BE53" s="200"/>
    </row>
    <row r="54" spans="37:57">
      <c r="AK54" s="200"/>
      <c r="BE54" s="200"/>
    </row>
    <row r="55" spans="37:57">
      <c r="AK55" s="200"/>
      <c r="BE55" s="200"/>
    </row>
    <row r="56" spans="37:57">
      <c r="AK56" s="200"/>
      <c r="BE56" s="200"/>
    </row>
    <row r="57" spans="37:57">
      <c r="AK57" s="200"/>
      <c r="BE57" s="200"/>
    </row>
    <row r="58" spans="37:57">
      <c r="AK58" s="200"/>
      <c r="BE58" s="200"/>
    </row>
    <row r="59" spans="37:57">
      <c r="AK59" s="200"/>
      <c r="BE59" s="200"/>
    </row>
    <row r="60" spans="37:57">
      <c r="AK60" s="200"/>
      <c r="BE60" s="200"/>
    </row>
    <row r="61" spans="37:57">
      <c r="AK61" s="200"/>
      <c r="BE61" s="200"/>
    </row>
    <row r="62" spans="37:57">
      <c r="AK62" s="200"/>
      <c r="BE62" s="200"/>
    </row>
    <row r="63" spans="37:57">
      <c r="AK63" s="200"/>
      <c r="BE63" s="200"/>
    </row>
    <row r="64" spans="37:57">
      <c r="AK64" s="200"/>
      <c r="BE64" s="200"/>
    </row>
    <row r="65" spans="37:57">
      <c r="AK65" s="200"/>
      <c r="BE65" s="200"/>
    </row>
    <row r="66" spans="37:57">
      <c r="AK66" s="200"/>
      <c r="BE66" s="200"/>
    </row>
    <row r="67" spans="37:57">
      <c r="AK67" s="200"/>
      <c r="BE67" s="200"/>
    </row>
    <row r="68" spans="37:57">
      <c r="AK68" s="200"/>
      <c r="BE68" s="200"/>
    </row>
    <row r="69" spans="37:57">
      <c r="AK69" s="200"/>
      <c r="BE69" s="200"/>
    </row>
    <row r="70" spans="37:57">
      <c r="AK70" s="200"/>
      <c r="BE70" s="200"/>
    </row>
    <row r="71" spans="37:57">
      <c r="AK71" s="200"/>
      <c r="BE71" s="200"/>
    </row>
    <row r="72" spans="37:57">
      <c r="AK72" s="200"/>
      <c r="BE72" s="200"/>
    </row>
    <row r="73" spans="37:57">
      <c r="AK73" s="200"/>
      <c r="BE73" s="200"/>
    </row>
    <row r="74" spans="37:57">
      <c r="AK74" s="200"/>
      <c r="BE74" s="200"/>
    </row>
    <row r="75" spans="37:57">
      <c r="AK75" s="200"/>
      <c r="BE75" s="200"/>
    </row>
    <row r="76" spans="37:57">
      <c r="AK76" s="200"/>
      <c r="BE76" s="200"/>
    </row>
    <row r="77" spans="37:57">
      <c r="AK77" s="200"/>
      <c r="BE77" s="200"/>
    </row>
  </sheetData>
  <mergeCells count="1">
    <mergeCell ref="A34:B34"/>
  </mergeCells>
  <phoneticPr fontId="50" type="noConversion"/>
  <printOptions horizontalCentered="1"/>
  <pageMargins left="0.2" right="0.25" top="0.66" bottom="0.53" header="0.66" footer="0.56000000000000005"/>
  <pageSetup scale="60" orientation="landscape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69"/>
  <sheetViews>
    <sheetView zoomScale="75" workbookViewId="0">
      <pane xSplit="1" ySplit="7" topLeftCell="C18" activePane="bottomRight" state="frozen"/>
      <selection pane="topRight" activeCell="B1" sqref="B1"/>
      <selection pane="bottomLeft" activeCell="A8" sqref="A8"/>
      <selection pane="bottomRight" activeCell="AS26" sqref="AS26"/>
    </sheetView>
  </sheetViews>
  <sheetFormatPr defaultColWidth="9.109375" defaultRowHeight="13.2"/>
  <cols>
    <col min="1" max="1" width="55.33203125" style="79" bestFit="1" customWidth="1"/>
    <col min="2" max="2" width="13.88671875" style="79" bestFit="1" customWidth="1"/>
    <col min="3" max="3" width="11.5546875" style="79" bestFit="1" customWidth="1"/>
    <col min="4" max="4" width="2.109375" style="79" customWidth="1"/>
    <col min="5" max="5" width="15.33203125" style="79" bestFit="1" customWidth="1"/>
    <col min="6" max="6" width="2.6640625" style="79" hidden="1" customWidth="1"/>
    <col min="7" max="7" width="17.33203125" style="79" hidden="1" customWidth="1"/>
    <col min="8" max="8" width="2.6640625" style="79" hidden="1" customWidth="1"/>
    <col min="9" max="9" width="15.109375" style="79" hidden="1" customWidth="1"/>
    <col min="10" max="10" width="2.6640625" style="79" hidden="1" customWidth="1"/>
    <col min="11" max="11" width="15.109375" style="79" hidden="1" customWidth="1"/>
    <col min="12" max="12" width="2.6640625" style="79" hidden="1" customWidth="1"/>
    <col min="13" max="13" width="15.109375" style="79" hidden="1" customWidth="1"/>
    <col min="14" max="14" width="2.6640625" style="79" hidden="1" customWidth="1"/>
    <col min="15" max="15" width="15.109375" style="79" hidden="1" customWidth="1"/>
    <col min="16" max="16" width="2.6640625" style="79" hidden="1" customWidth="1"/>
    <col min="17" max="17" width="15.109375" style="79" hidden="1" customWidth="1"/>
    <col min="18" max="18" width="2.6640625" style="79" hidden="1" customWidth="1"/>
    <col min="19" max="19" width="15.109375" style="79" hidden="1" customWidth="1"/>
    <col min="20" max="20" width="2.6640625" style="79" hidden="1" customWidth="1"/>
    <col min="21" max="25" width="15.109375" style="79" hidden="1" customWidth="1"/>
    <col min="26" max="26" width="2.6640625" style="79" hidden="1" customWidth="1"/>
    <col min="27" max="27" width="14.88671875" style="79" hidden="1" customWidth="1"/>
    <col min="28" max="28" width="2.6640625" style="79" hidden="1" customWidth="1"/>
    <col min="29" max="29" width="14.88671875" style="79" hidden="1" customWidth="1"/>
    <col min="30" max="30" width="1" style="79" hidden="1" customWidth="1"/>
    <col min="31" max="32" width="9.33203125" style="79" hidden="1" customWidth="1"/>
    <col min="33" max="33" width="13.33203125" style="79" hidden="1" customWidth="1"/>
    <col min="34" max="34" width="0.88671875" style="79" hidden="1" customWidth="1"/>
    <col min="35" max="35" width="15.109375" style="79" hidden="1" customWidth="1"/>
    <col min="36" max="36" width="1.5546875" style="79" hidden="1" customWidth="1"/>
    <col min="37" max="37" width="15.109375" style="79" hidden="1" customWidth="1"/>
    <col min="38" max="38" width="1.44140625" style="79" hidden="1" customWidth="1"/>
    <col min="39" max="39" width="15.109375" style="79" hidden="1" customWidth="1"/>
    <col min="40" max="40" width="1.88671875" style="79" hidden="1" customWidth="1"/>
    <col min="41" max="41" width="15.109375" style="79" hidden="1" customWidth="1"/>
    <col min="42" max="42" width="1.33203125" style="79" hidden="1" customWidth="1"/>
    <col min="43" max="43" width="15.109375" style="79" hidden="1" customWidth="1"/>
    <col min="44" max="44" width="1.44140625" style="79" customWidth="1"/>
    <col min="45" max="45" width="15.109375" style="79" customWidth="1"/>
    <col min="46" max="16384" width="9.109375" style="79"/>
  </cols>
  <sheetData>
    <row r="1" spans="1:51">
      <c r="A1" s="111" t="s">
        <v>482</v>
      </c>
      <c r="B1" s="111"/>
      <c r="C1" s="111"/>
      <c r="D1" s="111"/>
      <c r="E1" s="111"/>
      <c r="F1" s="111"/>
    </row>
    <row r="2" spans="1:51">
      <c r="A2" s="111" t="s">
        <v>438</v>
      </c>
      <c r="B2" s="111"/>
      <c r="C2" s="111"/>
      <c r="D2" s="111"/>
      <c r="E2" s="111"/>
      <c r="F2" s="111"/>
      <c r="AS2" s="121">
        <f ca="1">NOW()</f>
        <v>36894.436499421296</v>
      </c>
    </row>
    <row r="3" spans="1:51">
      <c r="A3" s="111" t="s">
        <v>520</v>
      </c>
      <c r="B3" s="111"/>
      <c r="C3" s="111"/>
      <c r="D3" s="111"/>
      <c r="E3" s="111"/>
      <c r="F3" s="111"/>
      <c r="AS3" s="120" t="str">
        <f ca="1">CELL("filename")</f>
        <v>O:\Fin_Ops\Engysvc\PowerPlants\Walton EMC\00 Weekly Reports\[Doyle Wkly 122800-Doyle.xls]ENA</v>
      </c>
    </row>
    <row r="5" spans="1:51">
      <c r="G5" s="112"/>
      <c r="H5" s="113"/>
      <c r="I5" s="114" t="s">
        <v>360</v>
      </c>
      <c r="J5" s="112"/>
      <c r="K5" s="114" t="s">
        <v>360</v>
      </c>
      <c r="L5" s="112"/>
      <c r="M5" s="114" t="s">
        <v>360</v>
      </c>
      <c r="N5" s="112"/>
      <c r="O5" s="114" t="s">
        <v>360</v>
      </c>
      <c r="P5" s="112"/>
      <c r="Q5" s="114" t="s">
        <v>360</v>
      </c>
      <c r="R5" s="114"/>
      <c r="S5" s="114" t="s">
        <v>360</v>
      </c>
      <c r="T5" s="114"/>
      <c r="U5" s="114" t="s">
        <v>360</v>
      </c>
      <c r="V5" s="114" t="s">
        <v>360</v>
      </c>
      <c r="W5" s="114" t="s">
        <v>360</v>
      </c>
      <c r="X5" s="114" t="s">
        <v>360</v>
      </c>
      <c r="Y5" s="114" t="s">
        <v>360</v>
      </c>
      <c r="Z5" s="114"/>
      <c r="AA5" s="114" t="s">
        <v>360</v>
      </c>
      <c r="AB5" s="114"/>
      <c r="AC5" s="114" t="s">
        <v>360</v>
      </c>
      <c r="AD5" s="114"/>
      <c r="AE5" s="114"/>
      <c r="AF5" s="114"/>
      <c r="AG5" s="114" t="s">
        <v>360</v>
      </c>
      <c r="AH5" s="114"/>
      <c r="AI5" s="114" t="s">
        <v>360</v>
      </c>
      <c r="AJ5" s="114"/>
      <c r="AK5" s="114" t="s">
        <v>360</v>
      </c>
      <c r="AL5" s="114"/>
      <c r="AM5" s="114" t="s">
        <v>360</v>
      </c>
      <c r="AN5" s="114"/>
      <c r="AO5" s="114" t="s">
        <v>360</v>
      </c>
      <c r="AP5" s="114"/>
      <c r="AQ5" s="114" t="s">
        <v>360</v>
      </c>
      <c r="AR5" s="114"/>
      <c r="AS5" s="114"/>
    </row>
    <row r="6" spans="1:51">
      <c r="B6" s="80" t="s">
        <v>501</v>
      </c>
      <c r="C6" s="80" t="s">
        <v>501</v>
      </c>
      <c r="D6" s="80"/>
      <c r="E6" s="80" t="s">
        <v>310</v>
      </c>
      <c r="G6" s="114" t="s">
        <v>290</v>
      </c>
      <c r="H6" s="113"/>
      <c r="I6" s="114" t="s">
        <v>361</v>
      </c>
      <c r="J6" s="112"/>
      <c r="K6" s="114" t="s">
        <v>361</v>
      </c>
      <c r="L6" s="112"/>
      <c r="M6" s="114" t="s">
        <v>361</v>
      </c>
      <c r="N6" s="112"/>
      <c r="O6" s="114" t="s">
        <v>361</v>
      </c>
      <c r="P6" s="112"/>
      <c r="Q6" s="114" t="s">
        <v>361</v>
      </c>
      <c r="R6" s="114"/>
      <c r="S6" s="114" t="s">
        <v>361</v>
      </c>
      <c r="T6" s="114"/>
      <c r="U6" s="114" t="s">
        <v>361</v>
      </c>
      <c r="V6" s="114" t="s">
        <v>361</v>
      </c>
      <c r="W6" s="114" t="s">
        <v>361</v>
      </c>
      <c r="X6" s="114" t="s">
        <v>361</v>
      </c>
      <c r="Y6" s="114" t="s">
        <v>361</v>
      </c>
      <c r="Z6" s="114"/>
      <c r="AA6" s="114" t="s">
        <v>361</v>
      </c>
      <c r="AB6" s="114"/>
      <c r="AC6" s="114" t="s">
        <v>361</v>
      </c>
      <c r="AD6" s="114"/>
      <c r="AE6" s="114"/>
      <c r="AF6" s="114"/>
      <c r="AG6" s="114" t="s">
        <v>361</v>
      </c>
      <c r="AH6" s="114"/>
      <c r="AI6" s="114" t="s">
        <v>361</v>
      </c>
      <c r="AJ6" s="114"/>
      <c r="AK6" s="114" t="s">
        <v>361</v>
      </c>
      <c r="AL6" s="114"/>
      <c r="AM6" s="114" t="s">
        <v>361</v>
      </c>
      <c r="AN6" s="114"/>
      <c r="AO6" s="114" t="s">
        <v>361</v>
      </c>
      <c r="AP6" s="114"/>
      <c r="AQ6" s="114" t="s">
        <v>361</v>
      </c>
      <c r="AR6" s="114"/>
      <c r="AS6" s="114" t="s">
        <v>295</v>
      </c>
    </row>
    <row r="7" spans="1:51">
      <c r="B7" s="123" t="s">
        <v>467</v>
      </c>
      <c r="C7" s="123" t="s">
        <v>502</v>
      </c>
      <c r="D7" s="81"/>
      <c r="E7" s="80" t="s">
        <v>536</v>
      </c>
      <c r="G7" s="115">
        <v>36160</v>
      </c>
      <c r="H7" s="113"/>
      <c r="I7" s="115">
        <v>36191</v>
      </c>
      <c r="J7" s="116"/>
      <c r="K7" s="115">
        <v>36219</v>
      </c>
      <c r="L7" s="116"/>
      <c r="M7" s="115">
        <v>36250</v>
      </c>
      <c r="N7" s="116"/>
      <c r="O7" s="115">
        <v>36280</v>
      </c>
      <c r="P7" s="116"/>
      <c r="Q7" s="115">
        <v>36311</v>
      </c>
      <c r="R7" s="117"/>
      <c r="S7" s="115">
        <v>36341</v>
      </c>
      <c r="T7" s="117"/>
      <c r="U7" s="115">
        <v>36372</v>
      </c>
      <c r="V7" s="115">
        <v>36403</v>
      </c>
      <c r="W7" s="115">
        <v>36433</v>
      </c>
      <c r="X7" s="115">
        <v>36464</v>
      </c>
      <c r="Y7" s="115">
        <v>36494</v>
      </c>
      <c r="Z7" s="117"/>
      <c r="AA7" s="115">
        <v>36525</v>
      </c>
      <c r="AB7" s="117"/>
      <c r="AC7" s="115">
        <v>36556</v>
      </c>
      <c r="AD7" s="117"/>
      <c r="AE7" s="117"/>
      <c r="AF7" s="117"/>
      <c r="AG7" s="115">
        <v>36585</v>
      </c>
      <c r="AH7" s="117"/>
      <c r="AI7" s="115">
        <v>36616</v>
      </c>
      <c r="AJ7" s="117"/>
      <c r="AK7" s="115">
        <v>36646</v>
      </c>
      <c r="AL7" s="117"/>
      <c r="AM7" s="115">
        <v>36677</v>
      </c>
      <c r="AN7" s="117"/>
      <c r="AO7" s="115">
        <v>36707</v>
      </c>
      <c r="AP7" s="117"/>
      <c r="AQ7" s="115">
        <v>36738</v>
      </c>
      <c r="AR7" s="117"/>
      <c r="AS7" s="115" t="s">
        <v>483</v>
      </c>
    </row>
    <row r="8" spans="1:51">
      <c r="A8" s="82" t="s">
        <v>508</v>
      </c>
      <c r="B8" s="125"/>
      <c r="C8" s="125"/>
      <c r="D8" s="81"/>
      <c r="E8" s="125"/>
      <c r="G8" s="117"/>
      <c r="H8" s="113"/>
      <c r="I8" s="117"/>
      <c r="J8" s="116"/>
      <c r="K8" s="117"/>
      <c r="L8" s="116"/>
      <c r="M8" s="117"/>
      <c r="N8" s="116"/>
      <c r="O8" s="117"/>
      <c r="P8" s="116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</row>
    <row r="9" spans="1:51">
      <c r="A9" s="83" t="s">
        <v>484</v>
      </c>
      <c r="B9" s="84">
        <v>36130</v>
      </c>
      <c r="C9" s="85">
        <v>21150000</v>
      </c>
      <c r="D9" s="85"/>
      <c r="E9" s="85">
        <v>25778420</v>
      </c>
      <c r="F9" s="83"/>
      <c r="G9" s="86">
        <v>21150000</v>
      </c>
      <c r="H9" s="86"/>
      <c r="I9" s="86">
        <v>1200000</v>
      </c>
      <c r="J9" s="86"/>
      <c r="K9" s="86"/>
      <c r="L9" s="86"/>
      <c r="M9" s="86">
        <v>-1200000</v>
      </c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>
        <f>SUM(G9:AR9)</f>
        <v>21150000</v>
      </c>
    </row>
    <row r="10" spans="1:51">
      <c r="A10" s="87" t="s">
        <v>485</v>
      </c>
      <c r="B10" s="87"/>
      <c r="C10" s="86">
        <v>332267.09999999998</v>
      </c>
      <c r="D10" s="86"/>
      <c r="E10" s="86"/>
      <c r="F10" s="87"/>
      <c r="G10" s="86"/>
      <c r="H10" s="86"/>
      <c r="I10" s="86">
        <v>332267.09999999998</v>
      </c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>
        <f t="shared" ref="AS10:AS18" si="0">SUM(G10:AR10)</f>
        <v>332267.09999999998</v>
      </c>
    </row>
    <row r="11" spans="1:51">
      <c r="A11" s="87" t="s">
        <v>486</v>
      </c>
      <c r="B11" s="87"/>
      <c r="C11" s="86">
        <v>664534.19999999995</v>
      </c>
      <c r="D11" s="86"/>
      <c r="E11" s="86"/>
      <c r="F11" s="87"/>
      <c r="G11" s="86"/>
      <c r="H11" s="86"/>
      <c r="I11" s="86">
        <v>664534.19999999995</v>
      </c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>
        <f t="shared" si="0"/>
        <v>664534.19999999995</v>
      </c>
    </row>
    <row r="12" spans="1:51">
      <c r="A12" s="83"/>
      <c r="B12" s="83"/>
      <c r="C12" s="88"/>
      <c r="D12" s="88"/>
      <c r="E12" s="88"/>
      <c r="F12" s="83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>
        <f t="shared" si="0"/>
        <v>0</v>
      </c>
    </row>
    <row r="13" spans="1:51">
      <c r="A13" s="89" t="s">
        <v>407</v>
      </c>
      <c r="B13" s="89"/>
      <c r="C13" s="85"/>
      <c r="D13" s="85"/>
      <c r="E13" s="85"/>
      <c r="F13" s="89"/>
      <c r="G13" s="90">
        <v>0</v>
      </c>
      <c r="H13" s="86"/>
      <c r="I13" s="90">
        <v>0</v>
      </c>
      <c r="J13" s="86"/>
      <c r="K13" s="90">
        <v>0</v>
      </c>
      <c r="L13" s="86"/>
      <c r="M13" s="90">
        <v>0</v>
      </c>
      <c r="N13" s="86"/>
      <c r="O13" s="90">
        <v>0</v>
      </c>
      <c r="P13" s="86"/>
      <c r="Q13" s="90">
        <v>0</v>
      </c>
      <c r="R13" s="86"/>
      <c r="S13" s="90">
        <v>0</v>
      </c>
      <c r="T13" s="86"/>
      <c r="U13" s="90">
        <v>0</v>
      </c>
      <c r="V13" s="90"/>
      <c r="W13" s="90"/>
      <c r="X13" s="90"/>
      <c r="Y13" s="90"/>
      <c r="Z13" s="86"/>
      <c r="AA13" s="90"/>
      <c r="AB13" s="86"/>
      <c r="AC13" s="90"/>
      <c r="AD13" s="86"/>
      <c r="AE13" s="86"/>
      <c r="AF13" s="86"/>
      <c r="AG13" s="90"/>
      <c r="AH13" s="90"/>
      <c r="AI13" s="90"/>
      <c r="AJ13" s="86"/>
      <c r="AK13" s="90"/>
      <c r="AL13" s="90"/>
      <c r="AM13" s="90"/>
      <c r="AN13" s="90"/>
      <c r="AO13" s="90"/>
      <c r="AP13" s="90"/>
      <c r="AQ13" s="90"/>
      <c r="AR13" s="86"/>
      <c r="AS13" s="86">
        <f t="shared" si="0"/>
        <v>0</v>
      </c>
    </row>
    <row r="14" spans="1:51">
      <c r="A14" s="89"/>
      <c r="B14" s="89"/>
      <c r="C14" s="85"/>
      <c r="D14" s="85"/>
      <c r="E14" s="85"/>
      <c r="F14" s="89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86">
        <f t="shared" si="0"/>
        <v>0</v>
      </c>
      <c r="AT14" s="91"/>
      <c r="AU14" s="91"/>
      <c r="AV14" s="91"/>
      <c r="AW14" s="91"/>
      <c r="AX14" s="91"/>
      <c r="AY14" s="91"/>
    </row>
    <row r="15" spans="1:51">
      <c r="A15" s="89" t="s">
        <v>487</v>
      </c>
      <c r="B15" s="83" t="s">
        <v>522</v>
      </c>
      <c r="C15" s="86">
        <v>1378070.12</v>
      </c>
      <c r="D15" s="86"/>
      <c r="E15" s="86"/>
      <c r="F15" s="83"/>
      <c r="G15" s="86"/>
      <c r="H15" s="86"/>
      <c r="I15" s="86">
        <v>1378070.12</v>
      </c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>
        <f t="shared" si="0"/>
        <v>1378070.12</v>
      </c>
    </row>
    <row r="16" spans="1:51" ht="13.5" customHeight="1">
      <c r="A16" s="89" t="s">
        <v>488</v>
      </c>
      <c r="B16" s="83" t="s">
        <v>522</v>
      </c>
      <c r="C16" s="86">
        <v>689035.06</v>
      </c>
      <c r="D16" s="86"/>
      <c r="E16" s="86"/>
      <c r="F16" s="83"/>
      <c r="G16" s="86"/>
      <c r="H16" s="86"/>
      <c r="I16" s="86">
        <v>689035.06</v>
      </c>
      <c r="J16" s="86"/>
      <c r="K16" s="86"/>
      <c r="L16" s="86"/>
      <c r="M16" s="86"/>
      <c r="N16" s="86"/>
      <c r="O16" s="86"/>
      <c r="P16" s="86"/>
      <c r="Q16" s="86"/>
      <c r="R16" s="86"/>
      <c r="S16" s="86">
        <v>268110.40000000002</v>
      </c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>
        <f t="shared" si="0"/>
        <v>957145.46000000008</v>
      </c>
    </row>
    <row r="17" spans="1:45">
      <c r="A17" s="89" t="s">
        <v>489</v>
      </c>
      <c r="B17" s="83"/>
      <c r="C17" s="88"/>
      <c r="D17" s="88"/>
      <c r="E17" s="88"/>
      <c r="F17" s="83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>
        <f>2072428-2067105</f>
        <v>5323</v>
      </c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>
        <f t="shared" si="0"/>
        <v>5323</v>
      </c>
    </row>
    <row r="18" spans="1:45">
      <c r="A18" s="89" t="s">
        <v>491</v>
      </c>
      <c r="B18" s="122">
        <v>36124</v>
      </c>
      <c r="C18" s="85">
        <v>1291080</v>
      </c>
      <c r="D18" s="88"/>
      <c r="E18" s="88"/>
      <c r="F18" s="83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>
        <v>1291080</v>
      </c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>
        <f t="shared" si="0"/>
        <v>1291080</v>
      </c>
    </row>
    <row r="19" spans="1:45">
      <c r="A19" s="92" t="s">
        <v>530</v>
      </c>
      <c r="B19" s="83"/>
      <c r="C19" s="93">
        <f>SUM(C9:C18)</f>
        <v>25504986.48</v>
      </c>
      <c r="D19" s="85"/>
      <c r="E19" s="93">
        <f>SUM(E9:E18)</f>
        <v>25778420</v>
      </c>
      <c r="F19" s="83"/>
      <c r="G19" s="93">
        <f>SUM(G9:G18)</f>
        <v>21150000</v>
      </c>
      <c r="H19" s="86"/>
      <c r="I19" s="93">
        <f>SUM(I9:I18)</f>
        <v>4263906.4800000004</v>
      </c>
      <c r="J19" s="86"/>
      <c r="K19" s="93">
        <f>SUM(K9:K18)</f>
        <v>0</v>
      </c>
      <c r="L19" s="86"/>
      <c r="M19" s="93">
        <f>SUM(M9:M18)</f>
        <v>-1200000</v>
      </c>
      <c r="N19" s="86"/>
      <c r="O19" s="93">
        <f>SUM(O9:O18)</f>
        <v>0</v>
      </c>
      <c r="P19" s="86"/>
      <c r="Q19" s="93">
        <f>SUM(Q9:Q18)</f>
        <v>1291080</v>
      </c>
      <c r="R19" s="86"/>
      <c r="S19" s="93">
        <f>SUM(S9:S18)</f>
        <v>273433.40000000002</v>
      </c>
      <c r="T19" s="86"/>
      <c r="U19" s="93">
        <f>SUM(U9:U18)</f>
        <v>0</v>
      </c>
      <c r="V19" s="93">
        <f>SUM(V9:V18)</f>
        <v>0</v>
      </c>
      <c r="W19" s="93">
        <f>SUM(W9:W18)</f>
        <v>0</v>
      </c>
      <c r="X19" s="93">
        <f>SUM(X9:X18)</f>
        <v>0</v>
      </c>
      <c r="Y19" s="93">
        <f>SUM(Y9:Y18)</f>
        <v>0</v>
      </c>
      <c r="Z19" s="86"/>
      <c r="AA19" s="93">
        <f>SUM(AA9:AA18)</f>
        <v>0</v>
      </c>
      <c r="AB19" s="86"/>
      <c r="AC19" s="93">
        <f>SUM(AC9:AC18)</f>
        <v>0</v>
      </c>
      <c r="AD19" s="86"/>
      <c r="AE19" s="86"/>
      <c r="AF19" s="86"/>
      <c r="AG19" s="93">
        <f>SUM(AG9:AG18)</f>
        <v>0</v>
      </c>
      <c r="AH19" s="85"/>
      <c r="AI19" s="93">
        <f>SUM(AI9:AI18)</f>
        <v>0</v>
      </c>
      <c r="AJ19" s="86"/>
      <c r="AK19" s="93">
        <f>SUM(AK9:AK18)</f>
        <v>0</v>
      </c>
      <c r="AL19" s="85"/>
      <c r="AM19" s="93">
        <f>SUM(AM9:AM18)</f>
        <v>0</v>
      </c>
      <c r="AN19" s="85"/>
      <c r="AO19" s="93">
        <f>SUM(AO9:AO18)</f>
        <v>0</v>
      </c>
      <c r="AP19" s="85"/>
      <c r="AQ19" s="93">
        <f>SUM(AQ9:AQ18)</f>
        <v>0</v>
      </c>
      <c r="AR19" s="86"/>
      <c r="AS19" s="93">
        <f>SUM(AS9:AS18)</f>
        <v>25778419.880000003</v>
      </c>
    </row>
    <row r="20" spans="1:45">
      <c r="A20" s="89"/>
      <c r="B20" s="89"/>
      <c r="C20" s="85"/>
      <c r="D20" s="85"/>
      <c r="E20" s="85"/>
      <c r="F20" s="89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</row>
    <row r="21" spans="1:45">
      <c r="A21" s="89" t="s">
        <v>243</v>
      </c>
      <c r="B21" s="89"/>
      <c r="C21" s="85"/>
      <c r="D21" s="85"/>
      <c r="E21" s="85"/>
      <c r="F21" s="89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</row>
    <row r="22" spans="1:45">
      <c r="A22" s="89" t="s">
        <v>528</v>
      </c>
      <c r="B22" s="83"/>
      <c r="C22" s="85">
        <f>18315010-4408479</f>
        <v>13906531</v>
      </c>
      <c r="D22" s="85"/>
      <c r="E22" s="85">
        <f>18315010-4408479</f>
        <v>13906531</v>
      </c>
      <c r="F22" s="83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>
        <f>135431.96+183010.45</f>
        <v>318442.41000000003</v>
      </c>
      <c r="R22" s="86"/>
      <c r="S22" s="86">
        <f>78641.11</f>
        <v>78641.11</v>
      </c>
      <c r="T22" s="86"/>
      <c r="U22" s="86">
        <f>-135431.96-183010.45-78641.11</f>
        <v>-397083.52</v>
      </c>
      <c r="V22" s="86">
        <f>510000+20000+5000+13833.93+9303.06+80000+5000+100000</f>
        <v>743136.99000000011</v>
      </c>
      <c r="W22" s="86">
        <f>545437.8+63659.61+5000</f>
        <v>614097.41</v>
      </c>
      <c r="X22" s="86">
        <f>63668.61+630000+5000+11145.5+11000+3000+272718.9+136359.45+9000+203477+5179+22526+755699+5000+6980</f>
        <v>2140753.46</v>
      </c>
      <c r="Y22" s="86">
        <f>10000+5000+82045+2742+7017+15000+700000</f>
        <v>821804</v>
      </c>
      <c r="Z22" s="86"/>
      <c r="AA22" s="86">
        <f>60398.33+34252.67+356900+59980.39+450000+139019.7+303021+272718.9+1370.36+558+152369.1</f>
        <v>1830588.4500000004</v>
      </c>
      <c r="AB22" s="86"/>
      <c r="AC22" s="86">
        <f>158159+3190+109470.47+226375.68+107307.5+45988.93+59973.51+316800+13506.95+165580.24+29582.71+33612+28581+89336.27+272718.9+15000+10231.82+2712+1069.5+139743.6+125000+29084.32</f>
        <v>1983024.4</v>
      </c>
      <c r="AD22" s="86"/>
      <c r="AE22" s="86"/>
      <c r="AF22" s="86"/>
      <c r="AG22" s="86">
        <f>105000+27013.53+139615.51+5374.81+76991.62+323039.5+21839.9+50000+45737.22+1600-780+64112</f>
        <v>859544.09</v>
      </c>
      <c r="AH22" s="86"/>
      <c r="AI22" s="86">
        <f>29554.93+227108.35+139019.7+182928.4+925+2603+98995.6+81517.1+135000+25000+16218+35488.88+15561.65+208451.79+19206.15+545437.8+95528.39+22927+42682.61+3337.77-140807.71+100000+90000</f>
        <v>1976684.41</v>
      </c>
      <c r="AJ22" s="86"/>
      <c r="AK22" s="434">
        <f>30855.72+3204+1389+8874.49+8517.35+15064</f>
        <v>67904.56</v>
      </c>
      <c r="AL22" s="434"/>
      <c r="AM22" s="434">
        <f>67119.2+248327+521129.48+9587.59+269792+5136</f>
        <v>1121091.27</v>
      </c>
      <c r="AN22" s="434"/>
      <c r="AO22" s="434">
        <v>73206</v>
      </c>
      <c r="AP22" s="434"/>
      <c r="AQ22" s="434">
        <f>690000+440065+134402.02+57637.64+28510.18+7645.99+9355+7958+19096.68+3855.35+129088.79</f>
        <v>1527614.65</v>
      </c>
      <c r="AR22" s="86"/>
      <c r="AS22" s="86">
        <f>SUM(G22:AR22)</f>
        <v>13759449.690000001</v>
      </c>
    </row>
    <row r="23" spans="1:45">
      <c r="A23" s="83" t="s">
        <v>541</v>
      </c>
      <c r="B23" s="122">
        <v>36124</v>
      </c>
      <c r="C23" s="85">
        <v>396000</v>
      </c>
      <c r="D23" s="85"/>
      <c r="E23" s="85">
        <v>396000</v>
      </c>
      <c r="F23" s="83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>
        <v>396000</v>
      </c>
      <c r="R23" s="86"/>
      <c r="S23" s="86"/>
      <c r="T23" s="86"/>
      <c r="U23" s="86"/>
      <c r="V23" s="86"/>
      <c r="W23" s="86"/>
      <c r="X23" s="86"/>
      <c r="Y23" s="86"/>
      <c r="Z23" s="86"/>
      <c r="AA23" s="86">
        <v>96762</v>
      </c>
      <c r="AB23" s="86"/>
      <c r="AC23" s="86">
        <v>0</v>
      </c>
      <c r="AD23" s="86"/>
      <c r="AE23" s="86"/>
      <c r="AF23" s="86"/>
      <c r="AG23" s="86">
        <v>0</v>
      </c>
      <c r="AH23" s="86"/>
      <c r="AI23" s="86">
        <v>0</v>
      </c>
      <c r="AJ23" s="86"/>
      <c r="AK23" s="86">
        <v>0</v>
      </c>
      <c r="AL23" s="86"/>
      <c r="AM23" s="86">
        <v>0</v>
      </c>
      <c r="AN23" s="86"/>
      <c r="AO23" s="86">
        <v>0</v>
      </c>
      <c r="AP23" s="86"/>
      <c r="AQ23" s="86">
        <v>0</v>
      </c>
      <c r="AR23" s="86"/>
      <c r="AS23" s="86">
        <f t="shared" ref="AS23:AS38" si="1">SUM(G23:AR23)</f>
        <v>492762</v>
      </c>
    </row>
    <row r="24" spans="1:45">
      <c r="A24" s="83" t="s">
        <v>523</v>
      </c>
      <c r="B24" s="83"/>
      <c r="C24" s="85">
        <v>245000</v>
      </c>
      <c r="D24" s="85"/>
      <c r="E24" s="85">
        <v>245000</v>
      </c>
      <c r="F24" s="83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>
        <v>252344</v>
      </c>
      <c r="R24" s="86"/>
      <c r="S24" s="86"/>
      <c r="T24" s="86"/>
      <c r="U24" s="86"/>
      <c r="V24" s="86"/>
      <c r="W24" s="86"/>
      <c r="X24" s="86"/>
      <c r="Y24" s="86"/>
      <c r="Z24" s="86"/>
      <c r="AA24" s="86">
        <v>0</v>
      </c>
      <c r="AB24" s="86"/>
      <c r="AC24" s="86">
        <v>0</v>
      </c>
      <c r="AD24" s="86"/>
      <c r="AE24" s="86"/>
      <c r="AF24" s="86"/>
      <c r="AG24" s="86">
        <v>0</v>
      </c>
      <c r="AH24" s="86"/>
      <c r="AI24" s="86">
        <v>0</v>
      </c>
      <c r="AJ24" s="86"/>
      <c r="AK24" s="86">
        <v>0</v>
      </c>
      <c r="AL24" s="86"/>
      <c r="AM24" s="86">
        <v>0</v>
      </c>
      <c r="AN24" s="86"/>
      <c r="AO24" s="86">
        <v>0</v>
      </c>
      <c r="AP24" s="86"/>
      <c r="AQ24" s="86">
        <v>0</v>
      </c>
      <c r="AR24" s="86"/>
      <c r="AS24" s="86">
        <f t="shared" si="1"/>
        <v>252344</v>
      </c>
    </row>
    <row r="25" spans="1:45">
      <c r="A25" s="83" t="s">
        <v>492</v>
      </c>
      <c r="B25" s="83"/>
      <c r="C25" s="85">
        <v>400000</v>
      </c>
      <c r="D25" s="85"/>
      <c r="E25" s="85">
        <v>400000</v>
      </c>
      <c r="F25" s="83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>
        <f>53311.19</f>
        <v>53311.19</v>
      </c>
      <c r="T25" s="86"/>
      <c r="U25" s="86">
        <v>56199.77</v>
      </c>
      <c r="V25" s="86">
        <v>97500</v>
      </c>
      <c r="W25" s="86"/>
      <c r="X25" s="86">
        <f>15834+15834+9030.98+10246</f>
        <v>50944.979999999996</v>
      </c>
      <c r="Y25" s="86">
        <v>15834</v>
      </c>
      <c r="Z25" s="86"/>
      <c r="AA25" s="86">
        <v>0</v>
      </c>
      <c r="AB25" s="86"/>
      <c r="AC25" s="86">
        <v>0</v>
      </c>
      <c r="AD25" s="86"/>
      <c r="AE25" s="86"/>
      <c r="AF25" s="86"/>
      <c r="AG25" s="86">
        <v>0</v>
      </c>
      <c r="AH25" s="86"/>
      <c r="AI25" s="86">
        <v>0</v>
      </c>
      <c r="AJ25" s="86"/>
      <c r="AK25" s="86">
        <v>0</v>
      </c>
      <c r="AL25" s="86"/>
      <c r="AM25" s="86">
        <v>0</v>
      </c>
      <c r="AN25" s="86"/>
      <c r="AO25" s="86">
        <v>0</v>
      </c>
      <c r="AP25" s="86"/>
      <c r="AQ25" s="86">
        <v>0</v>
      </c>
      <c r="AR25" s="86"/>
      <c r="AS25" s="86">
        <f t="shared" si="1"/>
        <v>273789.94</v>
      </c>
    </row>
    <row r="26" spans="1:45">
      <c r="A26" s="83" t="s">
        <v>493</v>
      </c>
      <c r="B26" s="83"/>
      <c r="C26" s="85"/>
      <c r="D26" s="85"/>
      <c r="E26" s="85"/>
      <c r="F26" s="83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>
        <f>4671.74</f>
        <v>4671.74</v>
      </c>
      <c r="T26" s="86"/>
      <c r="U26" s="86">
        <f>3440.53+6680.84-0.5</f>
        <v>10120.870000000001</v>
      </c>
      <c r="V26" s="86"/>
      <c r="W26" s="86"/>
      <c r="X26" s="86"/>
      <c r="Y26" s="86"/>
      <c r="Z26" s="86"/>
      <c r="AA26" s="86">
        <v>0</v>
      </c>
      <c r="AB26" s="86"/>
      <c r="AC26" s="86">
        <v>0</v>
      </c>
      <c r="AD26" s="86"/>
      <c r="AE26" s="86"/>
      <c r="AF26" s="86"/>
      <c r="AG26" s="86">
        <v>0</v>
      </c>
      <c r="AH26" s="86"/>
      <c r="AI26" s="86">
        <v>0</v>
      </c>
      <c r="AJ26" s="86"/>
      <c r="AK26" s="86">
        <v>0</v>
      </c>
      <c r="AL26" s="86"/>
      <c r="AM26" s="86">
        <v>0</v>
      </c>
      <c r="AN26" s="86"/>
      <c r="AO26" s="86">
        <v>0</v>
      </c>
      <c r="AP26" s="86"/>
      <c r="AQ26" s="86">
        <v>0</v>
      </c>
      <c r="AR26" s="86"/>
      <c r="AS26" s="86">
        <f t="shared" si="1"/>
        <v>14792.61</v>
      </c>
    </row>
    <row r="27" spans="1:45">
      <c r="A27" s="83" t="s">
        <v>891</v>
      </c>
      <c r="B27" s="83"/>
      <c r="C27" s="85"/>
      <c r="D27" s="85"/>
      <c r="E27" s="85"/>
      <c r="F27" s="83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>
        <v>12500</v>
      </c>
      <c r="X27" s="86"/>
      <c r="Y27" s="86"/>
      <c r="Z27" s="86"/>
      <c r="AA27" s="86">
        <v>12500</v>
      </c>
      <c r="AB27" s="86"/>
      <c r="AC27" s="86">
        <v>0</v>
      </c>
      <c r="AD27" s="86"/>
      <c r="AE27" s="86"/>
      <c r="AF27" s="86"/>
      <c r="AG27" s="86">
        <v>0</v>
      </c>
      <c r="AH27" s="86"/>
      <c r="AI27" s="86">
        <v>0</v>
      </c>
      <c r="AJ27" s="86"/>
      <c r="AK27" s="86">
        <v>0</v>
      </c>
      <c r="AL27" s="86"/>
      <c r="AM27" s="86">
        <v>0</v>
      </c>
      <c r="AN27" s="86"/>
      <c r="AO27" s="86">
        <v>0</v>
      </c>
      <c r="AP27" s="86"/>
      <c r="AQ27" s="86">
        <v>0</v>
      </c>
      <c r="AR27" s="86"/>
      <c r="AS27" s="86">
        <f t="shared" si="1"/>
        <v>25000</v>
      </c>
    </row>
    <row r="28" spans="1:45">
      <c r="A28" s="83" t="s">
        <v>892</v>
      </c>
      <c r="B28" s="83"/>
      <c r="C28" s="85"/>
      <c r="D28" s="85"/>
      <c r="E28" s="85"/>
      <c r="F28" s="83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>
        <f>17510.9+22413.15</f>
        <v>39924.050000000003</v>
      </c>
      <c r="X28" s="86"/>
      <c r="Y28" s="86"/>
      <c r="Z28" s="86"/>
      <c r="AA28" s="86">
        <v>0</v>
      </c>
      <c r="AB28" s="86"/>
      <c r="AC28" s="86">
        <v>0</v>
      </c>
      <c r="AD28" s="86"/>
      <c r="AE28" s="86"/>
      <c r="AF28" s="86"/>
      <c r="AG28" s="86">
        <v>2500</v>
      </c>
      <c r="AH28" s="86"/>
      <c r="AI28" s="86">
        <v>0</v>
      </c>
      <c r="AJ28" s="86"/>
      <c r="AK28" s="86">
        <v>0</v>
      </c>
      <c r="AL28" s="86"/>
      <c r="AM28" s="86">
        <v>0</v>
      </c>
      <c r="AN28" s="86"/>
      <c r="AO28" s="86">
        <v>0</v>
      </c>
      <c r="AP28" s="86"/>
      <c r="AQ28" s="86">
        <v>0</v>
      </c>
      <c r="AR28" s="86"/>
      <c r="AS28" s="86">
        <f t="shared" si="1"/>
        <v>42424.05</v>
      </c>
    </row>
    <row r="29" spans="1:45">
      <c r="A29" s="83" t="s">
        <v>490</v>
      </c>
      <c r="B29" s="83"/>
      <c r="C29" s="85"/>
      <c r="D29" s="85"/>
      <c r="E29" s="85"/>
      <c r="F29" s="83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>
        <f>22604.87</f>
        <v>22604.87</v>
      </c>
      <c r="T29" s="86"/>
      <c r="U29" s="86">
        <f>62060.03-62060.03-22604.87</f>
        <v>-22604.87</v>
      </c>
      <c r="V29" s="86"/>
      <c r="W29" s="86"/>
      <c r="X29" s="86">
        <v>52405</v>
      </c>
      <c r="Y29" s="86"/>
      <c r="Z29" s="86"/>
      <c r="AA29" s="86">
        <v>0</v>
      </c>
      <c r="AB29" s="86"/>
      <c r="AC29" s="86">
        <v>0</v>
      </c>
      <c r="AD29" s="86"/>
      <c r="AE29" s="86"/>
      <c r="AF29" s="86"/>
      <c r="AG29" s="86">
        <v>0</v>
      </c>
      <c r="AH29" s="86"/>
      <c r="AI29" s="86">
        <v>0</v>
      </c>
      <c r="AJ29" s="86"/>
      <c r="AK29" s="86">
        <v>0</v>
      </c>
      <c r="AL29" s="86"/>
      <c r="AM29" s="86">
        <v>0</v>
      </c>
      <c r="AN29" s="86"/>
      <c r="AO29" s="86">
        <v>0</v>
      </c>
      <c r="AP29" s="86"/>
      <c r="AQ29" s="86">
        <v>0</v>
      </c>
      <c r="AR29" s="86"/>
      <c r="AS29" s="86">
        <f t="shared" si="1"/>
        <v>52405</v>
      </c>
    </row>
    <row r="30" spans="1:45">
      <c r="A30" s="83" t="s">
        <v>490</v>
      </c>
      <c r="B30" s="83"/>
      <c r="C30" s="85"/>
      <c r="D30" s="85"/>
      <c r="E30" s="85"/>
      <c r="F30" s="83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>
        <v>28671.86</v>
      </c>
      <c r="T30" s="86"/>
      <c r="U30" s="86">
        <v>-28671.86</v>
      </c>
      <c r="V30" s="86"/>
      <c r="W30" s="86"/>
      <c r="X30" s="86"/>
      <c r="Y30" s="86"/>
      <c r="Z30" s="86"/>
      <c r="AA30" s="86">
        <v>0</v>
      </c>
      <c r="AB30" s="86"/>
      <c r="AC30" s="86">
        <v>0</v>
      </c>
      <c r="AD30" s="86"/>
      <c r="AE30" s="86"/>
      <c r="AF30" s="86"/>
      <c r="AG30" s="86">
        <v>0</v>
      </c>
      <c r="AH30" s="86"/>
      <c r="AI30" s="86">
        <v>0</v>
      </c>
      <c r="AJ30" s="86"/>
      <c r="AK30" s="86">
        <v>0</v>
      </c>
      <c r="AL30" s="86"/>
      <c r="AM30" s="86">
        <v>0</v>
      </c>
      <c r="AN30" s="86"/>
      <c r="AO30" s="86">
        <v>0</v>
      </c>
      <c r="AP30" s="86"/>
      <c r="AQ30" s="86">
        <v>0</v>
      </c>
      <c r="AR30" s="86"/>
      <c r="AS30" s="86">
        <f t="shared" si="1"/>
        <v>0</v>
      </c>
    </row>
    <row r="31" spans="1:45">
      <c r="A31" s="83" t="s">
        <v>490</v>
      </c>
      <c r="B31" s="83"/>
      <c r="C31" s="85"/>
      <c r="D31" s="85"/>
      <c r="E31" s="85"/>
      <c r="F31" s="83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>
        <v>26120.07</v>
      </c>
      <c r="T31" s="86"/>
      <c r="U31" s="86">
        <v>-26120.07</v>
      </c>
      <c r="V31" s="86"/>
      <c r="W31" s="86"/>
      <c r="X31" s="86"/>
      <c r="Y31" s="86"/>
      <c r="Z31" s="86"/>
      <c r="AA31" s="86">
        <v>0</v>
      </c>
      <c r="AB31" s="86"/>
      <c r="AC31" s="86">
        <v>0</v>
      </c>
      <c r="AD31" s="86"/>
      <c r="AE31" s="86"/>
      <c r="AF31" s="86"/>
      <c r="AG31" s="86">
        <v>0</v>
      </c>
      <c r="AH31" s="86"/>
      <c r="AI31" s="86">
        <v>0</v>
      </c>
      <c r="AJ31" s="86"/>
      <c r="AK31" s="86">
        <v>0</v>
      </c>
      <c r="AL31" s="86"/>
      <c r="AM31" s="86">
        <v>0</v>
      </c>
      <c r="AN31" s="86"/>
      <c r="AO31" s="86">
        <v>0</v>
      </c>
      <c r="AP31" s="86"/>
      <c r="AQ31" s="86">
        <v>0</v>
      </c>
      <c r="AR31" s="86"/>
      <c r="AS31" s="86">
        <f t="shared" si="1"/>
        <v>0</v>
      </c>
    </row>
    <row r="32" spans="1:45">
      <c r="A32" s="83" t="s">
        <v>490</v>
      </c>
      <c r="B32" s="83"/>
      <c r="C32" s="85"/>
      <c r="D32" s="85"/>
      <c r="E32" s="85"/>
      <c r="F32" s="83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>
        <v>24767.55</v>
      </c>
      <c r="T32" s="86"/>
      <c r="U32" s="86">
        <v>-24767.55</v>
      </c>
      <c r="V32" s="86"/>
      <c r="W32" s="86"/>
      <c r="X32" s="86"/>
      <c r="Y32" s="86"/>
      <c r="Z32" s="86"/>
      <c r="AA32" s="86">
        <v>0</v>
      </c>
      <c r="AB32" s="86"/>
      <c r="AC32" s="86">
        <v>0</v>
      </c>
      <c r="AD32" s="86"/>
      <c r="AE32" s="86"/>
      <c r="AF32" s="86"/>
      <c r="AG32" s="86">
        <v>0</v>
      </c>
      <c r="AH32" s="86"/>
      <c r="AI32" s="86">
        <v>0</v>
      </c>
      <c r="AJ32" s="86"/>
      <c r="AK32" s="86">
        <v>0</v>
      </c>
      <c r="AL32" s="86"/>
      <c r="AM32" s="86">
        <v>0</v>
      </c>
      <c r="AN32" s="86"/>
      <c r="AO32" s="86">
        <v>0</v>
      </c>
      <c r="AP32" s="86"/>
      <c r="AQ32" s="86">
        <v>0</v>
      </c>
      <c r="AR32" s="86"/>
      <c r="AS32" s="86">
        <f t="shared" si="1"/>
        <v>0</v>
      </c>
    </row>
    <row r="33" spans="1:45">
      <c r="A33" s="83" t="s">
        <v>494</v>
      </c>
      <c r="B33" s="83"/>
      <c r="C33" s="85"/>
      <c r="D33" s="85"/>
      <c r="E33" s="85"/>
      <c r="F33" s="83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>
        <v>327.02</v>
      </c>
      <c r="T33" s="86"/>
      <c r="U33" s="86"/>
      <c r="V33" s="86"/>
      <c r="W33" s="86"/>
      <c r="X33" s="86"/>
      <c r="Y33" s="86"/>
      <c r="Z33" s="86"/>
      <c r="AA33" s="86">
        <v>0</v>
      </c>
      <c r="AB33" s="86"/>
      <c r="AC33" s="86">
        <v>0</v>
      </c>
      <c r="AD33" s="86"/>
      <c r="AE33" s="86"/>
      <c r="AF33" s="86"/>
      <c r="AG33" s="86">
        <v>0</v>
      </c>
      <c r="AH33" s="86"/>
      <c r="AI33" s="86">
        <v>0</v>
      </c>
      <c r="AJ33" s="86"/>
      <c r="AK33" s="86">
        <v>0</v>
      </c>
      <c r="AL33" s="86"/>
      <c r="AM33" s="86">
        <v>0</v>
      </c>
      <c r="AN33" s="86"/>
      <c r="AO33" s="86">
        <v>0</v>
      </c>
      <c r="AP33" s="86"/>
      <c r="AQ33" s="86">
        <v>0</v>
      </c>
      <c r="AR33" s="86"/>
      <c r="AS33" s="86">
        <f t="shared" si="1"/>
        <v>327.02</v>
      </c>
    </row>
    <row r="34" spans="1:45">
      <c r="A34" s="83" t="s">
        <v>495</v>
      </c>
      <c r="B34" s="83"/>
      <c r="C34" s="85"/>
      <c r="D34" s="85"/>
      <c r="E34" s="85"/>
      <c r="F34" s="83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>
        <v>17664.080000000002</v>
      </c>
      <c r="T34" s="86"/>
      <c r="U34" s="86"/>
      <c r="V34" s="86"/>
      <c r="W34" s="86"/>
      <c r="X34" s="86"/>
      <c r="Y34" s="86"/>
      <c r="Z34" s="86"/>
      <c r="AA34" s="86">
        <v>0</v>
      </c>
      <c r="AB34" s="86"/>
      <c r="AC34" s="86">
        <v>0</v>
      </c>
      <c r="AD34" s="86"/>
      <c r="AE34" s="86"/>
      <c r="AF34" s="86"/>
      <c r="AG34" s="86">
        <v>0</v>
      </c>
      <c r="AH34" s="86"/>
      <c r="AI34" s="86">
        <v>0</v>
      </c>
      <c r="AJ34" s="86"/>
      <c r="AK34" s="86">
        <v>0</v>
      </c>
      <c r="AL34" s="86"/>
      <c r="AM34" s="86">
        <v>0</v>
      </c>
      <c r="AN34" s="86"/>
      <c r="AO34" s="86">
        <v>0</v>
      </c>
      <c r="AP34" s="86"/>
      <c r="AQ34" s="86">
        <v>0</v>
      </c>
      <c r="AR34" s="86"/>
      <c r="AS34" s="86">
        <f t="shared" si="1"/>
        <v>17664.080000000002</v>
      </c>
    </row>
    <row r="35" spans="1:45">
      <c r="A35" s="83" t="s">
        <v>570</v>
      </c>
      <c r="B35" s="83"/>
      <c r="C35" s="85"/>
      <c r="D35" s="85"/>
      <c r="E35" s="85"/>
      <c r="F35" s="83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>
        <v>278580</v>
      </c>
      <c r="W35" s="86">
        <f>104297+7168</f>
        <v>111465</v>
      </c>
      <c r="X35" s="86">
        <f>129539+10985+119362+5289+20808+49370+34500</f>
        <v>369853</v>
      </c>
      <c r="Y35" s="86">
        <v>186919</v>
      </c>
      <c r="Z35" s="86"/>
      <c r="AA35" s="86">
        <f>3446+2561.2+1832+7160+7160+1627.5+1250+2280+1624.25+3446+269.39+925</f>
        <v>33581.339999999997</v>
      </c>
      <c r="AB35" s="86"/>
      <c r="AC35" s="86">
        <f>30050+300+300</f>
        <v>30650</v>
      </c>
      <c r="AD35" s="86"/>
      <c r="AE35" s="86"/>
      <c r="AF35" s="86"/>
      <c r="AG35" s="86">
        <f>900+750+324436+1415+750+750+3685+3680</f>
        <v>336366</v>
      </c>
      <c r="AH35" s="86"/>
      <c r="AI35" s="86">
        <f>750+3685+2700</f>
        <v>7135</v>
      </c>
      <c r="AJ35" s="86"/>
      <c r="AK35" s="86">
        <v>0</v>
      </c>
      <c r="AL35" s="86"/>
      <c r="AM35" s="86">
        <v>0</v>
      </c>
      <c r="AN35" s="86"/>
      <c r="AO35" s="86">
        <v>0</v>
      </c>
      <c r="AP35" s="86"/>
      <c r="AQ35" s="86">
        <v>0</v>
      </c>
      <c r="AR35" s="86"/>
      <c r="AS35" s="86">
        <f t="shared" si="1"/>
        <v>1354549.3399999999</v>
      </c>
    </row>
    <row r="36" spans="1:45">
      <c r="A36" s="83" t="s">
        <v>932</v>
      </c>
      <c r="B36" s="83"/>
      <c r="C36" s="85"/>
      <c r="D36" s="85"/>
      <c r="E36" s="85"/>
      <c r="F36" s="83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>
        <f>47620.5+45905</f>
        <v>93525.5</v>
      </c>
      <c r="X36" s="86">
        <f>54196.5+127328+683259</f>
        <v>864783.5</v>
      </c>
      <c r="Y36" s="86">
        <f>33146+8777+5423+2644+82875+159161+9000+63485</f>
        <v>364511</v>
      </c>
      <c r="Z36" s="86"/>
      <c r="AA36" s="86">
        <v>159160.5</v>
      </c>
      <c r="AB36" s="86"/>
      <c r="AC36" s="86">
        <f>32319.35+47656.79+45840.46</f>
        <v>125816.6</v>
      </c>
      <c r="AD36" s="86"/>
      <c r="AE36" s="86"/>
      <c r="AF36" s="86"/>
      <c r="AG36" s="86">
        <f>20139.65+3526.51+6000+22018.36+32599.83+7781.75+27313.69+26390.01+2663.19</f>
        <v>148432.99000000002</v>
      </c>
      <c r="AH36" s="86"/>
      <c r="AI36" s="86">
        <v>8529.09</v>
      </c>
      <c r="AJ36" s="86"/>
      <c r="AK36" s="86">
        <v>0</v>
      </c>
      <c r="AL36" s="86"/>
      <c r="AM36" s="86">
        <v>112179.6</v>
      </c>
      <c r="AN36" s="86"/>
      <c r="AO36" s="86">
        <v>0</v>
      </c>
      <c r="AP36" s="86"/>
      <c r="AQ36" s="86">
        <v>0</v>
      </c>
      <c r="AR36" s="86"/>
      <c r="AS36" s="86">
        <f t="shared" si="1"/>
        <v>1876938.7800000003</v>
      </c>
    </row>
    <row r="37" spans="1:45">
      <c r="A37" s="83" t="s">
        <v>506</v>
      </c>
      <c r="B37" s="89"/>
      <c r="C37" s="85">
        <v>1000000</v>
      </c>
      <c r="D37" s="85"/>
      <c r="E37" s="85">
        <v>1192000</v>
      </c>
      <c r="F37" s="89"/>
      <c r="G37" s="96">
        <v>0</v>
      </c>
      <c r="H37" s="86"/>
      <c r="I37" s="96">
        <v>0</v>
      </c>
      <c r="J37" s="86"/>
      <c r="K37" s="96">
        <v>0</v>
      </c>
      <c r="L37" s="86"/>
      <c r="M37" s="96">
        <v>0</v>
      </c>
      <c r="N37" s="86"/>
      <c r="O37" s="96">
        <v>0</v>
      </c>
      <c r="P37" s="86"/>
      <c r="Q37" s="96">
        <v>0</v>
      </c>
      <c r="R37" s="86"/>
      <c r="S37" s="96">
        <v>0</v>
      </c>
      <c r="T37" s="86"/>
      <c r="U37" s="96">
        <v>0</v>
      </c>
      <c r="V37" s="90"/>
      <c r="W37" s="90">
        <v>463226.2</v>
      </c>
      <c r="X37" s="90"/>
      <c r="Y37" s="90"/>
      <c r="Z37" s="86"/>
      <c r="AA37" s="90"/>
      <c r="AB37" s="86"/>
      <c r="AC37" s="90"/>
      <c r="AD37" s="86"/>
      <c r="AE37" s="86"/>
      <c r="AF37" s="86"/>
      <c r="AG37" s="90"/>
      <c r="AH37" s="90"/>
      <c r="AI37" s="90"/>
      <c r="AJ37" s="86"/>
      <c r="AK37" s="90"/>
      <c r="AL37" s="90"/>
      <c r="AM37" s="90"/>
      <c r="AN37" s="90"/>
      <c r="AO37" s="90"/>
      <c r="AP37" s="90"/>
      <c r="AQ37" s="90"/>
      <c r="AR37" s="86"/>
      <c r="AS37" s="86">
        <f t="shared" si="1"/>
        <v>463226.2</v>
      </c>
    </row>
    <row r="38" spans="1:45">
      <c r="A38" s="83" t="s">
        <v>545</v>
      </c>
      <c r="B38" s="83"/>
      <c r="C38" s="85">
        <v>500000</v>
      </c>
      <c r="D38" s="85"/>
      <c r="E38" s="85">
        <v>500000</v>
      </c>
      <c r="F38" s="83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>
        <f>150000+80000</f>
        <v>230000</v>
      </c>
      <c r="X38" s="86">
        <f>100000+125000+39007.08</f>
        <v>264007.08</v>
      </c>
      <c r="Y38" s="86">
        <f>150000+100000</f>
        <v>250000</v>
      </c>
      <c r="Z38" s="86"/>
      <c r="AA38" s="86">
        <f>90000+175000</f>
        <v>265000</v>
      </c>
      <c r="AB38" s="86"/>
      <c r="AC38" s="86">
        <v>0</v>
      </c>
      <c r="AD38" s="86"/>
      <c r="AE38" s="86"/>
      <c r="AF38" s="86"/>
      <c r="AG38" s="86">
        <v>0</v>
      </c>
      <c r="AH38" s="86"/>
      <c r="AI38" s="86">
        <v>0</v>
      </c>
      <c r="AJ38" s="86"/>
      <c r="AK38" s="86">
        <v>0</v>
      </c>
      <c r="AL38" s="86"/>
      <c r="AM38" s="86">
        <v>0</v>
      </c>
      <c r="AN38" s="86"/>
      <c r="AO38" s="86">
        <v>0</v>
      </c>
      <c r="AP38" s="86"/>
      <c r="AQ38" s="86">
        <v>5489.31</v>
      </c>
      <c r="AR38" s="86"/>
      <c r="AS38" s="86">
        <f t="shared" si="1"/>
        <v>1014496.3900000001</v>
      </c>
    </row>
    <row r="39" spans="1:45">
      <c r="A39" s="92" t="s">
        <v>531</v>
      </c>
      <c r="B39" s="89"/>
      <c r="C39" s="94">
        <f>SUM(C22:C38)</f>
        <v>16447531</v>
      </c>
      <c r="D39" s="85"/>
      <c r="E39" s="94">
        <f>SUM(E22:E38)</f>
        <v>16639531</v>
      </c>
      <c r="F39" s="89"/>
      <c r="G39" s="94">
        <f>SUM(G22:G38)</f>
        <v>0</v>
      </c>
      <c r="H39" s="86"/>
      <c r="I39" s="94">
        <f>SUM(I22:I38)</f>
        <v>0</v>
      </c>
      <c r="J39" s="86"/>
      <c r="K39" s="94">
        <f>SUM(K22:K38)</f>
        <v>0</v>
      </c>
      <c r="L39" s="86"/>
      <c r="M39" s="94">
        <f>SUM(M22:M38)</f>
        <v>0</v>
      </c>
      <c r="N39" s="86"/>
      <c r="O39" s="94">
        <f>SUM(O22:O38)</f>
        <v>0</v>
      </c>
      <c r="P39" s="86"/>
      <c r="Q39" s="94">
        <f>SUM(Q22:Q38)</f>
        <v>966786.41</v>
      </c>
      <c r="R39" s="86"/>
      <c r="S39" s="94">
        <f>SUM(S22:S38)</f>
        <v>256779.48999999993</v>
      </c>
      <c r="T39" s="86"/>
      <c r="U39" s="94">
        <f>SUM(U22:U38)</f>
        <v>-432927.23</v>
      </c>
      <c r="V39" s="94">
        <f>SUM(V22:V38)</f>
        <v>1119216.9900000002</v>
      </c>
      <c r="W39" s="94">
        <f>SUM(W22:W38)</f>
        <v>1564738.1600000001</v>
      </c>
      <c r="X39" s="94">
        <f>SUM(X22:X38)</f>
        <v>3742747.02</v>
      </c>
      <c r="Y39" s="94">
        <f>SUM(Y22:Y38)</f>
        <v>1639068</v>
      </c>
      <c r="Z39" s="86"/>
      <c r="AA39" s="94">
        <f>SUM(AA22:AA38)</f>
        <v>2397592.2900000005</v>
      </c>
      <c r="AB39" s="86"/>
      <c r="AC39" s="94">
        <f>SUM(AC22:AC38)</f>
        <v>2139491</v>
      </c>
      <c r="AD39" s="86"/>
      <c r="AE39" s="86"/>
      <c r="AF39" s="86"/>
      <c r="AG39" s="94">
        <f>SUM(AG22:AG38)</f>
        <v>1346843.0799999998</v>
      </c>
      <c r="AH39" s="90"/>
      <c r="AI39" s="94">
        <f>SUM(AI22:AI38)</f>
        <v>1992348.5</v>
      </c>
      <c r="AJ39" s="86"/>
      <c r="AK39" s="94">
        <f>SUM(AK22:AK38)</f>
        <v>67904.56</v>
      </c>
      <c r="AL39" s="90"/>
      <c r="AM39" s="94">
        <f>SUM(AM22:AM38)</f>
        <v>1233270.8700000001</v>
      </c>
      <c r="AN39" s="90"/>
      <c r="AO39" s="94">
        <f>SUM(AO22:AO38)</f>
        <v>73206</v>
      </c>
      <c r="AP39" s="90"/>
      <c r="AQ39" s="94">
        <f>SUM(AQ22:AQ38)</f>
        <v>1533103.96</v>
      </c>
      <c r="AR39" s="86"/>
      <c r="AS39" s="94">
        <f>SUM(AS22:AS38)</f>
        <v>19640169.100000001</v>
      </c>
    </row>
    <row r="40" spans="1:45">
      <c r="A40" s="89"/>
      <c r="B40" s="89"/>
      <c r="C40" s="85"/>
      <c r="D40" s="85"/>
      <c r="E40" s="85"/>
      <c r="F40" s="89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</row>
    <row r="41" spans="1:45">
      <c r="A41" s="89" t="s">
        <v>442</v>
      </c>
      <c r="B41" s="89"/>
      <c r="C41" s="85"/>
      <c r="D41" s="85"/>
      <c r="E41" s="85"/>
      <c r="F41" s="89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</row>
    <row r="42" spans="1:45">
      <c r="A42" s="100" t="s">
        <v>524</v>
      </c>
      <c r="B42" s="101">
        <v>36276</v>
      </c>
      <c r="C42" s="102">
        <f>1280000*3</f>
        <v>3840000</v>
      </c>
      <c r="D42" s="102"/>
      <c r="E42" s="102">
        <f>1280000*3</f>
        <v>3840000</v>
      </c>
      <c r="F42" s="100"/>
      <c r="G42" s="97"/>
      <c r="H42" s="97"/>
      <c r="I42" s="97"/>
      <c r="J42" s="97"/>
      <c r="K42" s="97">
        <f>5120000*0.5</f>
        <v>2560000</v>
      </c>
      <c r="L42" s="97"/>
      <c r="M42" s="97"/>
      <c r="N42" s="97"/>
      <c r="O42" s="97">
        <f>5120000*0.4</f>
        <v>2048000</v>
      </c>
      <c r="P42" s="97"/>
      <c r="Q42" s="97"/>
      <c r="R42" s="97"/>
      <c r="S42" s="97"/>
      <c r="T42" s="97"/>
      <c r="U42" s="97">
        <f>-1280000*0.9</f>
        <v>-1152000</v>
      </c>
      <c r="V42" s="97"/>
      <c r="W42" s="97"/>
      <c r="X42" s="97"/>
      <c r="Y42" s="97"/>
      <c r="Z42" s="97"/>
      <c r="AA42" s="97">
        <v>611029</v>
      </c>
      <c r="AB42" s="97"/>
      <c r="AC42" s="97">
        <v>0</v>
      </c>
      <c r="AD42" s="97"/>
      <c r="AE42" s="97"/>
      <c r="AF42" s="97"/>
      <c r="AG42" s="97">
        <v>-170181</v>
      </c>
      <c r="AH42" s="97"/>
      <c r="AI42" s="97">
        <v>0</v>
      </c>
      <c r="AJ42" s="97"/>
      <c r="AK42" s="97">
        <v>0</v>
      </c>
      <c r="AL42" s="97"/>
      <c r="AM42" s="97">
        <v>0</v>
      </c>
      <c r="AN42" s="97"/>
      <c r="AO42" s="97">
        <v>0</v>
      </c>
      <c r="AP42" s="97"/>
      <c r="AQ42" s="97">
        <v>0</v>
      </c>
      <c r="AR42" s="97"/>
      <c r="AS42" s="97">
        <f>SUM(G42:AR42)</f>
        <v>3896848</v>
      </c>
    </row>
    <row r="43" spans="1:45">
      <c r="A43" s="100" t="s">
        <v>525</v>
      </c>
      <c r="B43" s="101"/>
      <c r="C43" s="102">
        <f>116160*3</f>
        <v>348480</v>
      </c>
      <c r="D43" s="102"/>
      <c r="E43" s="102">
        <f>116160*3</f>
        <v>348480</v>
      </c>
      <c r="F43" s="100"/>
      <c r="G43" s="97"/>
      <c r="H43" s="97"/>
      <c r="I43" s="97"/>
      <c r="J43" s="97"/>
      <c r="K43" s="97">
        <f>696960*0.5</f>
        <v>348480</v>
      </c>
      <c r="L43" s="97"/>
      <c r="M43" s="97"/>
      <c r="N43" s="97"/>
      <c r="O43" s="97">
        <f>696960*0.4</f>
        <v>278784</v>
      </c>
      <c r="P43" s="97"/>
      <c r="Q43" s="97"/>
      <c r="R43" s="97"/>
      <c r="S43" s="97"/>
      <c r="T43" s="97"/>
      <c r="U43" s="97">
        <f>-348480*0.9</f>
        <v>-313632</v>
      </c>
      <c r="V43" s="97"/>
      <c r="W43" s="97"/>
      <c r="X43" s="97"/>
      <c r="Y43" s="97"/>
      <c r="Z43" s="97"/>
      <c r="AA43" s="97">
        <v>0</v>
      </c>
      <c r="AB43" s="97"/>
      <c r="AC43" s="97">
        <v>0</v>
      </c>
      <c r="AD43" s="97"/>
      <c r="AE43" s="97"/>
      <c r="AF43" s="97"/>
      <c r="AG43" s="97">
        <v>0</v>
      </c>
      <c r="AH43" s="97"/>
      <c r="AI43" s="97">
        <v>0</v>
      </c>
      <c r="AJ43" s="97"/>
      <c r="AK43" s="97">
        <v>0</v>
      </c>
      <c r="AL43" s="97"/>
      <c r="AM43" s="97">
        <v>0</v>
      </c>
      <c r="AN43" s="97"/>
      <c r="AO43" s="97">
        <v>0</v>
      </c>
      <c r="AP43" s="97"/>
      <c r="AQ43" s="97">
        <v>0</v>
      </c>
      <c r="AR43" s="97"/>
      <c r="AS43" s="97">
        <f>SUM(G43:AR43)</f>
        <v>313632</v>
      </c>
    </row>
    <row r="44" spans="1:45">
      <c r="A44" s="103" t="s">
        <v>526</v>
      </c>
      <c r="C44" s="102">
        <f>73333*3</f>
        <v>219999</v>
      </c>
      <c r="D44" s="102"/>
      <c r="E44" s="102">
        <f>73333*3</f>
        <v>219999</v>
      </c>
      <c r="G44" s="97"/>
      <c r="H44" s="97"/>
      <c r="I44" s="97"/>
      <c r="J44" s="97"/>
      <c r="K44" s="97">
        <f>293332*0.5</f>
        <v>146666</v>
      </c>
      <c r="L44" s="97"/>
      <c r="M44" s="97"/>
      <c r="N44" s="97"/>
      <c r="O44" s="97">
        <f>293332*0.4</f>
        <v>117332.8</v>
      </c>
      <c r="P44" s="97"/>
      <c r="Q44" s="97"/>
      <c r="R44" s="97"/>
      <c r="S44" s="97"/>
      <c r="T44" s="97"/>
      <c r="U44" s="97">
        <f>-73333*0.9</f>
        <v>-65999.7</v>
      </c>
      <c r="V44" s="97"/>
      <c r="W44" s="97"/>
      <c r="X44" s="97"/>
      <c r="Y44" s="97"/>
      <c r="Z44" s="97"/>
      <c r="AA44" s="97">
        <v>0</v>
      </c>
      <c r="AB44" s="97"/>
      <c r="AC44" s="97">
        <v>0</v>
      </c>
      <c r="AD44" s="97"/>
      <c r="AE44" s="97"/>
      <c r="AF44" s="97"/>
      <c r="AG44" s="97">
        <v>0</v>
      </c>
      <c r="AH44" s="97"/>
      <c r="AI44" s="97">
        <v>0</v>
      </c>
      <c r="AJ44" s="97"/>
      <c r="AK44" s="97">
        <v>0</v>
      </c>
      <c r="AL44" s="97"/>
      <c r="AM44" s="97">
        <v>0</v>
      </c>
      <c r="AN44" s="97"/>
      <c r="AO44" s="97">
        <v>0</v>
      </c>
      <c r="AP44" s="97"/>
      <c r="AQ44" s="97">
        <v>0</v>
      </c>
      <c r="AR44" s="97"/>
      <c r="AS44" s="97">
        <f>SUM(G44:AR44)</f>
        <v>197999.09999999998</v>
      </c>
    </row>
    <row r="45" spans="1:45">
      <c r="A45" s="104" t="s">
        <v>527</v>
      </c>
      <c r="C45" s="124"/>
      <c r="D45" s="102"/>
      <c r="E45" s="102"/>
      <c r="G45" s="105"/>
      <c r="H45" s="106"/>
      <c r="I45" s="105"/>
      <c r="J45" s="106"/>
      <c r="K45" s="105"/>
      <c r="L45" s="106"/>
      <c r="M45" s="105"/>
      <c r="N45" s="106"/>
      <c r="O45" s="105"/>
      <c r="P45" s="106"/>
      <c r="Q45" s="105"/>
      <c r="R45" s="106"/>
      <c r="S45" s="105"/>
      <c r="T45" s="106"/>
      <c r="U45" s="105"/>
      <c r="V45" s="106"/>
      <c r="W45" s="106"/>
      <c r="X45" s="106"/>
      <c r="Y45" s="106"/>
      <c r="Z45" s="106"/>
      <c r="AA45" s="106">
        <v>0</v>
      </c>
      <c r="AB45" s="106"/>
      <c r="AC45" s="106">
        <v>0</v>
      </c>
      <c r="AD45" s="106"/>
      <c r="AE45" s="106"/>
      <c r="AF45" s="106"/>
      <c r="AG45" s="106">
        <v>0</v>
      </c>
      <c r="AH45" s="106"/>
      <c r="AI45" s="106">
        <v>0</v>
      </c>
      <c r="AJ45" s="106"/>
      <c r="AK45" s="106">
        <v>0</v>
      </c>
      <c r="AL45" s="106"/>
      <c r="AM45" s="106">
        <v>0</v>
      </c>
      <c r="AN45" s="106"/>
      <c r="AO45" s="106">
        <v>0</v>
      </c>
      <c r="AP45" s="106"/>
      <c r="AQ45" s="106">
        <v>0</v>
      </c>
      <c r="AR45" s="106"/>
      <c r="AS45" s="97">
        <f>SUM(G45:AR45)</f>
        <v>0</v>
      </c>
    </row>
    <row r="46" spans="1:45">
      <c r="A46" s="92" t="s">
        <v>532</v>
      </c>
      <c r="C46" s="107">
        <f>SUM(C42:C45)</f>
        <v>4408479</v>
      </c>
      <c r="D46" s="119"/>
      <c r="E46" s="107">
        <f>SUM(E42:E45)</f>
        <v>4408479</v>
      </c>
      <c r="G46" s="108">
        <f>SUM(G42:G45)</f>
        <v>0</v>
      </c>
      <c r="H46" s="97"/>
      <c r="I46" s="108">
        <f>SUM(I42:I45)</f>
        <v>0</v>
      </c>
      <c r="J46" s="97"/>
      <c r="K46" s="108">
        <f>SUM(K42:K45)</f>
        <v>3055146</v>
      </c>
      <c r="L46" s="97"/>
      <c r="M46" s="108">
        <f>SUM(M42:M45)</f>
        <v>0</v>
      </c>
      <c r="N46" s="97"/>
      <c r="O46" s="108">
        <f>SUM(O42:O45)</f>
        <v>2444116.7999999998</v>
      </c>
      <c r="P46" s="97"/>
      <c r="Q46" s="108">
        <f>SUM(Q42:Q45)</f>
        <v>0</v>
      </c>
      <c r="R46" s="106"/>
      <c r="S46" s="108">
        <f>SUM(S42:S45)</f>
        <v>0</v>
      </c>
      <c r="T46" s="106"/>
      <c r="U46" s="108">
        <f>SUM(U42:U45)</f>
        <v>-1531631.7</v>
      </c>
      <c r="V46" s="108">
        <f>SUM(V42:V45)</f>
        <v>0</v>
      </c>
      <c r="W46" s="108">
        <f>SUM(W42:W45)</f>
        <v>0</v>
      </c>
      <c r="X46" s="108">
        <f>SUM(X42:X45)</f>
        <v>0</v>
      </c>
      <c r="Y46" s="108">
        <f>SUM(Y42:Y45)</f>
        <v>0</v>
      </c>
      <c r="Z46" s="97"/>
      <c r="AA46" s="108">
        <f>SUM(AA42:AA45)</f>
        <v>611029</v>
      </c>
      <c r="AB46" s="97"/>
      <c r="AC46" s="108">
        <f>SUM(AC42:AC45)</f>
        <v>0</v>
      </c>
      <c r="AD46" s="97"/>
      <c r="AE46" s="97"/>
      <c r="AF46" s="97"/>
      <c r="AG46" s="108">
        <f>SUM(AG42:AG45)</f>
        <v>-170181</v>
      </c>
      <c r="AH46" s="426"/>
      <c r="AI46" s="108">
        <f>SUM(AI42:AI45)</f>
        <v>0</v>
      </c>
      <c r="AJ46" s="97"/>
      <c r="AK46" s="108">
        <f>SUM(AK42:AK45)</f>
        <v>0</v>
      </c>
      <c r="AL46" s="426"/>
      <c r="AM46" s="108">
        <f>SUM(AM42:AM45)</f>
        <v>0</v>
      </c>
      <c r="AN46" s="426"/>
      <c r="AO46" s="108">
        <f>SUM(AO42:AO45)</f>
        <v>0</v>
      </c>
      <c r="AP46" s="426"/>
      <c r="AQ46" s="108">
        <f>SUM(AQ42:AQ45)</f>
        <v>0</v>
      </c>
      <c r="AR46" s="97"/>
      <c r="AS46" s="108">
        <f>SUM(AS42:AS45)</f>
        <v>4408479.0999999996</v>
      </c>
    </row>
    <row r="47" spans="1:45">
      <c r="A47" s="89"/>
      <c r="B47" s="89"/>
      <c r="C47" s="85"/>
      <c r="D47" s="85"/>
      <c r="E47" s="85"/>
      <c r="F47" s="89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</row>
    <row r="48" spans="1:45">
      <c r="A48" s="89" t="s">
        <v>542</v>
      </c>
      <c r="B48" s="95"/>
      <c r="C48" s="85">
        <v>1100000</v>
      </c>
      <c r="D48" s="85"/>
      <c r="E48" s="85">
        <v>0</v>
      </c>
      <c r="F48" s="89"/>
      <c r="G48" s="96">
        <v>0</v>
      </c>
      <c r="H48" s="86"/>
      <c r="I48" s="96">
        <v>0</v>
      </c>
      <c r="J48" s="86"/>
      <c r="K48" s="96">
        <v>0</v>
      </c>
      <c r="L48" s="86"/>
      <c r="M48" s="96">
        <v>0</v>
      </c>
      <c r="N48" s="86"/>
      <c r="O48" s="96">
        <v>0</v>
      </c>
      <c r="P48" s="86"/>
      <c r="Q48" s="96">
        <v>0</v>
      </c>
      <c r="R48" s="86"/>
      <c r="S48" s="96">
        <v>0</v>
      </c>
      <c r="T48" s="86"/>
      <c r="U48" s="96">
        <v>0</v>
      </c>
      <c r="V48" s="96">
        <v>0</v>
      </c>
      <c r="W48" s="90"/>
      <c r="X48" s="90"/>
      <c r="Y48" s="90"/>
      <c r="Z48" s="86"/>
      <c r="AA48" s="90">
        <v>0</v>
      </c>
      <c r="AB48" s="86"/>
      <c r="AC48" s="90">
        <v>0</v>
      </c>
      <c r="AD48" s="86"/>
      <c r="AE48" s="86"/>
      <c r="AF48" s="86"/>
      <c r="AG48" s="90">
        <v>0</v>
      </c>
      <c r="AH48" s="90"/>
      <c r="AI48" s="90">
        <v>0</v>
      </c>
      <c r="AJ48" s="86"/>
      <c r="AK48" s="90">
        <v>0</v>
      </c>
      <c r="AL48" s="90"/>
      <c r="AM48" s="90">
        <v>0</v>
      </c>
      <c r="AN48" s="90"/>
      <c r="AO48" s="90">
        <v>0</v>
      </c>
      <c r="AP48" s="90"/>
      <c r="AQ48" s="90">
        <v>0</v>
      </c>
      <c r="AR48" s="86"/>
      <c r="AS48" s="96">
        <f>SUM(G48:AR48)</f>
        <v>0</v>
      </c>
    </row>
    <row r="49" spans="1:51">
      <c r="A49" s="92" t="s">
        <v>529</v>
      </c>
      <c r="B49" s="83"/>
      <c r="C49" s="93">
        <f>C48+C46+C39+C19</f>
        <v>47460996.480000004</v>
      </c>
      <c r="D49" s="85"/>
      <c r="E49" s="93">
        <f>E48+E46+E39+E19</f>
        <v>46826430</v>
      </c>
      <c r="F49" s="83"/>
      <c r="G49" s="93">
        <f>G48+G46+G39+G19</f>
        <v>21150000</v>
      </c>
      <c r="H49" s="86"/>
      <c r="I49" s="93">
        <f>I48+I46+I39+I19</f>
        <v>4263906.4800000004</v>
      </c>
      <c r="J49" s="86"/>
      <c r="K49" s="93">
        <f>K48+K46+K39+K19</f>
        <v>3055146</v>
      </c>
      <c r="L49" s="97"/>
      <c r="M49" s="93">
        <f>M48+M46+M39+M19</f>
        <v>-1200000</v>
      </c>
      <c r="N49" s="97"/>
      <c r="O49" s="93">
        <f>O48+O46+O39+O19</f>
        <v>2444116.7999999998</v>
      </c>
      <c r="P49" s="97"/>
      <c r="Q49" s="93">
        <f>Q48+Q46+Q39+Q19</f>
        <v>2257866.41</v>
      </c>
      <c r="R49" s="97"/>
      <c r="S49" s="93">
        <f>S48+S46+S39+S19</f>
        <v>530212.8899999999</v>
      </c>
      <c r="T49" s="97"/>
      <c r="U49" s="93">
        <f>U48+U46+U39+U19</f>
        <v>-1964558.93</v>
      </c>
      <c r="V49" s="93">
        <f>V48+V46+V39+V19</f>
        <v>1119216.9900000002</v>
      </c>
      <c r="W49" s="93">
        <f>W48+W46+W39+W19</f>
        <v>1564738.1600000001</v>
      </c>
      <c r="X49" s="93">
        <f>X48+X46+X39+X19</f>
        <v>3742747.02</v>
      </c>
      <c r="Y49" s="93">
        <f>Y48+Y46+Y39+Y19</f>
        <v>1639068</v>
      </c>
      <c r="Z49" s="97"/>
      <c r="AA49" s="93">
        <f>AA48+AA46+AA39+AA19</f>
        <v>3008621.2900000005</v>
      </c>
      <c r="AB49" s="97"/>
      <c r="AC49" s="93">
        <f>AC48+AC46+AC39+AC19</f>
        <v>2139491</v>
      </c>
      <c r="AD49" s="97"/>
      <c r="AE49" s="97"/>
      <c r="AF49" s="97"/>
      <c r="AG49" s="93">
        <f>AG48+AG46+AG39+AG19</f>
        <v>1176662.0799999998</v>
      </c>
      <c r="AH49" s="85"/>
      <c r="AI49" s="93">
        <f>AI48+AI46+AI39+AI19</f>
        <v>1992348.5</v>
      </c>
      <c r="AJ49" s="97"/>
      <c r="AK49" s="93">
        <f>AK48+AK46+AK39+AK19</f>
        <v>67904.56</v>
      </c>
      <c r="AL49" s="85"/>
      <c r="AM49" s="93">
        <f>AM48+AM46+AM39+AM19</f>
        <v>1233270.8700000001</v>
      </c>
      <c r="AN49" s="85"/>
      <c r="AO49" s="93">
        <f>AO48+AO46+AO39+AO19</f>
        <v>73206</v>
      </c>
      <c r="AP49" s="85"/>
      <c r="AQ49" s="93">
        <f>AQ48+AQ46+AQ39+AQ19</f>
        <v>1533103.96</v>
      </c>
      <c r="AR49" s="97"/>
      <c r="AS49" s="93">
        <f>AS48+AS46+AS39+AS19</f>
        <v>49827068.080000006</v>
      </c>
    </row>
    <row r="50" spans="1:51">
      <c r="A50" s="89"/>
      <c r="B50" s="89"/>
      <c r="C50" s="85"/>
      <c r="D50" s="85"/>
      <c r="E50" s="85"/>
      <c r="F50" s="89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</row>
    <row r="51" spans="1:51">
      <c r="A51" s="98" t="s">
        <v>509</v>
      </c>
      <c r="B51" s="89"/>
      <c r="C51" s="85"/>
      <c r="D51" s="85"/>
      <c r="E51" s="85"/>
      <c r="F51" s="89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1"/>
      <c r="AU51" s="91"/>
      <c r="AV51" s="91"/>
      <c r="AW51" s="91"/>
      <c r="AX51" s="91"/>
      <c r="AY51" s="91"/>
    </row>
    <row r="52" spans="1:51">
      <c r="A52" s="83" t="s">
        <v>496</v>
      </c>
      <c r="B52" s="99">
        <v>36251</v>
      </c>
      <c r="C52" s="85">
        <v>4000000</v>
      </c>
      <c r="D52" s="85"/>
      <c r="E52" s="85">
        <v>4000000</v>
      </c>
      <c r="F52" s="83"/>
      <c r="G52" s="86"/>
      <c r="H52" s="86"/>
      <c r="I52" s="86"/>
      <c r="J52" s="86"/>
      <c r="K52" s="86"/>
      <c r="L52" s="86"/>
      <c r="M52" s="86"/>
      <c r="N52" s="86"/>
      <c r="O52" s="86">
        <v>500000</v>
      </c>
      <c r="P52" s="86"/>
      <c r="Q52" s="86">
        <v>500000</v>
      </c>
      <c r="R52" s="86"/>
      <c r="S52" s="86">
        <v>500000</v>
      </c>
      <c r="T52" s="86"/>
      <c r="U52" s="86">
        <v>500000</v>
      </c>
      <c r="V52" s="86">
        <v>500000</v>
      </c>
      <c r="W52" s="86">
        <v>500000</v>
      </c>
      <c r="X52" s="86">
        <v>500000</v>
      </c>
      <c r="Y52" s="86">
        <v>500000</v>
      </c>
      <c r="Z52" s="86"/>
      <c r="AA52" s="86">
        <v>532622</v>
      </c>
      <c r="AB52" s="86"/>
      <c r="AC52" s="86">
        <v>0</v>
      </c>
      <c r="AD52" s="86"/>
      <c r="AE52" s="86"/>
      <c r="AF52" s="86"/>
      <c r="AG52" s="86">
        <v>0</v>
      </c>
      <c r="AH52" s="86"/>
      <c r="AI52" s="86">
        <v>0</v>
      </c>
      <c r="AJ52" s="86">
        <f>SUM(G52:AI52)</f>
        <v>4532622</v>
      </c>
      <c r="AK52" s="86">
        <v>0</v>
      </c>
      <c r="AL52" s="86"/>
      <c r="AM52" s="86">
        <v>400000</v>
      </c>
      <c r="AN52" s="86"/>
      <c r="AO52" s="86">
        <v>0</v>
      </c>
      <c r="AP52" s="86"/>
      <c r="AQ52" s="86">
        <v>0</v>
      </c>
      <c r="AR52" s="86"/>
      <c r="AS52" s="86">
        <f>AK52+AI52+AG52+AC52+AA52+Y52+X52+W52+V52+U52+S52+Q52+AM52+O52+AO52+AO52</f>
        <v>4932622</v>
      </c>
    </row>
    <row r="53" spans="1:51" hidden="1">
      <c r="A53" s="83" t="s">
        <v>497</v>
      </c>
      <c r="B53" s="83"/>
      <c r="C53" s="85"/>
      <c r="D53" s="85"/>
      <c r="E53" s="85"/>
      <c r="F53" s="83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>
        <f>AK53+AI53+AG53+AC53+AA53+Y53+X53+W53+V53+U53+S53+Q53+O53</f>
        <v>0</v>
      </c>
    </row>
    <row r="54" spans="1:51" hidden="1">
      <c r="A54" s="83" t="s">
        <v>498</v>
      </c>
      <c r="B54" s="83"/>
      <c r="C54" s="85"/>
      <c r="D54" s="85"/>
      <c r="E54" s="85"/>
      <c r="F54" s="83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>
        <f>AK54+AI54+AG54+AC54+AA54+Y54+X54+W54+V54+U54+S54+Q54+O54</f>
        <v>0</v>
      </c>
    </row>
    <row r="55" spans="1:51">
      <c r="A55" s="83" t="s">
        <v>499</v>
      </c>
      <c r="B55" s="99">
        <v>36251</v>
      </c>
      <c r="C55" s="85">
        <v>14000000</v>
      </c>
      <c r="D55" s="85"/>
      <c r="E55" s="85">
        <v>14086000</v>
      </c>
      <c r="F55" s="83"/>
      <c r="G55" s="86"/>
      <c r="H55" s="86"/>
      <c r="I55" s="86"/>
      <c r="J55" s="86"/>
      <c r="K55" s="86"/>
      <c r="L55" s="86"/>
      <c r="M55" s="86">
        <v>2850000</v>
      </c>
      <c r="N55" s="86"/>
      <c r="O55" s="86">
        <f>1360000-M55/2</f>
        <v>-65000</v>
      </c>
      <c r="P55" s="86"/>
      <c r="Q55" s="86">
        <v>816000</v>
      </c>
      <c r="R55" s="86"/>
      <c r="S55" s="86">
        <v>816000</v>
      </c>
      <c r="T55" s="86"/>
      <c r="U55" s="86">
        <v>816000</v>
      </c>
      <c r="V55" s="86">
        <v>816000</v>
      </c>
      <c r="W55" s="86">
        <v>816000</v>
      </c>
      <c r="X55" s="86">
        <v>816000</v>
      </c>
      <c r="Y55" s="86">
        <f>816000+816000</f>
        <v>1632000</v>
      </c>
      <c r="Z55" s="86"/>
      <c r="AA55" s="86">
        <v>0</v>
      </c>
      <c r="AB55" s="86"/>
      <c r="AC55" s="86">
        <v>816000</v>
      </c>
      <c r="AD55" s="86"/>
      <c r="AE55" s="86"/>
      <c r="AF55" s="86"/>
      <c r="AG55" s="86">
        <v>816000</v>
      </c>
      <c r="AH55" s="86"/>
      <c r="AI55" s="86">
        <v>3400000</v>
      </c>
      <c r="AJ55" s="86"/>
      <c r="AK55" s="86">
        <v>680000</v>
      </c>
      <c r="AL55" s="86"/>
      <c r="AM55" s="86">
        <v>0</v>
      </c>
      <c r="AN55" s="86"/>
      <c r="AO55" s="86">
        <v>0</v>
      </c>
      <c r="AP55" s="86"/>
      <c r="AQ55" s="86">
        <v>0</v>
      </c>
      <c r="AR55" s="86"/>
      <c r="AS55" s="86">
        <f>AK55+AI55+AG55+AC55+AA55+Y55+X55+W55+V55+U55+S55+Q55+O55+M55+AM55+AO55</f>
        <v>15025000</v>
      </c>
    </row>
    <row r="56" spans="1:51">
      <c r="A56" s="83" t="s">
        <v>499</v>
      </c>
      <c r="B56" s="99">
        <v>36251</v>
      </c>
      <c r="C56" s="85">
        <v>14000000</v>
      </c>
      <c r="D56" s="85"/>
      <c r="E56" s="85">
        <v>14086000</v>
      </c>
      <c r="F56" s="83"/>
      <c r="G56" s="86"/>
      <c r="H56" s="86"/>
      <c r="I56" s="86"/>
      <c r="J56" s="86"/>
      <c r="K56" s="86"/>
      <c r="L56" s="86"/>
      <c r="M56" s="86">
        <v>0</v>
      </c>
      <c r="N56" s="86"/>
      <c r="O56" s="86">
        <f>1360000-M55/2</f>
        <v>-65000</v>
      </c>
      <c r="P56" s="86"/>
      <c r="Q56" s="86">
        <v>816000</v>
      </c>
      <c r="R56" s="86"/>
      <c r="S56" s="86">
        <v>816000</v>
      </c>
      <c r="T56" s="86"/>
      <c r="U56" s="86">
        <v>816000</v>
      </c>
      <c r="V56" s="86">
        <v>816000</v>
      </c>
      <c r="W56" s="86">
        <v>816000</v>
      </c>
      <c r="X56" s="86">
        <v>816000</v>
      </c>
      <c r="Y56" s="86">
        <f>816000+816000</f>
        <v>1632000</v>
      </c>
      <c r="Z56" s="86"/>
      <c r="AA56" s="86">
        <v>0</v>
      </c>
      <c r="AB56" s="86"/>
      <c r="AC56" s="86">
        <v>816000</v>
      </c>
      <c r="AD56" s="86"/>
      <c r="AE56" s="86"/>
      <c r="AF56" s="86"/>
      <c r="AG56" s="86">
        <v>816000</v>
      </c>
      <c r="AH56" s="86"/>
      <c r="AI56" s="86">
        <v>3400000</v>
      </c>
      <c r="AJ56" s="86"/>
      <c r="AK56" s="86">
        <v>680000</v>
      </c>
      <c r="AL56" s="86"/>
      <c r="AM56" s="86">
        <v>0</v>
      </c>
      <c r="AN56" s="86"/>
      <c r="AO56" s="86">
        <v>0</v>
      </c>
      <c r="AP56" s="86"/>
      <c r="AQ56" s="86">
        <v>0</v>
      </c>
      <c r="AR56" s="86"/>
      <c r="AS56" s="86">
        <f>AK56+AI56+AG56+AC56+AA56+Y56+X56+W56+V56+U56+S56+Q56+O56+AM56+AO56</f>
        <v>12175000</v>
      </c>
    </row>
    <row r="57" spans="1:51">
      <c r="A57" s="92" t="s">
        <v>533</v>
      </c>
      <c r="B57" s="99"/>
      <c r="C57" s="93">
        <f>SUM(C52:C56)</f>
        <v>32000000</v>
      </c>
      <c r="D57" s="85"/>
      <c r="E57" s="93">
        <f>SUM(E52:E56)</f>
        <v>32172000</v>
      </c>
      <c r="F57" s="83"/>
      <c r="G57" s="93">
        <f>SUM(G52:G56)</f>
        <v>0</v>
      </c>
      <c r="H57" s="86"/>
      <c r="I57" s="93">
        <f>SUM(I52:I56)</f>
        <v>0</v>
      </c>
      <c r="J57" s="86"/>
      <c r="K57" s="93">
        <f>SUM(K52:K56)</f>
        <v>0</v>
      </c>
      <c r="L57" s="86"/>
      <c r="M57" s="93">
        <f>SUM(M52:M56)</f>
        <v>2850000</v>
      </c>
      <c r="N57" s="86"/>
      <c r="O57" s="93">
        <f>SUM(O52:O56)</f>
        <v>370000</v>
      </c>
      <c r="P57" s="86"/>
      <c r="Q57" s="93">
        <f>SUM(Q52:Q56)</f>
        <v>2132000</v>
      </c>
      <c r="R57" s="86"/>
      <c r="S57" s="93">
        <f>SUM(S52:S56)</f>
        <v>2132000</v>
      </c>
      <c r="T57" s="86"/>
      <c r="U57" s="93">
        <f>SUM(U52:U56)</f>
        <v>2132000</v>
      </c>
      <c r="V57" s="93">
        <f>SUM(V52:V56)</f>
        <v>2132000</v>
      </c>
      <c r="W57" s="93">
        <f>SUM(W52:W56)</f>
        <v>2132000</v>
      </c>
      <c r="X57" s="93">
        <f>SUM(X52:X56)</f>
        <v>2132000</v>
      </c>
      <c r="Y57" s="93">
        <f>SUM(Y52:Y56)</f>
        <v>3764000</v>
      </c>
      <c r="Z57" s="86"/>
      <c r="AA57" s="93">
        <f>SUM(AA52:AA56)</f>
        <v>532622</v>
      </c>
      <c r="AB57" s="86"/>
      <c r="AC57" s="93">
        <f>SUM(AC52:AC56)</f>
        <v>1632000</v>
      </c>
      <c r="AD57" s="86"/>
      <c r="AE57" s="86"/>
      <c r="AF57" s="86"/>
      <c r="AG57" s="93">
        <f>SUM(AG52:AG56)</f>
        <v>1632000</v>
      </c>
      <c r="AH57" s="85"/>
      <c r="AI57" s="93">
        <f>SUM(AI52:AI56)</f>
        <v>6800000</v>
      </c>
      <c r="AJ57" s="86"/>
      <c r="AK57" s="93">
        <f>SUM(AK52:AK56)</f>
        <v>1360000</v>
      </c>
      <c r="AL57" s="85"/>
      <c r="AM57" s="93">
        <f>SUM(AM52:AM56)</f>
        <v>400000</v>
      </c>
      <c r="AN57" s="85"/>
      <c r="AO57" s="93">
        <f>SUM(AO52:AO56)</f>
        <v>0</v>
      </c>
      <c r="AP57" s="85"/>
      <c r="AQ57" s="93">
        <f>SUM(AQ52:AQ56)</f>
        <v>0</v>
      </c>
      <c r="AR57" s="86"/>
      <c r="AS57" s="93">
        <f>SUM(AS52:AS56)</f>
        <v>32132622</v>
      </c>
    </row>
    <row r="58" spans="1:51">
      <c r="A58" s="89"/>
      <c r="B58" s="89"/>
      <c r="C58" s="85"/>
      <c r="D58" s="85"/>
      <c r="E58" s="85"/>
      <c r="F58" s="89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</row>
    <row r="59" spans="1:51">
      <c r="A59" s="89" t="s">
        <v>507</v>
      </c>
      <c r="B59" s="89"/>
      <c r="C59" s="85">
        <v>816000</v>
      </c>
      <c r="D59" s="85"/>
      <c r="E59" s="85">
        <v>896000</v>
      </c>
      <c r="F59" s="89"/>
      <c r="G59" s="90">
        <v>0</v>
      </c>
      <c r="H59" s="86"/>
      <c r="I59" s="90">
        <v>0</v>
      </c>
      <c r="J59" s="86"/>
      <c r="K59" s="90">
        <v>0</v>
      </c>
      <c r="L59" s="86"/>
      <c r="M59" s="90">
        <v>0</v>
      </c>
      <c r="N59" s="86"/>
      <c r="O59" s="90">
        <v>0</v>
      </c>
      <c r="P59" s="86"/>
      <c r="Q59" s="90">
        <v>0</v>
      </c>
      <c r="R59" s="86"/>
      <c r="S59" s="90">
        <v>0</v>
      </c>
      <c r="T59" s="86"/>
      <c r="U59" s="90">
        <v>0</v>
      </c>
      <c r="V59" s="90"/>
      <c r="W59" s="90"/>
      <c r="X59" s="90"/>
      <c r="Y59" s="90"/>
      <c r="Z59" s="86"/>
      <c r="AA59" s="90"/>
      <c r="AB59" s="86"/>
      <c r="AC59" s="90"/>
      <c r="AD59" s="86"/>
      <c r="AE59" s="86"/>
      <c r="AF59" s="86"/>
      <c r="AG59" s="90"/>
      <c r="AH59" s="90"/>
      <c r="AI59" s="90"/>
      <c r="AJ59" s="86"/>
      <c r="AK59" s="90"/>
      <c r="AL59" s="90"/>
      <c r="AM59" s="90"/>
      <c r="AN59" s="90"/>
      <c r="AO59" s="90"/>
      <c r="AP59" s="90"/>
      <c r="AQ59" s="90"/>
      <c r="AR59" s="86"/>
      <c r="AS59" s="90">
        <f>SUM(G59:AR59)</f>
        <v>0</v>
      </c>
    </row>
    <row r="60" spans="1:51">
      <c r="A60" s="89"/>
      <c r="B60" s="89"/>
      <c r="C60" s="85"/>
      <c r="D60" s="85"/>
      <c r="E60" s="85"/>
      <c r="F60" s="89"/>
      <c r="G60" s="90"/>
      <c r="H60" s="90"/>
      <c r="I60" s="90"/>
      <c r="J60" s="90"/>
      <c r="K60" s="90"/>
      <c r="L60" s="90"/>
      <c r="M60" s="90"/>
      <c r="N60" s="94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</row>
    <row r="62" spans="1:51">
      <c r="A62" s="92" t="s">
        <v>534</v>
      </c>
      <c r="B62" s="89"/>
      <c r="C62" s="93">
        <f>C37+C59+C57</f>
        <v>33816000</v>
      </c>
      <c r="D62" s="85"/>
      <c r="E62" s="93">
        <f>E37+E59+E57</f>
        <v>34260000</v>
      </c>
      <c r="F62" s="89"/>
      <c r="G62" s="93">
        <f t="shared" ref="G62:V62" si="2">G59+G57</f>
        <v>0</v>
      </c>
      <c r="H62" s="93">
        <f t="shared" si="2"/>
        <v>0</v>
      </c>
      <c r="I62" s="93">
        <f t="shared" si="2"/>
        <v>0</v>
      </c>
      <c r="J62" s="93">
        <f t="shared" si="2"/>
        <v>0</v>
      </c>
      <c r="K62" s="93">
        <f t="shared" si="2"/>
        <v>0</v>
      </c>
      <c r="L62" s="93">
        <f t="shared" si="2"/>
        <v>0</v>
      </c>
      <c r="M62" s="93">
        <f t="shared" si="2"/>
        <v>2850000</v>
      </c>
      <c r="N62" s="93">
        <f t="shared" si="2"/>
        <v>0</v>
      </c>
      <c r="O62" s="93">
        <f t="shared" si="2"/>
        <v>370000</v>
      </c>
      <c r="P62" s="93">
        <f t="shared" si="2"/>
        <v>0</v>
      </c>
      <c r="Q62" s="93">
        <f t="shared" si="2"/>
        <v>2132000</v>
      </c>
      <c r="R62" s="93">
        <f t="shared" si="2"/>
        <v>0</v>
      </c>
      <c r="S62" s="93">
        <f t="shared" si="2"/>
        <v>2132000</v>
      </c>
      <c r="T62" s="93">
        <f t="shared" si="2"/>
        <v>0</v>
      </c>
      <c r="U62" s="93">
        <f t="shared" si="2"/>
        <v>2132000</v>
      </c>
      <c r="V62" s="93">
        <f t="shared" si="2"/>
        <v>2132000</v>
      </c>
      <c r="W62" s="93">
        <f>W59+W57</f>
        <v>2132000</v>
      </c>
      <c r="X62" s="93">
        <f t="shared" ref="X62:AS62" si="3">X59+X57</f>
        <v>2132000</v>
      </c>
      <c r="Y62" s="93">
        <f t="shared" si="3"/>
        <v>3764000</v>
      </c>
      <c r="Z62" s="93">
        <f t="shared" si="3"/>
        <v>0</v>
      </c>
      <c r="AA62" s="93">
        <f t="shared" si="3"/>
        <v>532622</v>
      </c>
      <c r="AB62" s="93"/>
      <c r="AC62" s="93">
        <f t="shared" si="3"/>
        <v>1632000</v>
      </c>
      <c r="AD62" s="93"/>
      <c r="AE62" s="93">
        <f t="shared" si="3"/>
        <v>0</v>
      </c>
      <c r="AF62" s="93">
        <f t="shared" si="3"/>
        <v>0</v>
      </c>
      <c r="AG62" s="93">
        <f t="shared" si="3"/>
        <v>1632000</v>
      </c>
      <c r="AH62" s="93"/>
      <c r="AI62" s="93">
        <f t="shared" si="3"/>
        <v>6800000</v>
      </c>
      <c r="AJ62" s="93">
        <f t="shared" si="3"/>
        <v>0</v>
      </c>
      <c r="AK62" s="93">
        <f>AK59+AK57</f>
        <v>1360000</v>
      </c>
      <c r="AL62" s="93"/>
      <c r="AM62" s="93">
        <f>AM59+AM57</f>
        <v>400000</v>
      </c>
      <c r="AN62" s="93"/>
      <c r="AO62" s="93">
        <f>AO59+AO57</f>
        <v>0</v>
      </c>
      <c r="AP62" s="93"/>
      <c r="AQ62" s="93">
        <f>AQ59+AQ57</f>
        <v>0</v>
      </c>
      <c r="AR62" s="93"/>
      <c r="AS62" s="93">
        <f t="shared" si="3"/>
        <v>32132622</v>
      </c>
    </row>
    <row r="63" spans="1:51">
      <c r="A63" s="92"/>
      <c r="B63" s="89"/>
      <c r="C63" s="85"/>
      <c r="D63" s="85"/>
      <c r="E63" s="85"/>
      <c r="F63" s="89"/>
      <c r="G63" s="85"/>
      <c r="H63" s="97"/>
      <c r="I63" s="85"/>
      <c r="J63" s="97"/>
      <c r="K63" s="85"/>
      <c r="L63" s="97"/>
      <c r="M63" s="85"/>
      <c r="N63" s="97"/>
      <c r="O63" s="85"/>
      <c r="P63" s="97"/>
      <c r="Q63" s="85"/>
      <c r="R63" s="97"/>
      <c r="S63" s="85"/>
      <c r="T63" s="97"/>
      <c r="U63" s="85"/>
      <c r="V63" s="85"/>
      <c r="W63" s="85"/>
      <c r="X63" s="85"/>
      <c r="Y63" s="85"/>
      <c r="Z63" s="97"/>
      <c r="AA63" s="85"/>
      <c r="AB63" s="97"/>
      <c r="AC63" s="85"/>
      <c r="AD63" s="97"/>
      <c r="AE63" s="97"/>
      <c r="AF63" s="97"/>
      <c r="AG63" s="85"/>
      <c r="AH63" s="85"/>
      <c r="AI63" s="85"/>
      <c r="AJ63" s="97"/>
      <c r="AK63" s="85"/>
      <c r="AL63" s="85"/>
      <c r="AM63" s="85"/>
      <c r="AN63" s="85"/>
      <c r="AO63" s="85"/>
      <c r="AP63" s="85"/>
      <c r="AQ63" s="85"/>
      <c r="AR63" s="97"/>
      <c r="AS63" s="85"/>
    </row>
    <row r="64" spans="1:51">
      <c r="A64" s="92" t="s">
        <v>1699</v>
      </c>
      <c r="B64" s="89"/>
      <c r="C64" s="85"/>
      <c r="D64" s="85"/>
      <c r="E64" s="85"/>
      <c r="F64" s="89"/>
      <c r="G64" s="85"/>
      <c r="H64" s="97"/>
      <c r="I64" s="85"/>
      <c r="J64" s="97"/>
      <c r="K64" s="85"/>
      <c r="L64" s="97"/>
      <c r="M64" s="85"/>
      <c r="N64" s="97"/>
      <c r="O64" s="85"/>
      <c r="P64" s="97"/>
      <c r="Q64" s="85"/>
      <c r="R64" s="97"/>
      <c r="S64" s="85"/>
      <c r="T64" s="97"/>
      <c r="U64" s="85"/>
      <c r="V64" s="85"/>
      <c r="W64" s="85">
        <v>10132</v>
      </c>
      <c r="X64" s="85">
        <v>52750</v>
      </c>
      <c r="Y64" s="85">
        <v>34278</v>
      </c>
      <c r="Z64" s="97"/>
      <c r="AA64" s="85">
        <v>21750.25</v>
      </c>
      <c r="AB64" s="97"/>
      <c r="AC64" s="85">
        <v>20421</v>
      </c>
      <c r="AD64" s="97"/>
      <c r="AE64" s="97"/>
      <c r="AF64" s="97"/>
      <c r="AG64" s="85">
        <v>22912.59</v>
      </c>
      <c r="AH64" s="85"/>
      <c r="AI64" s="85">
        <f>41788.38</f>
        <v>41788.379999999997</v>
      </c>
      <c r="AJ64" s="97"/>
      <c r="AK64" s="85">
        <f>55874.52</f>
        <v>55874.52</v>
      </c>
      <c r="AL64" s="85"/>
      <c r="AM64" s="85">
        <v>41048.949999999997</v>
      </c>
      <c r="AN64" s="85"/>
      <c r="AO64" s="85">
        <v>51911</v>
      </c>
      <c r="AP64" s="85"/>
      <c r="AQ64" s="85">
        <v>0</v>
      </c>
      <c r="AR64" s="97"/>
      <c r="AS64" s="85">
        <f>SUM(G64:AR64)</f>
        <v>352866.69</v>
      </c>
    </row>
    <row r="65" spans="1:45">
      <c r="A65" s="89"/>
      <c r="B65" s="89"/>
      <c r="C65" s="85"/>
      <c r="D65" s="85"/>
      <c r="E65" s="85"/>
      <c r="F65" s="89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7"/>
      <c r="AP65" s="97"/>
      <c r="AQ65" s="97"/>
      <c r="AR65" s="97"/>
      <c r="AS65" s="97"/>
    </row>
    <row r="66" spans="1:45" ht="13.8" thickBot="1">
      <c r="A66" s="111" t="s">
        <v>500</v>
      </c>
      <c r="C66" s="109">
        <f>C62+C49</f>
        <v>81276996.480000004</v>
      </c>
      <c r="D66" s="119"/>
      <c r="E66" s="109">
        <f>E62+E49</f>
        <v>81086430</v>
      </c>
      <c r="G66" s="109">
        <f>G62+G49</f>
        <v>21150000</v>
      </c>
      <c r="H66" s="97"/>
      <c r="I66" s="109">
        <f>I62+I49</f>
        <v>4263906.4800000004</v>
      </c>
      <c r="J66" s="97"/>
      <c r="K66" s="109">
        <f>K62+K49</f>
        <v>3055146</v>
      </c>
      <c r="L66" s="97"/>
      <c r="M66" s="109">
        <f>M62+M49</f>
        <v>1650000</v>
      </c>
      <c r="N66" s="97"/>
      <c r="O66" s="109">
        <f>O62+O49</f>
        <v>2814116.8</v>
      </c>
      <c r="P66" s="97"/>
      <c r="Q66" s="109">
        <f>Q62+Q49</f>
        <v>4389866.41</v>
      </c>
      <c r="R66" s="106"/>
      <c r="S66" s="109">
        <f>S62+S49</f>
        <v>2662212.8899999997</v>
      </c>
      <c r="T66" s="106"/>
      <c r="U66" s="109">
        <f>U62+U49</f>
        <v>167441.07000000007</v>
      </c>
      <c r="V66" s="109">
        <f>V62+V49</f>
        <v>3251216.99</v>
      </c>
      <c r="W66" s="109">
        <f>W62+W49+W64</f>
        <v>3706870.16</v>
      </c>
      <c r="X66" s="109">
        <f>X62+X49+X64</f>
        <v>5927497.0199999996</v>
      </c>
      <c r="Y66" s="109">
        <f>Y62+Y49+Y64</f>
        <v>5437346</v>
      </c>
      <c r="Z66" s="109">
        <f>Z62+Z49+Z64</f>
        <v>0</v>
      </c>
      <c r="AA66" s="109">
        <f>AA62+AA49+AA64</f>
        <v>3562993.5400000005</v>
      </c>
      <c r="AB66" s="97"/>
      <c r="AC66" s="109">
        <f>AC62+AC49+AC64</f>
        <v>3791912</v>
      </c>
      <c r="AD66" s="97"/>
      <c r="AE66" s="97"/>
      <c r="AF66" s="97"/>
      <c r="AG66" s="109">
        <f>AG62+AG49+AG64</f>
        <v>2831574.67</v>
      </c>
      <c r="AH66" s="119"/>
      <c r="AI66" s="109">
        <f>AI62+AI49+AI64</f>
        <v>8834136.8800000008</v>
      </c>
      <c r="AJ66" s="97"/>
      <c r="AK66" s="109">
        <f>AK62+AK49+AK64</f>
        <v>1483779.08</v>
      </c>
      <c r="AL66" s="119"/>
      <c r="AM66" s="109">
        <f>AM62+AM49+AM64</f>
        <v>1674319.82</v>
      </c>
      <c r="AN66" s="119"/>
      <c r="AO66" s="109">
        <f>AO62+AO49+AO64</f>
        <v>125117</v>
      </c>
      <c r="AP66" s="119"/>
      <c r="AQ66" s="109">
        <f>AQ62+AQ49+AQ64</f>
        <v>1533103.96</v>
      </c>
      <c r="AR66" s="97"/>
      <c r="AS66" s="109">
        <f>SUM(G66:AR66)+1</f>
        <v>82312557.769999966</v>
      </c>
    </row>
    <row r="67" spans="1:45" ht="13.8" thickTop="1">
      <c r="C67" s="110"/>
      <c r="D67" s="110"/>
      <c r="E67" s="110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</row>
    <row r="68" spans="1:45">
      <c r="C68" s="110"/>
      <c r="D68" s="110"/>
      <c r="E68" s="110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</row>
    <row r="69" spans="1:45">
      <c r="C69" s="110"/>
      <c r="D69" s="110"/>
      <c r="E69" s="110"/>
      <c r="O69" s="247"/>
      <c r="V69" s="246"/>
    </row>
  </sheetData>
  <phoneticPr fontId="50" type="noConversion"/>
  <printOptions horizontalCentered="1"/>
  <pageMargins left="0.25" right="0.25" top="0.5" bottom="0.5" header="0.5" footer="0.5"/>
  <pageSetup scale="66" orientation="landscape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B27"/>
  <sheetViews>
    <sheetView topLeftCell="X1" zoomScale="75" workbookViewId="0">
      <selection activeCell="AD20" sqref="AD20"/>
    </sheetView>
  </sheetViews>
  <sheetFormatPr defaultColWidth="12.5546875" defaultRowHeight="13.8"/>
  <cols>
    <col min="1" max="1" width="42.44140625" style="144" customWidth="1"/>
    <col min="2" max="2" width="5.88671875" style="144" bestFit="1" customWidth="1"/>
    <col min="3" max="3" width="2.33203125" style="144" customWidth="1"/>
    <col min="4" max="4" width="14.33203125" style="144" hidden="1" customWidth="1"/>
    <col min="5" max="5" width="13.109375" style="144" hidden="1" customWidth="1"/>
    <col min="6" max="6" width="14.33203125" style="144" hidden="1" customWidth="1"/>
    <col min="7" max="7" width="15.109375" style="144" hidden="1" customWidth="1"/>
    <col min="8" max="8" width="14.33203125" style="144" hidden="1" customWidth="1"/>
    <col min="9" max="9" width="15.33203125" style="144" hidden="1" customWidth="1"/>
    <col min="10" max="10" width="16.5546875" style="144" customWidth="1"/>
    <col min="11" max="11" width="15.44140625" style="144" hidden="1" customWidth="1"/>
    <col min="12" max="12" width="16" style="144" hidden="1" customWidth="1"/>
    <col min="13" max="15" width="14.88671875" style="144" hidden="1" customWidth="1"/>
    <col min="16" max="16" width="16" style="144" hidden="1" customWidth="1"/>
    <col min="17" max="17" width="16.109375" style="144" hidden="1" customWidth="1"/>
    <col min="18" max="18" width="18.109375" style="144" hidden="1" customWidth="1"/>
    <col min="19" max="19" width="18.88671875" style="144" hidden="1" customWidth="1"/>
    <col min="20" max="20" width="23.33203125" style="144" hidden="1" customWidth="1"/>
    <col min="21" max="21" width="20.44140625" style="144" hidden="1" customWidth="1"/>
    <col min="22" max="22" width="19.88671875" style="144" hidden="1" customWidth="1"/>
    <col min="23" max="25" width="21.33203125" style="144" customWidth="1"/>
    <col min="26" max="30" width="20.109375" style="144" customWidth="1"/>
    <col min="31" max="31" width="18.33203125" style="144" customWidth="1"/>
    <col min="32" max="32" width="16" style="144" customWidth="1"/>
    <col min="33" max="33" width="5.88671875" style="144" bestFit="1" customWidth="1"/>
    <col min="34" max="34" width="12.5546875" style="144" customWidth="1"/>
    <col min="35" max="16384" width="12.5546875" style="144"/>
  </cols>
  <sheetData>
    <row r="1" spans="1:54">
      <c r="A1" s="141" t="str">
        <f>+[4]QTRCOMP!A1</f>
        <v>ECT - NORTH AMERICA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</row>
    <row r="2" spans="1:54">
      <c r="A2" s="145" t="s">
        <v>893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</row>
    <row r="3" spans="1:54">
      <c r="A3" s="146" t="s">
        <v>894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</row>
    <row r="4" spans="1:54">
      <c r="A4" s="142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</row>
    <row r="5" spans="1:54">
      <c r="A5" s="147" t="s">
        <v>895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9">
        <f ca="1">NOW()</f>
        <v>36894.436499421296</v>
      </c>
      <c r="AG5" s="148"/>
    </row>
    <row r="6" spans="1:54">
      <c r="A6" s="148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50" t="str">
        <f ca="1">CELL("filename")</f>
        <v>O:\Fin_Ops\Engysvc\PowerPlants\Walton EMC\00 Weekly Reports\[Doyle Wkly 122800-Doyle.xls]ENA</v>
      </c>
      <c r="AG6" s="148"/>
    </row>
    <row r="7" spans="1:54">
      <c r="A7" s="148"/>
      <c r="B7" s="151" t="s">
        <v>1388</v>
      </c>
      <c r="C7" s="148"/>
      <c r="D7" s="148"/>
      <c r="E7" s="148"/>
      <c r="F7" s="148"/>
      <c r="G7" s="148"/>
      <c r="H7" s="148"/>
      <c r="I7" s="152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</row>
    <row r="8" spans="1:54">
      <c r="A8" s="153"/>
      <c r="B8" s="151" t="s">
        <v>896</v>
      </c>
      <c r="C8" s="154"/>
      <c r="D8" s="155"/>
      <c r="E8" s="155"/>
      <c r="F8" s="155"/>
      <c r="G8" s="155"/>
      <c r="H8" s="155"/>
      <c r="I8" s="155"/>
      <c r="J8" s="156" t="s">
        <v>897</v>
      </c>
      <c r="K8" s="157" t="s">
        <v>898</v>
      </c>
      <c r="L8" s="157" t="s">
        <v>898</v>
      </c>
      <c r="M8" s="157" t="s">
        <v>898</v>
      </c>
      <c r="N8" s="158" t="s">
        <v>898</v>
      </c>
      <c r="O8" s="158"/>
      <c r="P8" s="158"/>
      <c r="Q8" s="158"/>
      <c r="R8" s="158"/>
      <c r="S8" s="158"/>
      <c r="T8" s="158"/>
      <c r="U8" s="158"/>
      <c r="V8" s="158"/>
      <c r="W8" s="156" t="s">
        <v>899</v>
      </c>
      <c r="X8" s="157"/>
      <c r="Y8" s="157"/>
      <c r="Z8" s="157"/>
      <c r="AA8" s="157"/>
      <c r="AB8" s="157"/>
      <c r="AC8" s="157"/>
      <c r="AD8" s="157"/>
      <c r="AE8" s="158" t="s">
        <v>1389</v>
      </c>
      <c r="AF8" s="308" t="s">
        <v>900</v>
      </c>
      <c r="AG8" s="151" t="s">
        <v>896</v>
      </c>
    </row>
    <row r="9" spans="1:54">
      <c r="A9" s="159"/>
      <c r="B9" s="160" t="s">
        <v>897</v>
      </c>
      <c r="C9" s="161"/>
      <c r="D9" s="309" t="s">
        <v>1390</v>
      </c>
      <c r="E9" s="309" t="s">
        <v>901</v>
      </c>
      <c r="F9" s="309" t="s">
        <v>1391</v>
      </c>
      <c r="G9" s="309" t="s">
        <v>902</v>
      </c>
      <c r="H9" s="309" t="s">
        <v>903</v>
      </c>
      <c r="I9" s="309" t="s">
        <v>904</v>
      </c>
      <c r="J9" s="310" t="s">
        <v>306</v>
      </c>
      <c r="K9" s="162" t="s">
        <v>905</v>
      </c>
      <c r="L9" s="162" t="s">
        <v>906</v>
      </c>
      <c r="M9" s="162" t="s">
        <v>907</v>
      </c>
      <c r="N9" s="162" t="s">
        <v>908</v>
      </c>
      <c r="O9" s="162" t="s">
        <v>909</v>
      </c>
      <c r="P9" s="162" t="s">
        <v>910</v>
      </c>
      <c r="Q9" s="162" t="s">
        <v>911</v>
      </c>
      <c r="R9" s="162" t="s">
        <v>901</v>
      </c>
      <c r="S9" s="162" t="s">
        <v>912</v>
      </c>
      <c r="T9" s="162" t="s">
        <v>902</v>
      </c>
      <c r="U9" s="162" t="s">
        <v>903</v>
      </c>
      <c r="V9" s="162" t="s">
        <v>904</v>
      </c>
      <c r="W9" s="311" t="s">
        <v>306</v>
      </c>
      <c r="X9" s="163" t="s">
        <v>905</v>
      </c>
      <c r="Y9" s="163" t="s">
        <v>906</v>
      </c>
      <c r="Z9" s="163" t="s">
        <v>907</v>
      </c>
      <c r="AA9" s="163" t="s">
        <v>908</v>
      </c>
      <c r="AB9" s="163" t="s">
        <v>909</v>
      </c>
      <c r="AC9" s="163" t="s">
        <v>910</v>
      </c>
      <c r="AD9" s="163" t="s">
        <v>911</v>
      </c>
      <c r="AE9" s="163" t="s">
        <v>306</v>
      </c>
      <c r="AF9" s="312" t="s">
        <v>405</v>
      </c>
      <c r="AG9" s="160" t="s">
        <v>913</v>
      </c>
    </row>
    <row r="10" spans="1:54">
      <c r="A10" s="313"/>
      <c r="B10" s="164"/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</row>
    <row r="11" spans="1:54">
      <c r="A11" s="165" t="s">
        <v>914</v>
      </c>
      <c r="B11" s="314"/>
      <c r="C11" s="164"/>
      <c r="D11" s="164"/>
      <c r="E11" s="164"/>
      <c r="F11" s="164"/>
      <c r="G11" s="164"/>
      <c r="H11" s="164"/>
      <c r="I11" s="164">
        <v>21150000</v>
      </c>
      <c r="J11" s="164">
        <f>21428870-176250</f>
        <v>21252620</v>
      </c>
      <c r="K11" s="166">
        <f>ENA!M281-ENA!M224</f>
        <v>4270040.49</v>
      </c>
      <c r="L11" s="166">
        <f>ENA!O281-ENA!O224</f>
        <v>3070563.65</v>
      </c>
      <c r="M11" s="167">
        <f>ENA!Q281-ENA!Q224</f>
        <v>1671827.2000000002</v>
      </c>
      <c r="N11" s="167">
        <f>ENA!S281-ENA!S224</f>
        <v>2838972.27</v>
      </c>
      <c r="O11" s="167">
        <f>ENA!U281-ENA!U224</f>
        <v>4492840.96</v>
      </c>
      <c r="P11" s="166">
        <f>ENA!W281-ENA!W224</f>
        <v>-2325289.5200000005</v>
      </c>
      <c r="Q11" s="166">
        <f>ENA!Y281-ENA!Y224</f>
        <v>1670852.6900000004</v>
      </c>
      <c r="R11" s="144">
        <f>ENA!AA281-ENA!AA224</f>
        <v>3109403.04</v>
      </c>
      <c r="S11" s="166">
        <f>ENA!AC281-ENA!AC224</f>
        <v>3093590.4600000004</v>
      </c>
      <c r="T11" s="166">
        <f>ENA!AE281-ENA!AE224</f>
        <v>6984842.2000000011</v>
      </c>
      <c r="U11" s="166">
        <f>ENA!AG281-ENA!AG224</f>
        <v>7453763.5599999996</v>
      </c>
      <c r="V11" s="166">
        <f>ENA!AI281-ENA!AI224</f>
        <v>7066916.1600000011</v>
      </c>
      <c r="W11" s="164">
        <f>SUM(K11:V11)</f>
        <v>43398323.160000011</v>
      </c>
      <c r="X11" s="164">
        <f>ENA!AO281-ENA!AO224</f>
        <v>-14073969.25</v>
      </c>
      <c r="Y11" s="164">
        <f>ENA!AQ281-ENA!AQ224</f>
        <v>-57499247.469999991</v>
      </c>
      <c r="Z11" s="164">
        <f>ENA!AS281-ENA!AS224</f>
        <v>-1636411.6699999995</v>
      </c>
      <c r="AA11" s="164">
        <f>ENA!AU281-ENA!AU224</f>
        <v>-5376293.6299999999</v>
      </c>
      <c r="AB11" s="164">
        <f>ENA!AW281-ENA!AW224</f>
        <v>3770212.2</v>
      </c>
      <c r="AC11" s="164">
        <f>ENA!AY281-ENA!AY224</f>
        <v>2740671.37</v>
      </c>
      <c r="AD11" s="164">
        <f>ENA!BA281-ENA!BA224</f>
        <v>3818419.54</v>
      </c>
      <c r="AE11" s="166">
        <f>SUM(X11:AC11)</f>
        <v>-72075038.449999988</v>
      </c>
      <c r="AF11" s="169">
        <f>J11+W11+AE11</f>
        <v>-7424095.2899999768</v>
      </c>
      <c r="AG11" s="164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/>
    </row>
    <row r="12" spans="1:54">
      <c r="A12" s="168" t="s">
        <v>915</v>
      </c>
      <c r="B12" s="314"/>
      <c r="C12" s="164"/>
      <c r="D12" s="164"/>
      <c r="E12" s="164"/>
      <c r="F12" s="164"/>
      <c r="G12" s="164"/>
      <c r="H12" s="164"/>
      <c r="I12" s="164"/>
      <c r="J12" s="164"/>
      <c r="K12" s="169">
        <f>+J11+K11</f>
        <v>25522660.490000002</v>
      </c>
      <c r="L12" s="170">
        <f t="shared" ref="L12:U12" si="0">+K12+L11</f>
        <v>28593224.140000001</v>
      </c>
      <c r="M12" s="169">
        <f t="shared" si="0"/>
        <v>30265051.34</v>
      </c>
      <c r="N12" s="169">
        <f t="shared" si="0"/>
        <v>33104023.609999999</v>
      </c>
      <c r="O12" s="169">
        <f t="shared" si="0"/>
        <v>37596864.57</v>
      </c>
      <c r="P12" s="315">
        <f t="shared" si="0"/>
        <v>35271575.049999997</v>
      </c>
      <c r="Q12" s="315">
        <f t="shared" si="0"/>
        <v>36942427.739999995</v>
      </c>
      <c r="R12" s="315">
        <f t="shared" si="0"/>
        <v>40051830.779999994</v>
      </c>
      <c r="S12" s="315">
        <f t="shared" si="0"/>
        <v>43145421.239999995</v>
      </c>
      <c r="T12" s="315">
        <f t="shared" si="0"/>
        <v>50130263.439999998</v>
      </c>
      <c r="U12" s="315">
        <f t="shared" si="0"/>
        <v>57584027</v>
      </c>
      <c r="V12" s="315">
        <f>+U12+V11</f>
        <v>64650943.160000004</v>
      </c>
      <c r="W12" s="315">
        <f>V12</f>
        <v>64650943.160000004</v>
      </c>
      <c r="X12" s="315">
        <f t="shared" ref="X12:AD12" si="1">X11+W12</f>
        <v>50576973.910000004</v>
      </c>
      <c r="Y12" s="315">
        <f t="shared" si="1"/>
        <v>-6922273.5599999875</v>
      </c>
      <c r="Z12" s="315">
        <f t="shared" si="1"/>
        <v>-8558685.2299999874</v>
      </c>
      <c r="AA12" s="315">
        <f t="shared" si="1"/>
        <v>-13934978.859999988</v>
      </c>
      <c r="AB12" s="315">
        <f t="shared" si="1"/>
        <v>-10164766.659999989</v>
      </c>
      <c r="AC12" s="315">
        <f t="shared" si="1"/>
        <v>-7424095.2899999889</v>
      </c>
      <c r="AD12" s="315">
        <f t="shared" si="1"/>
        <v>-3605675.7499999888</v>
      </c>
      <c r="AE12" s="166"/>
      <c r="AF12" s="166"/>
      <c r="AG12" s="164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/>
    </row>
    <row r="13" spans="1:54">
      <c r="A13" s="316"/>
      <c r="B13" s="317"/>
      <c r="C13" s="318"/>
      <c r="D13" s="318"/>
      <c r="E13" s="318"/>
      <c r="F13" s="318"/>
      <c r="G13" s="318"/>
      <c r="H13" s="318"/>
      <c r="I13" s="318"/>
      <c r="J13" s="318"/>
      <c r="K13" s="319"/>
      <c r="L13" s="319"/>
      <c r="M13" s="319"/>
      <c r="N13" s="319"/>
      <c r="O13" s="319"/>
      <c r="P13" s="319"/>
      <c r="Q13" s="166"/>
      <c r="R13" s="319"/>
      <c r="S13" s="319"/>
      <c r="T13" s="319"/>
      <c r="U13" s="319"/>
      <c r="V13" s="319"/>
      <c r="W13" s="318"/>
      <c r="X13" s="318"/>
      <c r="Y13" s="318"/>
      <c r="Z13" s="318"/>
      <c r="AA13" s="318"/>
      <c r="AB13" s="318"/>
      <c r="AC13" s="318"/>
      <c r="AD13" s="318"/>
      <c r="AE13" s="319"/>
      <c r="AF13" s="166"/>
      <c r="AG13" s="164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</row>
    <row r="14" spans="1:54">
      <c r="A14" s="165"/>
      <c r="B14" s="314"/>
      <c r="C14" s="164"/>
      <c r="D14" s="164"/>
      <c r="E14" s="164"/>
      <c r="F14" s="164"/>
      <c r="G14" s="164"/>
      <c r="H14" s="164"/>
      <c r="I14" s="164"/>
      <c r="J14" s="164"/>
      <c r="K14" s="166"/>
      <c r="L14" s="166"/>
      <c r="M14" s="166"/>
      <c r="N14" s="166"/>
      <c r="O14" s="166"/>
      <c r="P14" s="166"/>
      <c r="Q14" s="320"/>
      <c r="R14" s="166"/>
      <c r="S14" s="166"/>
      <c r="T14" s="166"/>
      <c r="U14" s="166"/>
      <c r="V14" s="166"/>
      <c r="W14" s="164"/>
      <c r="X14" s="164"/>
      <c r="Y14" s="164"/>
      <c r="Z14" s="164"/>
      <c r="AA14" s="164"/>
      <c r="AB14" s="164"/>
      <c r="AC14" s="164"/>
      <c r="AD14" s="164"/>
      <c r="AE14" s="166"/>
      <c r="AF14" s="166"/>
      <c r="AG14" s="164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/>
    </row>
    <row r="15" spans="1:54">
      <c r="A15" s="171"/>
    </row>
    <row r="16" spans="1:54">
      <c r="A16" s="153"/>
      <c r="B16" s="151" t="s">
        <v>896</v>
      </c>
      <c r="C16" s="154"/>
      <c r="D16" s="155"/>
      <c r="E16" s="155"/>
      <c r="F16" s="155"/>
      <c r="G16" s="155"/>
      <c r="H16" s="155"/>
      <c r="I16" s="155"/>
      <c r="J16" s="156" t="s">
        <v>897</v>
      </c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6" t="s">
        <v>899</v>
      </c>
      <c r="X16" s="157"/>
      <c r="Y16" s="157"/>
      <c r="Z16" s="157"/>
      <c r="AA16" s="157"/>
      <c r="AB16" s="157"/>
      <c r="AC16" s="157"/>
      <c r="AD16" s="157"/>
      <c r="AE16" s="158" t="s">
        <v>1389</v>
      </c>
      <c r="AF16" s="308" t="s">
        <v>900</v>
      </c>
      <c r="AG16" s="151" t="s">
        <v>896</v>
      </c>
    </row>
    <row r="17" spans="1:33">
      <c r="B17" s="160" t="s">
        <v>897</v>
      </c>
      <c r="C17" s="161"/>
      <c r="D17" s="309" t="s">
        <v>1390</v>
      </c>
      <c r="E17" s="309" t="s">
        <v>901</v>
      </c>
      <c r="F17" s="309" t="s">
        <v>1391</v>
      </c>
      <c r="G17" s="309" t="s">
        <v>902</v>
      </c>
      <c r="H17" s="309" t="s">
        <v>903</v>
      </c>
      <c r="I17" s="309" t="s">
        <v>904</v>
      </c>
      <c r="J17" s="310" t="s">
        <v>306</v>
      </c>
      <c r="K17" s="162" t="s">
        <v>905</v>
      </c>
      <c r="L17" s="162" t="s">
        <v>906</v>
      </c>
      <c r="M17" s="162" t="s">
        <v>907</v>
      </c>
      <c r="N17" s="162" t="s">
        <v>908</v>
      </c>
      <c r="O17" s="162" t="s">
        <v>909</v>
      </c>
      <c r="P17" s="162" t="s">
        <v>910</v>
      </c>
      <c r="Q17" s="162" t="s">
        <v>911</v>
      </c>
      <c r="R17" s="162" t="s">
        <v>901</v>
      </c>
      <c r="S17" s="162" t="s">
        <v>912</v>
      </c>
      <c r="T17" s="162" t="s">
        <v>902</v>
      </c>
      <c r="U17" s="162" t="s">
        <v>903</v>
      </c>
      <c r="V17" s="162" t="s">
        <v>904</v>
      </c>
      <c r="W17" s="311" t="s">
        <v>306</v>
      </c>
      <c r="X17" s="163" t="s">
        <v>905</v>
      </c>
      <c r="Y17" s="163" t="s">
        <v>906</v>
      </c>
      <c r="Z17" s="163" t="s">
        <v>907</v>
      </c>
      <c r="AA17" s="163" t="s">
        <v>908</v>
      </c>
      <c r="AB17" s="163" t="s">
        <v>909</v>
      </c>
      <c r="AC17" s="163" t="s">
        <v>910</v>
      </c>
      <c r="AD17" s="163" t="s">
        <v>1390</v>
      </c>
      <c r="AE17" s="163" t="s">
        <v>306</v>
      </c>
      <c r="AF17" s="312" t="s">
        <v>405</v>
      </c>
      <c r="AG17" s="160" t="s">
        <v>913</v>
      </c>
    </row>
    <row r="18" spans="1:33">
      <c r="A18" s="321"/>
      <c r="J18" s="322"/>
      <c r="K18" s="321"/>
      <c r="L18" s="322"/>
      <c r="M18" s="322"/>
      <c r="W18" s="370"/>
      <c r="X18" s="370"/>
      <c r="Y18" s="370"/>
      <c r="Z18" s="370"/>
      <c r="AA18" s="370"/>
      <c r="AB18" s="370"/>
      <c r="AC18" s="370"/>
      <c r="AD18" s="370"/>
    </row>
    <row r="19" spans="1:33" ht="14.4" thickBot="1">
      <c r="A19" s="323"/>
      <c r="B19" s="324"/>
      <c r="C19" s="324"/>
      <c r="D19" s="325"/>
      <c r="E19" s="325"/>
      <c r="F19" s="325"/>
      <c r="G19" s="325"/>
      <c r="H19" s="325"/>
      <c r="I19" s="325"/>
      <c r="J19" s="325"/>
      <c r="K19" s="325"/>
      <c r="L19" s="325"/>
      <c r="M19" s="325"/>
      <c r="N19" s="325"/>
      <c r="O19" s="325"/>
      <c r="P19" s="325"/>
      <c r="Q19" s="325"/>
      <c r="R19" s="325"/>
      <c r="S19" s="325"/>
      <c r="T19" s="325"/>
      <c r="U19" s="325"/>
      <c r="V19" s="325"/>
      <c r="W19" s="325"/>
      <c r="X19" s="325"/>
      <c r="Y19" s="325"/>
      <c r="Z19" s="325"/>
      <c r="AA19" s="325"/>
      <c r="AB19" s="325"/>
      <c r="AC19" s="325"/>
      <c r="AD19" s="325"/>
      <c r="AE19" s="325"/>
      <c r="AF19" s="173"/>
    </row>
    <row r="20" spans="1:33">
      <c r="A20" s="165" t="s">
        <v>914</v>
      </c>
      <c r="D20" s="173"/>
      <c r="E20" s="173"/>
      <c r="F20" s="173"/>
      <c r="G20" s="173"/>
      <c r="H20" s="173"/>
      <c r="I20" s="173">
        <f>SUM(D11:I11)*0.1/12</f>
        <v>176250</v>
      </c>
      <c r="J20" s="172">
        <f>SUM(D20:I20)</f>
        <v>176250</v>
      </c>
      <c r="K20" s="172">
        <f>(+$J11*(0.065/12))+(K11/2*(0.065/12))</f>
        <v>126683.05132708333</v>
      </c>
      <c r="L20" s="172">
        <f>(+$J11*(0.065/12))+(SUM($K11:K11)*(0.065/12))+(L11/2*(0.065/12))</f>
        <v>146563.85420624999</v>
      </c>
      <c r="M20" s="172">
        <f>(+$J11*(0.065/12))+(SUM($K11:L11)*(0.065/12))+(M11/2*(0.065/12))</f>
        <v>159407.829425</v>
      </c>
      <c r="N20" s="172">
        <f>(+$J11*(0.065/12))+(SUM($K11:M11)*(0.065/12))+(N11/2*(0.065/12))</f>
        <v>171624.57798958331</v>
      </c>
      <c r="O20" s="172">
        <f>(+$J11*(0.065/12))+(SUM($K11:N11)*(0.065/12))+(O11/2*(0.065/12))</f>
        <v>191481.57215416667</v>
      </c>
      <c r="P20" s="172">
        <f>(+$J11*(0.065/12))+(SUM($K11:O11)*(0.065/12))+(P11/2*(0.065/12))</f>
        <v>197352.02397083331</v>
      </c>
      <c r="Q20" s="173">
        <f>(+$J11*(0.065/12))+(SUM($K11:P11)*(0.065/12))+(Q11/2*(0.065/12))</f>
        <v>195579.59088958337</v>
      </c>
      <c r="R20" s="326">
        <f>(+$J11*(0.065/12))+(SUM($K11:Q11)*(0.065/12))+(R11/2*(0.065/12))</f>
        <v>208526.11682500003</v>
      </c>
      <c r="S20" s="173">
        <f>(+$J11*(0.065/12))+(SUM($K11:R11)*(0.065/12))+(S11/2*(0.065/12))</f>
        <v>225325.89088750002</v>
      </c>
      <c r="T20" s="173">
        <f>(+$J11*(0.065/12))+(SUM($K11:S11)*(0.065/12))+(T11/2*(0.065/12))</f>
        <v>252621.64600833337</v>
      </c>
      <c r="U20" s="173">
        <f>(+$J11*(0.065/12))+(SUM($K11:T11)*(0.065/12))+(U11/2*(0.065/12))</f>
        <v>291726.20327500004</v>
      </c>
      <c r="V20" s="173">
        <f>(+$J11*(0.065/12))+(SUM($K11:U11)*(0.065/12))+(V11/2*(0.065/12))</f>
        <v>331053.04418333335</v>
      </c>
      <c r="W20" s="173">
        <f>SUM(K20:V20)</f>
        <v>2497945.4011416668</v>
      </c>
      <c r="X20" s="173">
        <f>J11*0.065/12+W11*0.065/12+X11/2*0.065/12</f>
        <v>312075.60873125005</v>
      </c>
      <c r="Y20" s="173">
        <f>ENA!AQ224</f>
        <v>-419033.64</v>
      </c>
      <c r="Z20" s="173">
        <f>J11*0.065/12+SUM(W11:Y11)*0.065/12+Z11/2*0.065/12</f>
        <v>-41927.596722916554</v>
      </c>
      <c r="AA20" s="173">
        <f>J11*0.065/12+SUM(W11:Z11)*0.065/12+AA11/2*0.065/12</f>
        <v>-60920.340243749881</v>
      </c>
      <c r="AB20" s="173">
        <f>J11*0.065/12+SUM(W11:AA11)*0.065/12+AB11/2*0.065/12</f>
        <v>-65270.144116666561</v>
      </c>
      <c r="AC20" s="173">
        <f>J11*0.065/12+SUM(W11:AB11)*0.065/12+AC11/2*0.065/12</f>
        <v>-47636.501114583225</v>
      </c>
      <c r="AD20" s="173">
        <f>J11*0.065/12+SUM(W11:AC11)*0.065/12+AD11/2*0.065/12</f>
        <v>-29872.296566666555</v>
      </c>
      <c r="AE20" s="173">
        <f>SUM(X20:AC20)</f>
        <v>-322712.6134666662</v>
      </c>
      <c r="AF20" s="371">
        <f>W20+J20+AE20</f>
        <v>2351482.7876750007</v>
      </c>
    </row>
    <row r="21" spans="1:33">
      <c r="A21" s="165" t="s">
        <v>916</v>
      </c>
      <c r="D21" s="173"/>
      <c r="E21" s="173"/>
      <c r="F21" s="173"/>
      <c r="G21" s="173"/>
      <c r="H21" s="173"/>
      <c r="I21" s="173"/>
      <c r="J21" s="172"/>
      <c r="K21" s="327">
        <f>K20+J20</f>
        <v>302933.05132708332</v>
      </c>
      <c r="L21" s="327">
        <f t="shared" ref="L21:V21" si="2">+K21+L20</f>
        <v>449496.90553333331</v>
      </c>
      <c r="M21" s="327">
        <f t="shared" si="2"/>
        <v>608904.73495833331</v>
      </c>
      <c r="N21" s="327">
        <f t="shared" si="2"/>
        <v>780529.31294791657</v>
      </c>
      <c r="O21" s="327">
        <f t="shared" si="2"/>
        <v>972010.88510208321</v>
      </c>
      <c r="P21" s="327">
        <f t="shared" si="2"/>
        <v>1169362.9090729165</v>
      </c>
      <c r="Q21" s="327">
        <f t="shared" si="2"/>
        <v>1364942.4999624998</v>
      </c>
      <c r="R21" s="327">
        <f t="shared" si="2"/>
        <v>1573468.6167874997</v>
      </c>
      <c r="S21" s="327">
        <f t="shared" si="2"/>
        <v>1798794.5076749998</v>
      </c>
      <c r="T21" s="327">
        <f t="shared" si="2"/>
        <v>2051416.1536833332</v>
      </c>
      <c r="U21" s="327">
        <f t="shared" si="2"/>
        <v>2343142.3569583334</v>
      </c>
      <c r="V21" s="327">
        <f t="shared" si="2"/>
        <v>2674195.4011416668</v>
      </c>
      <c r="W21" s="371">
        <f>V21</f>
        <v>2674195.4011416668</v>
      </c>
      <c r="X21" s="371">
        <f t="shared" ref="X21:AD21" si="3">W21+X20</f>
        <v>2986271.0098729171</v>
      </c>
      <c r="Y21" s="371">
        <f t="shared" si="3"/>
        <v>2567237.369872917</v>
      </c>
      <c r="Z21" s="371">
        <f t="shared" si="3"/>
        <v>2525309.7731500003</v>
      </c>
      <c r="AA21" s="371">
        <f t="shared" si="3"/>
        <v>2464389.4329062505</v>
      </c>
      <c r="AB21" s="371">
        <f t="shared" si="3"/>
        <v>2399119.2887895838</v>
      </c>
      <c r="AC21" s="371">
        <f t="shared" si="3"/>
        <v>2351482.7876750007</v>
      </c>
      <c r="AD21" s="371">
        <f t="shared" si="3"/>
        <v>2321610.4911083342</v>
      </c>
      <c r="AE21" s="173"/>
      <c r="AF21" s="173"/>
    </row>
    <row r="22" spans="1:33">
      <c r="A22" s="316"/>
      <c r="B22" s="328"/>
      <c r="C22" s="328"/>
      <c r="D22" s="329"/>
      <c r="E22" s="329"/>
      <c r="F22" s="329"/>
      <c r="G22" s="329"/>
      <c r="H22" s="329"/>
      <c r="I22" s="329"/>
      <c r="J22" s="329"/>
      <c r="K22" s="329"/>
      <c r="L22" s="329"/>
      <c r="M22" s="329"/>
      <c r="N22" s="329"/>
      <c r="O22" s="329"/>
      <c r="P22" s="329"/>
      <c r="Q22" s="172"/>
      <c r="R22" s="172"/>
      <c r="S22" s="172"/>
      <c r="T22" s="172"/>
      <c r="U22" s="329"/>
      <c r="V22" s="329"/>
      <c r="W22" s="329"/>
      <c r="X22" s="329"/>
      <c r="Y22" s="329"/>
      <c r="Z22" s="329"/>
      <c r="AA22" s="329"/>
      <c r="AB22" s="329"/>
      <c r="AC22" s="329"/>
      <c r="AD22" s="329"/>
      <c r="AE22" s="329"/>
      <c r="AF22" s="173"/>
    </row>
    <row r="23" spans="1:33">
      <c r="A23" s="174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330"/>
      <c r="R23" s="330"/>
      <c r="S23" s="330"/>
      <c r="T23" s="330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</row>
    <row r="27" spans="1:33">
      <c r="A27" s="144" t="str">
        <f ca="1">CELL("filename")</f>
        <v>O:\Fin_Ops\Engysvc\PowerPlants\Walton EMC\00 Weekly Reports\[Doyle Wkly 122800-Doyle.xls]ENA</v>
      </c>
    </row>
  </sheetData>
  <phoneticPr fontId="50" type="noConversion"/>
  <printOptions horizontalCentered="1"/>
  <pageMargins left="0.25" right="0.25" top="0.5" bottom="0.5" header="0.5" footer="0.5"/>
  <pageSetup paperSize="5" scale="64" orientation="landscape" vertic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65"/>
  <sheetViews>
    <sheetView topLeftCell="A532" workbookViewId="0">
      <selection activeCell="F563" sqref="F563"/>
    </sheetView>
  </sheetViews>
  <sheetFormatPr defaultColWidth="9.109375" defaultRowHeight="13.2"/>
  <cols>
    <col min="1" max="1" width="9.109375" style="127"/>
    <col min="2" max="2" width="36.6640625" style="127" customWidth="1"/>
    <col min="3" max="3" width="2.33203125" style="127" customWidth="1"/>
    <col min="4" max="4" width="18" style="332" customWidth="1"/>
    <col min="5" max="5" width="2.44140625" style="127" customWidth="1"/>
    <col min="6" max="6" width="75.44140625" style="127" customWidth="1"/>
    <col min="7" max="16384" width="9.109375" style="127"/>
  </cols>
  <sheetData>
    <row r="4" spans="2:6">
      <c r="B4" s="126" t="s">
        <v>546</v>
      </c>
    </row>
    <row r="5" spans="2:6">
      <c r="B5" s="128" t="s">
        <v>547</v>
      </c>
    </row>
    <row r="7" spans="2:6">
      <c r="D7" s="333" t="s">
        <v>548</v>
      </c>
      <c r="F7" s="129" t="s">
        <v>549</v>
      </c>
    </row>
    <row r="8" spans="2:6" ht="6" customHeight="1"/>
    <row r="9" spans="2:6">
      <c r="B9" s="127" t="s">
        <v>550</v>
      </c>
      <c r="D9" s="332">
        <v>793.07</v>
      </c>
    </row>
    <row r="10" spans="2:6">
      <c r="B10" s="127" t="s">
        <v>551</v>
      </c>
      <c r="D10" s="332">
        <v>20000</v>
      </c>
      <c r="F10" s="127" t="s">
        <v>552</v>
      </c>
    </row>
    <row r="11" spans="2:6">
      <c r="B11" s="127" t="s">
        <v>551</v>
      </c>
      <c r="D11" s="332">
        <v>100000</v>
      </c>
      <c r="F11" s="127" t="s">
        <v>553</v>
      </c>
    </row>
    <row r="12" spans="2:6">
      <c r="B12" s="127" t="s">
        <v>471</v>
      </c>
      <c r="D12" s="332">
        <f>-149519.93-7000</f>
        <v>-156519.93</v>
      </c>
      <c r="F12" s="127" t="s">
        <v>554</v>
      </c>
    </row>
    <row r="13" spans="2:6">
      <c r="B13" s="127" t="s">
        <v>555</v>
      </c>
      <c r="D13" s="332">
        <v>510000</v>
      </c>
      <c r="F13" s="127" t="s">
        <v>556</v>
      </c>
    </row>
    <row r="14" spans="2:6">
      <c r="B14" s="127" t="s">
        <v>557</v>
      </c>
      <c r="D14" s="332">
        <v>1632000</v>
      </c>
      <c r="F14" s="127" t="s">
        <v>558</v>
      </c>
    </row>
    <row r="15" spans="2:6">
      <c r="B15" s="127" t="s">
        <v>559</v>
      </c>
      <c r="D15" s="332">
        <v>3916.79</v>
      </c>
      <c r="F15" s="127" t="s">
        <v>560</v>
      </c>
    </row>
    <row r="16" spans="2:6">
      <c r="B16" s="127" t="s">
        <v>561</v>
      </c>
      <c r="D16" s="332">
        <v>969.25</v>
      </c>
      <c r="F16" s="127" t="s">
        <v>562</v>
      </c>
    </row>
    <row r="17" spans="2:6">
      <c r="B17" s="127" t="s">
        <v>563</v>
      </c>
      <c r="D17" s="332">
        <v>500000</v>
      </c>
      <c r="F17" s="127" t="s">
        <v>564</v>
      </c>
    </row>
    <row r="18" spans="2:6">
      <c r="B18" s="127" t="s">
        <v>565</v>
      </c>
      <c r="D18" s="332">
        <v>426.88</v>
      </c>
      <c r="F18" s="127" t="s">
        <v>566</v>
      </c>
    </row>
    <row r="19" spans="2:6">
      <c r="B19" s="127" t="s">
        <v>555</v>
      </c>
      <c r="D19" s="332">
        <f>5000+5000</f>
        <v>10000</v>
      </c>
      <c r="F19" s="127" t="s">
        <v>567</v>
      </c>
    </row>
    <row r="20" spans="2:6">
      <c r="B20" s="127" t="s">
        <v>555</v>
      </c>
      <c r="D20" s="332">
        <v>13833.93</v>
      </c>
      <c r="F20" s="127" t="s">
        <v>568</v>
      </c>
    </row>
    <row r="21" spans="2:6">
      <c r="B21" s="127" t="s">
        <v>555</v>
      </c>
      <c r="D21" s="332">
        <v>9303.06</v>
      </c>
      <c r="F21" s="127" t="s">
        <v>569</v>
      </c>
    </row>
    <row r="22" spans="2:6">
      <c r="B22" s="127" t="s">
        <v>551</v>
      </c>
      <c r="D22" s="332">
        <v>80000</v>
      </c>
      <c r="F22" s="127" t="s">
        <v>571</v>
      </c>
    </row>
    <row r="23" spans="2:6">
      <c r="B23" s="127" t="s">
        <v>572</v>
      </c>
      <c r="D23" s="332">
        <v>278580</v>
      </c>
      <c r="F23" s="127" t="s">
        <v>573</v>
      </c>
    </row>
    <row r="24" spans="2:6">
      <c r="B24" s="127" t="s">
        <v>574</v>
      </c>
      <c r="D24" s="332">
        <v>97500</v>
      </c>
      <c r="F24" s="127" t="s">
        <v>575</v>
      </c>
    </row>
    <row r="25" spans="2:6">
      <c r="B25" s="127" t="s">
        <v>559</v>
      </c>
      <c r="D25" s="332">
        <v>8599.99</v>
      </c>
      <c r="F25" s="127" t="s">
        <v>576</v>
      </c>
    </row>
    <row r="26" spans="2:6" hidden="1"/>
    <row r="27" spans="2:6" hidden="1"/>
    <row r="28" spans="2:6" hidden="1"/>
    <row r="29" spans="2:6" hidden="1"/>
    <row r="30" spans="2:6">
      <c r="D30" s="337">
        <v>230971</v>
      </c>
      <c r="F30" s="127" t="s">
        <v>941</v>
      </c>
    </row>
    <row r="31" spans="2:6">
      <c r="D31" s="334">
        <f>SUM(D9:D30)</f>
        <v>3340374.0400000005</v>
      </c>
    </row>
    <row r="33" spans="2:6">
      <c r="D33" s="333" t="s">
        <v>578</v>
      </c>
    </row>
    <row r="34" spans="2:6" ht="6" customHeight="1">
      <c r="D34" s="337"/>
    </row>
    <row r="35" spans="2:6">
      <c r="B35" s="127" t="s">
        <v>471</v>
      </c>
      <c r="D35" s="332">
        <v>2387.16</v>
      </c>
      <c r="F35" s="127" t="s">
        <v>579</v>
      </c>
    </row>
    <row r="36" spans="2:6">
      <c r="B36" s="127" t="s">
        <v>580</v>
      </c>
      <c r="D36" s="332">
        <v>23476.13</v>
      </c>
      <c r="F36" s="127" t="s">
        <v>581</v>
      </c>
    </row>
    <row r="37" spans="2:6">
      <c r="B37" s="127" t="s">
        <v>471</v>
      </c>
      <c r="D37" s="332">
        <v>7055.46</v>
      </c>
      <c r="F37" s="127" t="s">
        <v>582</v>
      </c>
    </row>
    <row r="38" spans="2:6">
      <c r="B38" s="127" t="s">
        <v>557</v>
      </c>
      <c r="D38" s="332">
        <v>1632000</v>
      </c>
      <c r="F38" s="127" t="s">
        <v>583</v>
      </c>
    </row>
    <row r="39" spans="2:6">
      <c r="B39" s="127" t="s">
        <v>563</v>
      </c>
      <c r="D39" s="332">
        <v>500000</v>
      </c>
      <c r="F39" s="127" t="s">
        <v>584</v>
      </c>
    </row>
    <row r="40" spans="2:6">
      <c r="B40" s="127" t="s">
        <v>585</v>
      </c>
      <c r="D40" s="332">
        <v>2197.5300000000002</v>
      </c>
      <c r="F40" s="127" t="s">
        <v>586</v>
      </c>
    </row>
    <row r="41" spans="2:6">
      <c r="B41" s="127" t="s">
        <v>587</v>
      </c>
      <c r="D41" s="332">
        <v>45905</v>
      </c>
      <c r="F41" s="127" t="s">
        <v>588</v>
      </c>
    </row>
    <row r="42" spans="2:6">
      <c r="B42" s="127" t="s">
        <v>587</v>
      </c>
      <c r="D42" s="332">
        <v>47620.5</v>
      </c>
      <c r="F42" s="127" t="s">
        <v>588</v>
      </c>
    </row>
    <row r="43" spans="2:6">
      <c r="B43" s="127" t="s">
        <v>551</v>
      </c>
      <c r="D43" s="332">
        <v>150000</v>
      </c>
      <c r="F43" s="127" t="s">
        <v>881</v>
      </c>
    </row>
    <row r="44" spans="2:6">
      <c r="B44" s="127" t="s">
        <v>551</v>
      </c>
      <c r="D44" s="332">
        <v>80000</v>
      </c>
      <c r="F44" s="127" t="s">
        <v>882</v>
      </c>
    </row>
    <row r="45" spans="2:6">
      <c r="B45" s="127" t="s">
        <v>883</v>
      </c>
      <c r="D45" s="332">
        <v>545437.80000000005</v>
      </c>
      <c r="F45" s="127" t="s">
        <v>884</v>
      </c>
    </row>
    <row r="46" spans="2:6">
      <c r="B46" s="127" t="s">
        <v>885</v>
      </c>
      <c r="D46" s="332">
        <v>12500</v>
      </c>
      <c r="F46" s="127" t="s">
        <v>886</v>
      </c>
    </row>
    <row r="47" spans="2:6">
      <c r="B47" s="127" t="s">
        <v>887</v>
      </c>
      <c r="D47" s="332">
        <v>17510.900000000001</v>
      </c>
      <c r="F47" s="127" t="s">
        <v>888</v>
      </c>
    </row>
    <row r="48" spans="2:6">
      <c r="B48" s="127" t="s">
        <v>565</v>
      </c>
      <c r="D48" s="332">
        <f>2025.33+73.48</f>
        <v>2098.81</v>
      </c>
      <c r="F48" s="127" t="s">
        <v>889</v>
      </c>
    </row>
    <row r="49" spans="2:6">
      <c r="B49" s="127" t="s">
        <v>890</v>
      </c>
      <c r="D49" s="332">
        <v>1145.46</v>
      </c>
      <c r="F49" s="127" t="s">
        <v>889</v>
      </c>
    </row>
    <row r="50" spans="2:6">
      <c r="B50" s="127" t="s">
        <v>917</v>
      </c>
      <c r="D50" s="332">
        <v>10132</v>
      </c>
      <c r="F50" s="127" t="s">
        <v>918</v>
      </c>
    </row>
    <row r="51" spans="2:6">
      <c r="B51" s="127" t="s">
        <v>580</v>
      </c>
      <c r="D51" s="332">
        <v>5034.12</v>
      </c>
      <c r="F51" s="127" t="s">
        <v>919</v>
      </c>
    </row>
    <row r="52" spans="2:6">
      <c r="B52" s="127" t="s">
        <v>572</v>
      </c>
      <c r="D52" s="332">
        <v>104297</v>
      </c>
      <c r="F52" s="127" t="s">
        <v>588</v>
      </c>
    </row>
    <row r="53" spans="2:6">
      <c r="B53" s="127" t="s">
        <v>572</v>
      </c>
      <c r="D53" s="332">
        <v>7168</v>
      </c>
      <c r="F53" s="127" t="s">
        <v>588</v>
      </c>
    </row>
    <row r="54" spans="2:6">
      <c r="B54" s="127" t="s">
        <v>551</v>
      </c>
      <c r="D54" s="332">
        <v>463226.2</v>
      </c>
      <c r="F54" s="127" t="s">
        <v>920</v>
      </c>
    </row>
    <row r="55" spans="2:6">
      <c r="B55" s="127" t="s">
        <v>942</v>
      </c>
      <c r="D55" s="332">
        <v>5000</v>
      </c>
      <c r="F55" s="127" t="s">
        <v>943</v>
      </c>
    </row>
    <row r="56" spans="2:6">
      <c r="D56" s="332">
        <v>250137</v>
      </c>
      <c r="F56" s="127" t="s">
        <v>941</v>
      </c>
    </row>
    <row r="57" spans="2:6">
      <c r="B57" s="127" t="s">
        <v>585</v>
      </c>
      <c r="D57" s="332">
        <v>981.83</v>
      </c>
      <c r="F57" s="127" t="s">
        <v>923</v>
      </c>
    </row>
    <row r="58" spans="2:6">
      <c r="B58" s="127" t="s">
        <v>887</v>
      </c>
      <c r="D58" s="332">
        <v>22413.15</v>
      </c>
      <c r="F58" s="127" t="s">
        <v>888</v>
      </c>
    </row>
    <row r="59" spans="2:6">
      <c r="B59" s="127" t="s">
        <v>551</v>
      </c>
      <c r="D59" s="332">
        <v>63659.61</v>
      </c>
      <c r="F59" s="127" t="s">
        <v>884</v>
      </c>
    </row>
    <row r="60" spans="2:6">
      <c r="D60" s="332">
        <v>-907656.2</v>
      </c>
      <c r="F60" s="127" t="s">
        <v>944</v>
      </c>
    </row>
    <row r="61" spans="2:6">
      <c r="D61" s="332">
        <v>250000</v>
      </c>
      <c r="F61" s="127" t="s">
        <v>944</v>
      </c>
    </row>
    <row r="62" spans="2:6">
      <c r="D62" s="334">
        <f>SUM(D35:D61)</f>
        <v>3343727.46</v>
      </c>
    </row>
    <row r="64" spans="2:6">
      <c r="D64" s="377" t="s">
        <v>933</v>
      </c>
    </row>
    <row r="65" spans="2:6" ht="6.75" customHeight="1"/>
    <row r="66" spans="2:6">
      <c r="B66" s="127" t="s">
        <v>924</v>
      </c>
      <c r="D66" s="332">
        <v>15834</v>
      </c>
      <c r="F66" s="127" t="s">
        <v>575</v>
      </c>
    </row>
    <row r="67" spans="2:6">
      <c r="B67" s="127" t="s">
        <v>925</v>
      </c>
      <c r="D67" s="332">
        <v>1848.15</v>
      </c>
      <c r="F67" s="127" t="s">
        <v>927</v>
      </c>
    </row>
    <row r="68" spans="2:6">
      <c r="B68" s="127" t="s">
        <v>563</v>
      </c>
      <c r="D68" s="332">
        <v>500000</v>
      </c>
      <c r="F68" s="127" t="s">
        <v>928</v>
      </c>
    </row>
    <row r="69" spans="2:6">
      <c r="B69" s="127" t="s">
        <v>551</v>
      </c>
      <c r="D69" s="332">
        <v>63668.61</v>
      </c>
      <c r="F69" s="127" t="s">
        <v>929</v>
      </c>
    </row>
    <row r="70" spans="2:6">
      <c r="B70" s="127" t="s">
        <v>551</v>
      </c>
      <c r="D70" s="332">
        <v>630000</v>
      </c>
      <c r="F70" s="127" t="s">
        <v>930</v>
      </c>
    </row>
    <row r="71" spans="2:6">
      <c r="B71" s="127" t="s">
        <v>587</v>
      </c>
      <c r="D71" s="332">
        <v>54196.5</v>
      </c>
      <c r="F71" s="127" t="s">
        <v>931</v>
      </c>
    </row>
    <row r="72" spans="2:6">
      <c r="B72" s="127" t="s">
        <v>432</v>
      </c>
      <c r="D72" s="332">
        <v>1632000</v>
      </c>
      <c r="F72" s="127" t="s">
        <v>928</v>
      </c>
    </row>
    <row r="73" spans="2:6">
      <c r="B73" s="127" t="s">
        <v>555</v>
      </c>
      <c r="D73" s="332">
        <v>5000</v>
      </c>
      <c r="F73" s="127" t="s">
        <v>922</v>
      </c>
    </row>
    <row r="74" spans="2:6">
      <c r="B74" s="127" t="s">
        <v>924</v>
      </c>
      <c r="D74" s="332">
        <v>15834</v>
      </c>
      <c r="F74" s="127" t="s">
        <v>945</v>
      </c>
    </row>
    <row r="75" spans="2:6">
      <c r="B75" s="127" t="s">
        <v>555</v>
      </c>
      <c r="D75" s="332">
        <v>11145.5</v>
      </c>
      <c r="F75" s="127" t="s">
        <v>946</v>
      </c>
    </row>
    <row r="76" spans="2:6">
      <c r="B76" s="127" t="s">
        <v>947</v>
      </c>
      <c r="D76" s="332">
        <v>52750</v>
      </c>
      <c r="F76" s="127" t="s">
        <v>948</v>
      </c>
    </row>
    <row r="77" spans="2:6">
      <c r="B77" s="127" t="s">
        <v>949</v>
      </c>
      <c r="D77" s="332">
        <v>977990</v>
      </c>
      <c r="F77" s="127" t="s">
        <v>950</v>
      </c>
    </row>
    <row r="78" spans="2:6">
      <c r="B78" s="127" t="s">
        <v>951</v>
      </c>
      <c r="D78" s="332">
        <v>11000</v>
      </c>
      <c r="F78" s="127" t="s">
        <v>952</v>
      </c>
    </row>
    <row r="79" spans="2:6">
      <c r="B79" s="127" t="s">
        <v>951</v>
      </c>
      <c r="D79" s="332">
        <v>3000</v>
      </c>
      <c r="F79" s="127" t="s">
        <v>952</v>
      </c>
    </row>
    <row r="80" spans="2:6">
      <c r="B80" s="127" t="s">
        <v>953</v>
      </c>
      <c r="D80" s="332">
        <v>126.84</v>
      </c>
      <c r="F80" s="127" t="s">
        <v>954</v>
      </c>
    </row>
    <row r="81" spans="2:6">
      <c r="B81" s="127" t="s">
        <v>953</v>
      </c>
      <c r="D81" s="332">
        <v>1131.4000000000001</v>
      </c>
      <c r="F81" s="127" t="s">
        <v>955</v>
      </c>
    </row>
    <row r="82" spans="2:6">
      <c r="B82" s="127" t="s">
        <v>953</v>
      </c>
      <c r="D82" s="332">
        <v>66.489999999999995</v>
      </c>
      <c r="F82" s="127" t="s">
        <v>956</v>
      </c>
    </row>
    <row r="83" spans="2:6">
      <c r="B83" s="127" t="s">
        <v>957</v>
      </c>
      <c r="D83" s="332">
        <v>8000</v>
      </c>
      <c r="F83" s="127" t="s">
        <v>958</v>
      </c>
    </row>
    <row r="84" spans="2:6">
      <c r="B84" s="127" t="s">
        <v>957</v>
      </c>
      <c r="D84" s="332">
        <v>8000</v>
      </c>
      <c r="F84" s="127" t="s">
        <v>958</v>
      </c>
    </row>
    <row r="85" spans="2:6">
      <c r="B85" s="127" t="s">
        <v>551</v>
      </c>
      <c r="D85" s="332">
        <v>100000</v>
      </c>
      <c r="F85" s="127" t="s">
        <v>959</v>
      </c>
    </row>
    <row r="86" spans="2:6">
      <c r="B86" s="127" t="s">
        <v>551</v>
      </c>
      <c r="D86" s="332">
        <v>125000</v>
      </c>
      <c r="F86" s="127" t="s">
        <v>960</v>
      </c>
    </row>
    <row r="87" spans="2:6">
      <c r="B87" s="127" t="s">
        <v>551</v>
      </c>
      <c r="D87" s="332">
        <v>39007.08</v>
      </c>
      <c r="F87" s="127" t="s">
        <v>961</v>
      </c>
    </row>
    <row r="88" spans="2:6">
      <c r="B88" s="127" t="s">
        <v>551</v>
      </c>
      <c r="D88" s="332">
        <v>755700</v>
      </c>
      <c r="F88" s="127" t="s">
        <v>962</v>
      </c>
    </row>
    <row r="89" spans="2:6">
      <c r="B89" s="127" t="s">
        <v>555</v>
      </c>
      <c r="D89" s="332">
        <v>9030.98</v>
      </c>
      <c r="F89" s="127" t="s">
        <v>963</v>
      </c>
    </row>
    <row r="90" spans="2:6">
      <c r="D90" s="337"/>
      <c r="F90" s="127" t="s">
        <v>964</v>
      </c>
    </row>
    <row r="91" spans="2:6">
      <c r="B91" s="127" t="s">
        <v>965</v>
      </c>
      <c r="D91" s="332">
        <v>2771.63</v>
      </c>
      <c r="F91" s="127" t="s">
        <v>966</v>
      </c>
    </row>
    <row r="92" spans="2:6">
      <c r="B92" s="127" t="s">
        <v>883</v>
      </c>
      <c r="D92" s="332">
        <v>272718.90000000002</v>
      </c>
      <c r="F92" s="127" t="s">
        <v>967</v>
      </c>
    </row>
    <row r="93" spans="2:6">
      <c r="B93" s="127" t="s">
        <v>883</v>
      </c>
      <c r="D93" s="332">
        <v>136359.45000000001</v>
      </c>
      <c r="F93" s="127" t="s">
        <v>967</v>
      </c>
    </row>
    <row r="94" spans="2:6">
      <c r="B94" s="127" t="s">
        <v>551</v>
      </c>
      <c r="D94" s="332">
        <v>9000</v>
      </c>
      <c r="F94" s="127" t="s">
        <v>968</v>
      </c>
    </row>
    <row r="95" spans="2:6">
      <c r="B95" s="127" t="s">
        <v>942</v>
      </c>
      <c r="D95" s="332">
        <v>203476.5</v>
      </c>
      <c r="F95" s="127" t="s">
        <v>969</v>
      </c>
    </row>
    <row r="96" spans="2:6">
      <c r="B96" s="127" t="s">
        <v>970</v>
      </c>
      <c r="D96" s="337">
        <v>52404.53</v>
      </c>
      <c r="F96" s="127" t="s">
        <v>978</v>
      </c>
    </row>
    <row r="97" spans="2:6">
      <c r="B97" s="127" t="s">
        <v>971</v>
      </c>
      <c r="D97" s="332">
        <v>5179.43</v>
      </c>
      <c r="F97" s="127" t="s">
        <v>945</v>
      </c>
    </row>
    <row r="98" spans="2:6">
      <c r="B98" s="127" t="s">
        <v>972</v>
      </c>
      <c r="D98" s="332">
        <v>22526</v>
      </c>
      <c r="F98" s="127" t="s">
        <v>973</v>
      </c>
    </row>
    <row r="99" spans="2:6">
      <c r="B99" s="127" t="s">
        <v>942</v>
      </c>
      <c r="D99" s="332">
        <v>10245.82</v>
      </c>
      <c r="F99" s="127" t="s">
        <v>974</v>
      </c>
    </row>
    <row r="100" spans="2:6">
      <c r="F100" s="127" t="s">
        <v>975</v>
      </c>
    </row>
    <row r="101" spans="2:6">
      <c r="B101" s="127" t="s">
        <v>976</v>
      </c>
      <c r="D101" s="332">
        <v>129539</v>
      </c>
      <c r="F101" s="127" t="s">
        <v>977</v>
      </c>
    </row>
    <row r="102" spans="2:6">
      <c r="B102" s="127" t="s">
        <v>976</v>
      </c>
      <c r="D102" s="332">
        <v>10985</v>
      </c>
      <c r="F102" s="127" t="s">
        <v>977</v>
      </c>
    </row>
    <row r="103" spans="2:6">
      <c r="B103" s="127" t="s">
        <v>976</v>
      </c>
      <c r="D103" s="332">
        <v>119361.69</v>
      </c>
      <c r="F103" s="127" t="s">
        <v>977</v>
      </c>
    </row>
    <row r="104" spans="2:6">
      <c r="B104" s="127" t="s">
        <v>976</v>
      </c>
      <c r="D104" s="337">
        <v>5289</v>
      </c>
      <c r="F104" s="127" t="s">
        <v>977</v>
      </c>
    </row>
    <row r="105" spans="2:6">
      <c r="B105" s="127" t="s">
        <v>976</v>
      </c>
      <c r="D105" s="332">
        <v>20808</v>
      </c>
      <c r="F105" s="127" t="s">
        <v>977</v>
      </c>
    </row>
    <row r="106" spans="2:6">
      <c r="B106" s="127" t="s">
        <v>976</v>
      </c>
      <c r="D106" s="332">
        <v>49370</v>
      </c>
      <c r="F106" s="127" t="s">
        <v>977</v>
      </c>
    </row>
    <row r="107" spans="2:6">
      <c r="B107" s="127" t="s">
        <v>976</v>
      </c>
      <c r="D107" s="332">
        <v>34500</v>
      </c>
      <c r="F107" s="127" t="s">
        <v>977</v>
      </c>
    </row>
    <row r="109" spans="2:6">
      <c r="B109" s="127" t="s">
        <v>979</v>
      </c>
      <c r="D109" s="332">
        <v>57410.7</v>
      </c>
      <c r="F109" s="127" t="s">
        <v>983</v>
      </c>
    </row>
    <row r="110" spans="2:6">
      <c r="B110" s="127" t="s">
        <v>980</v>
      </c>
      <c r="D110" s="332">
        <v>5000</v>
      </c>
      <c r="F110" s="127" t="s">
        <v>982</v>
      </c>
    </row>
    <row r="111" spans="2:6">
      <c r="B111" s="127" t="s">
        <v>981</v>
      </c>
      <c r="D111" s="332">
        <v>127328.22</v>
      </c>
      <c r="F111" s="127" t="s">
        <v>984</v>
      </c>
    </row>
    <row r="112" spans="2:6">
      <c r="B112" s="127" t="s">
        <v>986</v>
      </c>
      <c r="D112" s="332">
        <v>6980</v>
      </c>
      <c r="F112" s="127" t="s">
        <v>985</v>
      </c>
    </row>
    <row r="113" spans="2:6">
      <c r="B113" s="127" t="s">
        <v>981</v>
      </c>
      <c r="D113" s="332">
        <v>683258.64</v>
      </c>
      <c r="F113" s="127" t="s">
        <v>984</v>
      </c>
    </row>
    <row r="115" spans="2:6">
      <c r="D115" s="334">
        <f>SUM(D66:D114)</f>
        <v>6984842.0600000015</v>
      </c>
    </row>
    <row r="117" spans="2:6">
      <c r="D117" s="335" t="s">
        <v>987</v>
      </c>
    </row>
    <row r="118" spans="2:6">
      <c r="B118" s="127" t="s">
        <v>988</v>
      </c>
      <c r="D118" s="336">
        <v>3359.69</v>
      </c>
      <c r="F118" s="127" t="s">
        <v>989</v>
      </c>
    </row>
    <row r="119" spans="2:6">
      <c r="B119" s="127" t="s">
        <v>990</v>
      </c>
      <c r="D119" s="336">
        <v>33146.06</v>
      </c>
      <c r="F119" s="127" t="s">
        <v>991</v>
      </c>
    </row>
    <row r="120" spans="2:6">
      <c r="B120" s="127" t="s">
        <v>990</v>
      </c>
      <c r="D120" s="336">
        <v>8777.07</v>
      </c>
      <c r="F120" s="127" t="s">
        <v>992</v>
      </c>
    </row>
    <row r="121" spans="2:6">
      <c r="B121" s="127" t="s">
        <v>990</v>
      </c>
      <c r="D121" s="336">
        <v>5422.76</v>
      </c>
      <c r="F121" s="127" t="s">
        <v>992</v>
      </c>
    </row>
    <row r="122" spans="2:6">
      <c r="B122" s="127" t="s">
        <v>990</v>
      </c>
      <c r="D122" s="336">
        <v>2644.2</v>
      </c>
      <c r="F122" s="127" t="s">
        <v>993</v>
      </c>
    </row>
    <row r="123" spans="2:6">
      <c r="B123" s="127" t="s">
        <v>555</v>
      </c>
      <c r="D123" s="336">
        <v>10000</v>
      </c>
      <c r="F123" s="127" t="s">
        <v>994</v>
      </c>
    </row>
    <row r="124" spans="2:6">
      <c r="B124" s="127" t="s">
        <v>555</v>
      </c>
      <c r="D124" s="336">
        <v>5000</v>
      </c>
      <c r="F124" s="127" t="s">
        <v>995</v>
      </c>
    </row>
    <row r="125" spans="2:6">
      <c r="B125" s="127" t="s">
        <v>996</v>
      </c>
      <c r="D125" s="336">
        <v>82044.899999999994</v>
      </c>
      <c r="F125" s="127" t="s">
        <v>997</v>
      </c>
    </row>
    <row r="126" spans="2:6">
      <c r="B126" s="127" t="s">
        <v>432</v>
      </c>
      <c r="D126" s="336">
        <v>1632000</v>
      </c>
      <c r="F126" s="127" t="s">
        <v>998</v>
      </c>
    </row>
    <row r="127" spans="2:6">
      <c r="B127" s="127" t="s">
        <v>999</v>
      </c>
      <c r="D127" s="336">
        <v>500000</v>
      </c>
      <c r="F127" s="127" t="s">
        <v>1000</v>
      </c>
    </row>
    <row r="128" spans="2:6">
      <c r="B128" s="127" t="s">
        <v>1001</v>
      </c>
      <c r="D128" s="336">
        <v>15834</v>
      </c>
      <c r="F128" s="127" t="s">
        <v>1002</v>
      </c>
    </row>
    <row r="129" spans="2:6">
      <c r="B129" s="127" t="s">
        <v>580</v>
      </c>
      <c r="D129" s="339">
        <v>14179.86</v>
      </c>
      <c r="F129" s="127" t="s">
        <v>1003</v>
      </c>
    </row>
    <row r="130" spans="2:6">
      <c r="B130" s="127" t="s">
        <v>580</v>
      </c>
      <c r="D130" s="336">
        <v>79879.31</v>
      </c>
      <c r="F130" s="127" t="s">
        <v>1003</v>
      </c>
    </row>
    <row r="131" spans="2:6">
      <c r="B131" s="127" t="s">
        <v>580</v>
      </c>
      <c r="D131" s="336">
        <v>10609.34</v>
      </c>
      <c r="F131" s="127" t="s">
        <v>1003</v>
      </c>
    </row>
    <row r="132" spans="2:6">
      <c r="B132" s="127" t="s">
        <v>1004</v>
      </c>
      <c r="D132" s="336">
        <v>666.62</v>
      </c>
      <c r="F132" s="127" t="s">
        <v>1040</v>
      </c>
    </row>
    <row r="133" spans="2:6">
      <c r="B133" s="127" t="s">
        <v>1041</v>
      </c>
      <c r="D133" s="336">
        <v>9.17</v>
      </c>
      <c r="F133" s="127" t="s">
        <v>956</v>
      </c>
    </row>
    <row r="134" spans="2:6">
      <c r="B134" s="127" t="s">
        <v>1041</v>
      </c>
      <c r="D134" s="336">
        <v>484.41</v>
      </c>
      <c r="F134" s="127" t="s">
        <v>566</v>
      </c>
    </row>
    <row r="135" spans="2:6">
      <c r="B135" s="127" t="s">
        <v>953</v>
      </c>
      <c r="D135" s="336">
        <v>2152.8200000000002</v>
      </c>
      <c r="F135" s="127" t="s">
        <v>566</v>
      </c>
    </row>
    <row r="136" spans="2:6">
      <c r="D136" s="336"/>
    </row>
    <row r="137" spans="2:6">
      <c r="B137" s="127" t="s">
        <v>1044</v>
      </c>
      <c r="D137" s="336">
        <v>34278</v>
      </c>
      <c r="F137" s="127" t="s">
        <v>1045</v>
      </c>
    </row>
    <row r="138" spans="2:6">
      <c r="B138" s="127" t="s">
        <v>432</v>
      </c>
      <c r="D138" s="336">
        <v>1632000</v>
      </c>
      <c r="F138" s="127" t="s">
        <v>1046</v>
      </c>
    </row>
    <row r="139" spans="2:6">
      <c r="B139" s="127" t="s">
        <v>1047</v>
      </c>
      <c r="D139" s="336">
        <v>1383.69</v>
      </c>
      <c r="F139" s="127" t="s">
        <v>566</v>
      </c>
    </row>
    <row r="140" spans="2:6">
      <c r="B140" s="127" t="s">
        <v>1047</v>
      </c>
      <c r="D140" s="339">
        <v>126.22</v>
      </c>
      <c r="F140" s="127" t="s">
        <v>566</v>
      </c>
    </row>
    <row r="141" spans="2:6">
      <c r="D141" s="336"/>
    </row>
    <row r="142" spans="2:6">
      <c r="B142" s="127" t="s">
        <v>1359</v>
      </c>
      <c r="D142" s="332">
        <v>2300.25</v>
      </c>
      <c r="F142" s="127" t="s">
        <v>1040</v>
      </c>
    </row>
    <row r="143" spans="2:6">
      <c r="B143" s="127" t="s">
        <v>1360</v>
      </c>
      <c r="D143" s="332">
        <v>150000</v>
      </c>
      <c r="F143" s="127" t="s">
        <v>1367</v>
      </c>
    </row>
    <row r="144" spans="2:6">
      <c r="B144" s="127" t="s">
        <v>1360</v>
      </c>
      <c r="D144" s="332">
        <v>82875</v>
      </c>
      <c r="F144" s="127" t="s">
        <v>1371</v>
      </c>
    </row>
    <row r="145" spans="2:6">
      <c r="B145" s="127" t="s">
        <v>1360</v>
      </c>
      <c r="D145" s="332">
        <v>100000</v>
      </c>
      <c r="F145" s="127" t="s">
        <v>1370</v>
      </c>
    </row>
    <row r="146" spans="2:6">
      <c r="B146" s="127" t="s">
        <v>1360</v>
      </c>
      <c r="D146" s="332">
        <v>159160.5</v>
      </c>
      <c r="F146" s="127" t="s">
        <v>1369</v>
      </c>
    </row>
    <row r="147" spans="2:6">
      <c r="B147" s="127" t="s">
        <v>1360</v>
      </c>
      <c r="D147" s="332">
        <v>2742.2</v>
      </c>
      <c r="F147" s="127" t="s">
        <v>1368</v>
      </c>
    </row>
    <row r="148" spans="2:6">
      <c r="B148" s="127" t="s">
        <v>1372</v>
      </c>
      <c r="D148" s="332">
        <v>7017.42</v>
      </c>
      <c r="F148" s="127" t="s">
        <v>1374</v>
      </c>
    </row>
    <row r="149" spans="2:6">
      <c r="B149" s="127" t="s">
        <v>1372</v>
      </c>
      <c r="D149" s="332">
        <v>15000</v>
      </c>
      <c r="F149" s="127" t="s">
        <v>1373</v>
      </c>
    </row>
    <row r="150" spans="2:6">
      <c r="B150" s="127" t="s">
        <v>1375</v>
      </c>
      <c r="D150" s="332">
        <v>9000</v>
      </c>
      <c r="F150" s="127" t="s">
        <v>1376</v>
      </c>
    </row>
    <row r="151" spans="2:6">
      <c r="B151" s="127" t="s">
        <v>1375</v>
      </c>
      <c r="D151" s="332">
        <v>63485.07</v>
      </c>
      <c r="F151" s="127" t="s">
        <v>1377</v>
      </c>
    </row>
    <row r="152" spans="2:6">
      <c r="B152" s="127" t="s">
        <v>1378</v>
      </c>
      <c r="D152" s="332">
        <v>201869</v>
      </c>
      <c r="F152" s="127" t="s">
        <v>1379</v>
      </c>
    </row>
    <row r="153" spans="2:6">
      <c r="B153" s="127" t="s">
        <v>1378</v>
      </c>
      <c r="D153" s="337">
        <v>82855</v>
      </c>
      <c r="F153" s="127" t="s">
        <v>1380</v>
      </c>
    </row>
    <row r="154" spans="2:6">
      <c r="B154" s="127" t="s">
        <v>1378</v>
      </c>
      <c r="D154" s="332">
        <v>151015</v>
      </c>
      <c r="F154" s="127" t="s">
        <v>1381</v>
      </c>
    </row>
    <row r="155" spans="2:6">
      <c r="B155" s="127" t="s">
        <v>1378</v>
      </c>
      <c r="D155" s="332">
        <v>151015</v>
      </c>
      <c r="F155" s="127" t="s">
        <v>1382</v>
      </c>
    </row>
    <row r="156" spans="2:6">
      <c r="D156" s="337"/>
    </row>
    <row r="157" spans="2:6">
      <c r="B157" s="127" t="s">
        <v>1384</v>
      </c>
      <c r="D157" s="337">
        <v>316229.18</v>
      </c>
      <c r="F157" s="127" t="s">
        <v>1385</v>
      </c>
    </row>
    <row r="158" spans="2:6">
      <c r="B158" s="127" t="s">
        <v>1384</v>
      </c>
      <c r="D158" s="337">
        <v>186919</v>
      </c>
      <c r="F158" s="127" t="s">
        <v>1386</v>
      </c>
    </row>
    <row r="159" spans="2:6">
      <c r="B159" s="127" t="s">
        <v>1384</v>
      </c>
      <c r="D159" s="337">
        <v>700000</v>
      </c>
      <c r="F159" s="127" t="s">
        <v>1387</v>
      </c>
    </row>
    <row r="160" spans="2:6">
      <c r="B160" s="127" t="s">
        <v>1384</v>
      </c>
      <c r="D160" s="338">
        <v>1314512</v>
      </c>
    </row>
    <row r="161" spans="2:6">
      <c r="D161" s="339">
        <f>SUM(D118:D160)</f>
        <v>7769992.7399999993</v>
      </c>
    </row>
    <row r="163" spans="2:6">
      <c r="D163" s="335" t="s">
        <v>1392</v>
      </c>
    </row>
    <row r="164" spans="2:6">
      <c r="B164" s="127" t="s">
        <v>1043</v>
      </c>
      <c r="D164" s="332">
        <v>60398.33</v>
      </c>
      <c r="F164" s="127" t="s">
        <v>1393</v>
      </c>
    </row>
    <row r="165" spans="2:6">
      <c r="B165" s="127" t="s">
        <v>1043</v>
      </c>
      <c r="D165" s="337">
        <v>34252.67</v>
      </c>
      <c r="F165" s="127" t="s">
        <v>1394</v>
      </c>
    </row>
    <row r="166" spans="2:6">
      <c r="B166" s="127" t="s">
        <v>1043</v>
      </c>
      <c r="D166" s="332">
        <v>96762</v>
      </c>
      <c r="F166" s="127" t="s">
        <v>1395</v>
      </c>
    </row>
    <row r="167" spans="2:6">
      <c r="B167" s="127" t="s">
        <v>1043</v>
      </c>
      <c r="D167" s="332">
        <v>356900</v>
      </c>
      <c r="F167" s="127" t="s">
        <v>1396</v>
      </c>
    </row>
    <row r="168" spans="2:6">
      <c r="B168" s="127" t="s">
        <v>1004</v>
      </c>
      <c r="D168" s="332">
        <v>2158.3200000000002</v>
      </c>
      <c r="F168" s="127" t="s">
        <v>1040</v>
      </c>
    </row>
    <row r="169" spans="2:6">
      <c r="B169" s="127" t="s">
        <v>1398</v>
      </c>
      <c r="D169" s="332">
        <v>21750.25</v>
      </c>
      <c r="F169" s="127" t="s">
        <v>1399</v>
      </c>
    </row>
    <row r="170" spans="2:6">
      <c r="B170" s="127" t="s">
        <v>1400</v>
      </c>
      <c r="D170" s="332">
        <v>4589.45</v>
      </c>
      <c r="F170" s="127" t="s">
        <v>1401</v>
      </c>
    </row>
    <row r="171" spans="2:6">
      <c r="B171" s="127" t="s">
        <v>1400</v>
      </c>
      <c r="D171" s="332">
        <v>16484.03</v>
      </c>
      <c r="F171" s="127" t="s">
        <v>1402</v>
      </c>
    </row>
    <row r="172" spans="2:6">
      <c r="B172" s="127" t="s">
        <v>1400</v>
      </c>
      <c r="D172" s="332">
        <v>9568.9500000000007</v>
      </c>
      <c r="F172" s="127" t="s">
        <v>1404</v>
      </c>
    </row>
    <row r="173" spans="2:6">
      <c r="B173" s="127" t="s">
        <v>1400</v>
      </c>
      <c r="D173" s="332">
        <v>2059.3200000000002</v>
      </c>
      <c r="F173" s="127" t="s">
        <v>1405</v>
      </c>
    </row>
    <row r="174" spans="2:6">
      <c r="B174" s="127" t="s">
        <v>1400</v>
      </c>
      <c r="D174" s="332">
        <v>9301.58</v>
      </c>
      <c r="F174" s="127" t="s">
        <v>1403</v>
      </c>
    </row>
    <row r="175" spans="2:6">
      <c r="B175" s="127" t="s">
        <v>1400</v>
      </c>
      <c r="D175" s="332">
        <v>27961.73</v>
      </c>
      <c r="F175" s="127" t="s">
        <v>1408</v>
      </c>
    </row>
    <row r="176" spans="2:6">
      <c r="B176" s="127" t="s">
        <v>1400</v>
      </c>
      <c r="D176" s="332">
        <v>19918.900000000001</v>
      </c>
      <c r="F176" s="127" t="s">
        <v>1409</v>
      </c>
    </row>
    <row r="177" spans="2:6">
      <c r="B177" s="127" t="s">
        <v>1400</v>
      </c>
      <c r="D177" s="332">
        <v>27650.83</v>
      </c>
      <c r="F177" s="127" t="s">
        <v>1410</v>
      </c>
    </row>
    <row r="178" spans="2:6">
      <c r="B178" s="127" t="s">
        <v>1400</v>
      </c>
      <c r="D178" s="332">
        <v>41293.919999999998</v>
      </c>
      <c r="F178" s="127" t="s">
        <v>1411</v>
      </c>
    </row>
    <row r="179" spans="2:6">
      <c r="B179" s="127" t="s">
        <v>1400</v>
      </c>
      <c r="D179" s="332">
        <v>19502.89</v>
      </c>
      <c r="F179" s="127" t="s">
        <v>1412</v>
      </c>
    </row>
    <row r="180" spans="2:6" hidden="1">
      <c r="B180" s="127" t="s">
        <v>1400</v>
      </c>
    </row>
    <row r="181" spans="2:6" hidden="1">
      <c r="B181" s="127" t="s">
        <v>1400</v>
      </c>
    </row>
    <row r="182" spans="2:6" hidden="1">
      <c r="B182" s="127" t="s">
        <v>1400</v>
      </c>
    </row>
    <row r="183" spans="2:6">
      <c r="B183" s="127" t="s">
        <v>1447</v>
      </c>
      <c r="D183" s="332">
        <v>12500</v>
      </c>
      <c r="F183" s="127" t="s">
        <v>1413</v>
      </c>
    </row>
    <row r="184" spans="2:6">
      <c r="B184" s="127" t="s">
        <v>1420</v>
      </c>
      <c r="D184" s="332">
        <v>316.64999999999998</v>
      </c>
      <c r="F184" s="127" t="s">
        <v>566</v>
      </c>
    </row>
    <row r="185" spans="2:6">
      <c r="B185" s="127" t="s">
        <v>1421</v>
      </c>
      <c r="D185" s="332">
        <v>746.73</v>
      </c>
      <c r="F185" s="127" t="s">
        <v>566</v>
      </c>
    </row>
    <row r="186" spans="2:6">
      <c r="B186" s="127" t="s">
        <v>1421</v>
      </c>
      <c r="D186" s="332">
        <v>18.72</v>
      </c>
      <c r="F186" s="127" t="s">
        <v>566</v>
      </c>
    </row>
    <row r="187" spans="2:6">
      <c r="B187" s="127" t="s">
        <v>1397</v>
      </c>
      <c r="D187" s="332">
        <v>1640.13</v>
      </c>
      <c r="F187" s="127" t="s">
        <v>566</v>
      </c>
    </row>
    <row r="188" spans="2:6">
      <c r="B188" s="127" t="s">
        <v>1397</v>
      </c>
      <c r="D188" s="332">
        <v>828.67</v>
      </c>
      <c r="F188" s="127" t="s">
        <v>566</v>
      </c>
    </row>
    <row r="190" spans="2:6">
      <c r="B190" s="127" t="s">
        <v>1043</v>
      </c>
      <c r="D190" s="332">
        <v>59980.39</v>
      </c>
      <c r="F190" s="127" t="s">
        <v>1522</v>
      </c>
    </row>
    <row r="191" spans="2:6">
      <c r="B191" s="127" t="s">
        <v>1043</v>
      </c>
      <c r="D191" s="332">
        <v>450000</v>
      </c>
      <c r="F191" s="127" t="s">
        <v>1520</v>
      </c>
    </row>
    <row r="192" spans="2:6">
      <c r="B192" s="127" t="s">
        <v>1043</v>
      </c>
      <c r="D192" s="332">
        <v>611029</v>
      </c>
      <c r="F192" s="127" t="s">
        <v>1521</v>
      </c>
    </row>
    <row r="193" spans="2:6">
      <c r="B193" s="127" t="s">
        <v>1043</v>
      </c>
      <c r="D193" s="332">
        <v>139019.70000000001</v>
      </c>
      <c r="F193" s="127" t="s">
        <v>1523</v>
      </c>
    </row>
    <row r="194" spans="2:6">
      <c r="B194" s="127" t="s">
        <v>1562</v>
      </c>
      <c r="D194" s="337">
        <v>3446</v>
      </c>
      <c r="F194" s="127" t="s">
        <v>1563</v>
      </c>
    </row>
    <row r="195" spans="2:6">
      <c r="B195" s="127" t="s">
        <v>1562</v>
      </c>
      <c r="D195" s="332">
        <v>2561.1999999999998</v>
      </c>
      <c r="F195" s="127" t="s">
        <v>1564</v>
      </c>
    </row>
    <row r="196" spans="2:6">
      <c r="B196" s="127" t="s">
        <v>1562</v>
      </c>
      <c r="D196" s="332">
        <v>1832</v>
      </c>
      <c r="F196" s="127" t="s">
        <v>1565</v>
      </c>
    </row>
    <row r="197" spans="2:6">
      <c r="B197" s="127" t="s">
        <v>1562</v>
      </c>
      <c r="D197" s="332">
        <v>7160</v>
      </c>
      <c r="F197" s="127" t="s">
        <v>1566</v>
      </c>
    </row>
    <row r="198" spans="2:6">
      <c r="B198" s="127" t="s">
        <v>1562</v>
      </c>
      <c r="D198" s="332">
        <v>7160</v>
      </c>
      <c r="F198" s="127" t="s">
        <v>1567</v>
      </c>
    </row>
    <row r="199" spans="2:6">
      <c r="B199" s="127" t="s">
        <v>1524</v>
      </c>
      <c r="D199" s="332">
        <v>272718.90000000002</v>
      </c>
      <c r="F199" s="127" t="s">
        <v>1526</v>
      </c>
    </row>
    <row r="200" spans="2:6">
      <c r="B200" s="127" t="s">
        <v>1524</v>
      </c>
      <c r="D200" s="337">
        <v>303021</v>
      </c>
      <c r="F200" s="127" t="s">
        <v>1525</v>
      </c>
    </row>
    <row r="201" spans="2:6">
      <c r="B201" s="127" t="s">
        <v>1552</v>
      </c>
      <c r="D201" s="332">
        <v>328718</v>
      </c>
      <c r="F201" s="127" t="s">
        <v>1554</v>
      </c>
    </row>
    <row r="202" spans="2:6">
      <c r="B202" s="127" t="s">
        <v>1552</v>
      </c>
      <c r="D202" s="332">
        <v>2173279</v>
      </c>
      <c r="F202" s="127" t="s">
        <v>1553</v>
      </c>
    </row>
    <row r="203" spans="2:6">
      <c r="B203" s="127" t="s">
        <v>1400</v>
      </c>
      <c r="D203" s="332">
        <v>73114.289999999994</v>
      </c>
      <c r="F203" s="127" t="s">
        <v>1570</v>
      </c>
    </row>
    <row r="204" spans="2:6">
      <c r="B204" s="127" t="s">
        <v>1400</v>
      </c>
      <c r="D204" s="332">
        <v>192000</v>
      </c>
      <c r="F204" s="127" t="s">
        <v>1555</v>
      </c>
    </row>
    <row r="205" spans="2:6">
      <c r="B205" s="127" t="s">
        <v>1400</v>
      </c>
      <c r="D205" s="332">
        <v>22838.53</v>
      </c>
      <c r="F205" s="127" t="s">
        <v>1556</v>
      </c>
    </row>
    <row r="206" spans="2:6">
      <c r="B206" s="127" t="s">
        <v>1400</v>
      </c>
      <c r="D206" s="332">
        <v>40222.14</v>
      </c>
      <c r="F206" s="127" t="s">
        <v>1557</v>
      </c>
    </row>
    <row r="207" spans="2:6">
      <c r="B207" s="127" t="s">
        <v>1558</v>
      </c>
      <c r="D207" s="332">
        <v>22069.5</v>
      </c>
      <c r="F207" s="127" t="s">
        <v>1559</v>
      </c>
    </row>
    <row r="208" spans="2:6">
      <c r="B208" s="127" t="s">
        <v>979</v>
      </c>
      <c r="D208" s="332">
        <v>166666.67000000001</v>
      </c>
      <c r="F208" s="127" t="s">
        <v>1560</v>
      </c>
    </row>
    <row r="209" spans="2:6">
      <c r="B209" s="127" t="s">
        <v>1568</v>
      </c>
      <c r="D209" s="332">
        <v>4050.27</v>
      </c>
      <c r="F209" s="127" t="s">
        <v>1569</v>
      </c>
    </row>
    <row r="210" spans="2:6">
      <c r="B210" s="127" t="s">
        <v>580</v>
      </c>
      <c r="D210" s="332">
        <v>5515.93</v>
      </c>
      <c r="F210" s="127" t="s">
        <v>1561</v>
      </c>
    </row>
    <row r="211" spans="2:6">
      <c r="B211" s="127" t="s">
        <v>1420</v>
      </c>
      <c r="D211" s="332">
        <v>580.91999999999996</v>
      </c>
      <c r="F211" s="127" t="s">
        <v>566</v>
      </c>
    </row>
    <row r="213" spans="2:6">
      <c r="B213" s="127" t="s">
        <v>1591</v>
      </c>
      <c r="D213" s="336">
        <v>166666.67000000001</v>
      </c>
      <c r="F213" s="127" t="s">
        <v>1592</v>
      </c>
    </row>
    <row r="214" spans="2:6">
      <c r="B214" s="127" t="s">
        <v>1593</v>
      </c>
      <c r="D214" s="336">
        <v>1370.36</v>
      </c>
      <c r="F214" s="127" t="s">
        <v>1594</v>
      </c>
    </row>
    <row r="215" spans="2:6">
      <c r="B215" s="127" t="s">
        <v>1593</v>
      </c>
      <c r="D215" s="336">
        <v>558</v>
      </c>
      <c r="F215" s="127" t="s">
        <v>1594</v>
      </c>
    </row>
    <row r="216" spans="2:6">
      <c r="B216" s="127" t="s">
        <v>1593</v>
      </c>
      <c r="D216" s="336">
        <v>90000</v>
      </c>
      <c r="F216" s="127" t="s">
        <v>1596</v>
      </c>
    </row>
    <row r="217" spans="2:6">
      <c r="B217" s="127" t="s">
        <v>1593</v>
      </c>
      <c r="D217" s="336">
        <v>175000</v>
      </c>
      <c r="F217" s="127" t="s">
        <v>1597</v>
      </c>
    </row>
    <row r="218" spans="2:6">
      <c r="B218" s="127" t="s">
        <v>1593</v>
      </c>
      <c r="D218" s="336">
        <v>159160.5</v>
      </c>
      <c r="F218" s="127" t="s">
        <v>1598</v>
      </c>
    </row>
    <row r="219" spans="2:6">
      <c r="B219" s="127" t="s">
        <v>1593</v>
      </c>
      <c r="D219" s="336">
        <v>152369.1</v>
      </c>
      <c r="F219" s="127" t="s">
        <v>1599</v>
      </c>
    </row>
    <row r="220" spans="2:6">
      <c r="B220" s="127" t="s">
        <v>1595</v>
      </c>
      <c r="D220" s="339">
        <v>1627.5</v>
      </c>
      <c r="F220" s="127" t="s">
        <v>1594</v>
      </c>
    </row>
    <row r="221" spans="2:6">
      <c r="B221" s="127" t="s">
        <v>1595</v>
      </c>
      <c r="D221" s="336">
        <v>1250</v>
      </c>
      <c r="F221" s="127" t="s">
        <v>1594</v>
      </c>
    </row>
    <row r="222" spans="2:6">
      <c r="B222" s="127" t="s">
        <v>1595</v>
      </c>
      <c r="D222" s="336">
        <v>2280</v>
      </c>
      <c r="F222" s="127" t="s">
        <v>1594</v>
      </c>
    </row>
    <row r="223" spans="2:6">
      <c r="B223" s="127" t="s">
        <v>1595</v>
      </c>
      <c r="D223" s="336">
        <v>1624.25</v>
      </c>
      <c r="F223" s="127" t="s">
        <v>1594</v>
      </c>
    </row>
    <row r="224" spans="2:6">
      <c r="B224" s="127" t="s">
        <v>1595</v>
      </c>
      <c r="D224" s="339">
        <v>3446</v>
      </c>
      <c r="F224" s="127" t="s">
        <v>1594</v>
      </c>
    </row>
    <row r="225" spans="2:6">
      <c r="B225" s="127" t="s">
        <v>1595</v>
      </c>
      <c r="D225" s="336">
        <v>269.39</v>
      </c>
      <c r="F225" s="127" t="s">
        <v>1594</v>
      </c>
    </row>
    <row r="226" spans="2:6">
      <c r="B226" s="127" t="s">
        <v>1600</v>
      </c>
      <c r="D226" s="339">
        <v>925</v>
      </c>
      <c r="F226" s="127" t="s">
        <v>1594</v>
      </c>
    </row>
    <row r="227" spans="2:6">
      <c r="B227" s="127" t="s">
        <v>999</v>
      </c>
      <c r="D227" s="336">
        <v>532622</v>
      </c>
      <c r="F227" s="127" t="s">
        <v>1601</v>
      </c>
    </row>
    <row r="228" spans="2:6">
      <c r="B228" s="127" t="s">
        <v>1602</v>
      </c>
      <c r="D228" s="336">
        <v>49353.760000000002</v>
      </c>
      <c r="F228" s="127" t="s">
        <v>1603</v>
      </c>
    </row>
    <row r="229" spans="2:6">
      <c r="B229" s="127" t="s">
        <v>1604</v>
      </c>
      <c r="D229" s="336">
        <v>1506.69</v>
      </c>
      <c r="F229" s="127" t="s">
        <v>1040</v>
      </c>
    </row>
    <row r="230" spans="2:6">
      <c r="B230" s="127" t="s">
        <v>1605</v>
      </c>
      <c r="D230" s="336">
        <v>200.12</v>
      </c>
      <c r="F230" s="127" t="s">
        <v>956</v>
      </c>
    </row>
    <row r="231" spans="2:6">
      <c r="B231" s="127" t="s">
        <v>1605</v>
      </c>
      <c r="D231" s="336">
        <v>2231.25</v>
      </c>
      <c r="F231" s="127" t="s">
        <v>1606</v>
      </c>
    </row>
    <row r="232" spans="2:6">
      <c r="D232" s="336"/>
    </row>
    <row r="233" spans="2:6">
      <c r="B233" s="127" t="s">
        <v>1667</v>
      </c>
      <c r="D233" s="339">
        <f>674.69+464.29+429.85+270.9+931.98+6727.02</f>
        <v>9498.73</v>
      </c>
    </row>
    <row r="234" spans="2:6">
      <c r="B234" s="127" t="s">
        <v>580</v>
      </c>
      <c r="D234" s="336">
        <f>6134.01+9917.44+43465.95</f>
        <v>59517.399999999994</v>
      </c>
      <c r="F234" s="127" t="s">
        <v>1665</v>
      </c>
    </row>
    <row r="235" spans="2:6">
      <c r="B235" s="127" t="s">
        <v>1668</v>
      </c>
      <c r="D235" s="336">
        <v>1852.25</v>
      </c>
      <c r="F235" s="127" t="s">
        <v>274</v>
      </c>
    </row>
    <row r="236" spans="2:6">
      <c r="B236" s="127" t="s">
        <v>1657</v>
      </c>
      <c r="D236" s="378">
        <v>360766</v>
      </c>
      <c r="F236" s="127" t="s">
        <v>1666</v>
      </c>
    </row>
    <row r="237" spans="2:6">
      <c r="D237" s="332">
        <f>SUM(D164:D236)</f>
        <v>7427682.4799999995</v>
      </c>
    </row>
    <row r="239" spans="2:6">
      <c r="D239" s="335" t="s">
        <v>1669</v>
      </c>
    </row>
    <row r="240" spans="2:6">
      <c r="B240" s="127" t="s">
        <v>1670</v>
      </c>
      <c r="D240" s="336">
        <v>32319.35</v>
      </c>
      <c r="F240" s="127" t="s">
        <v>1671</v>
      </c>
    </row>
    <row r="241" spans="2:6">
      <c r="B241" s="127" t="s">
        <v>1670</v>
      </c>
      <c r="D241" s="336">
        <v>47656.79</v>
      </c>
      <c r="F241" s="127" t="s">
        <v>1672</v>
      </c>
    </row>
    <row r="242" spans="2:6">
      <c r="B242" s="127" t="s">
        <v>1670</v>
      </c>
      <c r="D242" s="336">
        <v>45840.46</v>
      </c>
      <c r="F242" s="127" t="s">
        <v>1672</v>
      </c>
    </row>
    <row r="243" spans="2:6">
      <c r="B243" s="127" t="s">
        <v>1552</v>
      </c>
      <c r="D243" s="336">
        <v>5151338</v>
      </c>
      <c r="F243" s="127" t="s">
        <v>13</v>
      </c>
    </row>
    <row r="244" spans="2:6">
      <c r="B244" s="127" t="s">
        <v>1552</v>
      </c>
      <c r="D244" s="336">
        <v>157687</v>
      </c>
      <c r="F244" s="127" t="s">
        <v>14</v>
      </c>
    </row>
    <row r="245" spans="2:6">
      <c r="B245" s="127" t="s">
        <v>1673</v>
      </c>
      <c r="D245" s="336">
        <v>158159</v>
      </c>
      <c r="F245" s="127" t="s">
        <v>1676</v>
      </c>
    </row>
    <row r="246" spans="2:6">
      <c r="B246" s="127" t="s">
        <v>1673</v>
      </c>
      <c r="D246" s="336">
        <v>3190</v>
      </c>
      <c r="F246" s="127" t="s">
        <v>1692</v>
      </c>
    </row>
    <row r="247" spans="2:6">
      <c r="B247" s="127" t="s">
        <v>1677</v>
      </c>
      <c r="D247" s="336">
        <v>109470.47</v>
      </c>
      <c r="F247" s="127" t="s">
        <v>1678</v>
      </c>
    </row>
    <row r="248" spans="2:6">
      <c r="B248" s="127" t="s">
        <v>1677</v>
      </c>
      <c r="D248" s="336">
        <v>226375.67999999999</v>
      </c>
      <c r="F248" s="127" t="s">
        <v>1679</v>
      </c>
    </row>
    <row r="249" spans="2:6">
      <c r="B249" s="127" t="s">
        <v>1677</v>
      </c>
      <c r="D249" s="336">
        <v>107307.5</v>
      </c>
      <c r="F249" s="127" t="s">
        <v>1678</v>
      </c>
    </row>
    <row r="250" spans="2:6">
      <c r="B250" s="127" t="s">
        <v>1677</v>
      </c>
      <c r="D250" s="336">
        <v>45988.93</v>
      </c>
      <c r="F250" s="127" t="s">
        <v>1680</v>
      </c>
    </row>
    <row r="251" spans="2:6">
      <c r="B251" s="127" t="s">
        <v>1677</v>
      </c>
      <c r="D251" s="336">
        <v>59973.51</v>
      </c>
      <c r="F251" s="127" t="s">
        <v>1681</v>
      </c>
    </row>
    <row r="252" spans="2:6">
      <c r="B252" s="127" t="s">
        <v>1677</v>
      </c>
      <c r="D252" s="339">
        <v>316800</v>
      </c>
      <c r="F252" s="127" t="s">
        <v>1682</v>
      </c>
    </row>
    <row r="253" spans="2:6">
      <c r="B253" s="127" t="s">
        <v>1677</v>
      </c>
      <c r="D253" s="336">
        <v>13506.95</v>
      </c>
      <c r="F253" s="127" t="s">
        <v>1683</v>
      </c>
    </row>
    <row r="254" spans="2:6">
      <c r="B254" s="127" t="s">
        <v>1677</v>
      </c>
      <c r="D254" s="336">
        <v>165580.24</v>
      </c>
      <c r="F254" s="127" t="s">
        <v>1689</v>
      </c>
    </row>
    <row r="255" spans="2:6">
      <c r="B255" s="127" t="s">
        <v>1677</v>
      </c>
      <c r="D255" s="339">
        <v>29582.71</v>
      </c>
      <c r="F255" s="127" t="s">
        <v>1690</v>
      </c>
    </row>
    <row r="256" spans="2:6">
      <c r="B256" s="127" t="s">
        <v>1677</v>
      </c>
      <c r="D256" s="336">
        <v>33612</v>
      </c>
      <c r="F256" s="127" t="s">
        <v>1691</v>
      </c>
    </row>
    <row r="257" spans="2:6">
      <c r="B257" s="127" t="s">
        <v>1677</v>
      </c>
      <c r="D257" s="336">
        <v>28581</v>
      </c>
      <c r="F257" s="127" t="s">
        <v>1691</v>
      </c>
    </row>
    <row r="258" spans="2:6">
      <c r="B258" s="127" t="s">
        <v>1677</v>
      </c>
      <c r="D258" s="336">
        <v>89336.27</v>
      </c>
      <c r="F258" s="127" t="s">
        <v>1691</v>
      </c>
    </row>
    <row r="259" spans="2:6">
      <c r="B259" s="127" t="s">
        <v>1677</v>
      </c>
      <c r="D259" s="336">
        <v>29084.32</v>
      </c>
      <c r="F259" s="127" t="s">
        <v>10</v>
      </c>
    </row>
    <row r="260" spans="2:6">
      <c r="B260" s="127" t="s">
        <v>1677</v>
      </c>
      <c r="D260" s="336">
        <v>125000</v>
      </c>
      <c r="F260" s="127" t="s">
        <v>11</v>
      </c>
    </row>
    <row r="261" spans="2:6">
      <c r="B261" s="127" t="s">
        <v>1677</v>
      </c>
      <c r="D261" s="336">
        <v>139743.6</v>
      </c>
      <c r="F261" s="127" t="s">
        <v>12</v>
      </c>
    </row>
    <row r="262" spans="2:6">
      <c r="B262" s="127" t="s">
        <v>883</v>
      </c>
      <c r="D262" s="336">
        <v>272718.90000000002</v>
      </c>
      <c r="F262" s="127" t="s">
        <v>1693</v>
      </c>
    </row>
    <row r="263" spans="2:6">
      <c r="B263" s="127" t="s">
        <v>942</v>
      </c>
      <c r="D263" s="336">
        <v>15000</v>
      </c>
      <c r="F263" s="127" t="s">
        <v>1694</v>
      </c>
    </row>
    <row r="264" spans="2:6">
      <c r="B264" s="127" t="s">
        <v>942</v>
      </c>
      <c r="D264" s="336">
        <v>10231.82</v>
      </c>
      <c r="F264" s="127" t="s">
        <v>1694</v>
      </c>
    </row>
    <row r="265" spans="2:6">
      <c r="B265" s="127" t="s">
        <v>432</v>
      </c>
      <c r="D265" s="336">
        <v>1632000</v>
      </c>
      <c r="F265" s="127" t="s">
        <v>1684</v>
      </c>
    </row>
    <row r="266" spans="2:6">
      <c r="B266" s="127" t="s">
        <v>1685</v>
      </c>
      <c r="D266" s="336">
        <v>30050</v>
      </c>
      <c r="F266" s="127" t="s">
        <v>1683</v>
      </c>
    </row>
    <row r="267" spans="2:6">
      <c r="B267" s="127" t="s">
        <v>1685</v>
      </c>
      <c r="D267" s="336">
        <v>300</v>
      </c>
      <c r="F267" s="127" t="s">
        <v>1683</v>
      </c>
    </row>
    <row r="268" spans="2:6">
      <c r="B268" s="127" t="s">
        <v>1685</v>
      </c>
      <c r="D268" s="336">
        <v>300</v>
      </c>
      <c r="F268" s="127" t="s">
        <v>1683</v>
      </c>
    </row>
    <row r="269" spans="2:6">
      <c r="B269" s="127" t="s">
        <v>1604</v>
      </c>
      <c r="D269" s="336">
        <v>26.24</v>
      </c>
      <c r="F269" s="127" t="s">
        <v>413</v>
      </c>
    </row>
    <row r="270" spans="2:6">
      <c r="B270" s="127" t="s">
        <v>1695</v>
      </c>
      <c r="D270" s="336">
        <v>1069.5</v>
      </c>
      <c r="F270" s="127" t="s">
        <v>1696</v>
      </c>
    </row>
    <row r="271" spans="2:6">
      <c r="B271" s="127" t="s">
        <v>1695</v>
      </c>
      <c r="D271" s="336">
        <v>2712</v>
      </c>
      <c r="F271" s="127" t="s">
        <v>1696</v>
      </c>
    </row>
    <row r="272" spans="2:6">
      <c r="B272" s="127" t="s">
        <v>1667</v>
      </c>
      <c r="D272" s="336">
        <v>156476.51999999999</v>
      </c>
      <c r="F272" s="127" t="s">
        <v>1697</v>
      </c>
    </row>
    <row r="273" spans="2:6">
      <c r="B273" s="127" t="s">
        <v>1398</v>
      </c>
      <c r="D273" s="336">
        <v>20421.09</v>
      </c>
      <c r="F273" s="127" t="s">
        <v>1698</v>
      </c>
    </row>
    <row r="274" spans="2:6">
      <c r="B274" s="127" t="s">
        <v>1053</v>
      </c>
      <c r="D274" s="339">
        <v>-199260.36</v>
      </c>
      <c r="F274" s="127" t="s">
        <v>15</v>
      </c>
    </row>
    <row r="275" spans="2:6">
      <c r="D275" s="339"/>
    </row>
    <row r="276" spans="2:6">
      <c r="B276" s="127" t="s">
        <v>466</v>
      </c>
      <c r="D276" s="339">
        <v>2036.4</v>
      </c>
      <c r="F276" s="127" t="s">
        <v>28</v>
      </c>
    </row>
    <row r="277" spans="2:6">
      <c r="B277" s="127" t="s">
        <v>1568</v>
      </c>
      <c r="D277" s="339">
        <v>3255.75</v>
      </c>
      <c r="F277" s="127" t="s">
        <v>28</v>
      </c>
    </row>
    <row r="278" spans="2:6">
      <c r="B278" s="127" t="s">
        <v>43</v>
      </c>
      <c r="D278" s="339">
        <v>160750</v>
      </c>
      <c r="F278" s="127" t="s">
        <v>45</v>
      </c>
    </row>
    <row r="279" spans="2:6">
      <c r="B279" s="127" t="s">
        <v>1605</v>
      </c>
      <c r="D279" s="339">
        <v>1960.12</v>
      </c>
      <c r="F279" s="127" t="s">
        <v>274</v>
      </c>
    </row>
    <row r="280" spans="2:6">
      <c r="B280" s="127" t="s">
        <v>1605</v>
      </c>
      <c r="D280" s="339">
        <v>588.63</v>
      </c>
      <c r="F280" s="127" t="s">
        <v>274</v>
      </c>
    </row>
    <row r="281" spans="2:6">
      <c r="B281" s="127" t="s">
        <v>44</v>
      </c>
      <c r="D281" s="339">
        <v>-9000000</v>
      </c>
      <c r="F281" s="127" t="s">
        <v>47</v>
      </c>
    </row>
    <row r="282" spans="2:6">
      <c r="B282" s="127" t="s">
        <v>44</v>
      </c>
      <c r="D282" s="339">
        <v>-14500000</v>
      </c>
      <c r="F282" s="127" t="s">
        <v>47</v>
      </c>
    </row>
    <row r="283" spans="2:6">
      <c r="D283" s="339"/>
    </row>
    <row r="284" spans="2:6">
      <c r="B284" s="127" t="s">
        <v>1657</v>
      </c>
      <c r="D284" s="378">
        <v>305886.21000000002</v>
      </c>
      <c r="F284" s="127" t="s">
        <v>143</v>
      </c>
    </row>
    <row r="285" spans="2:6">
      <c r="D285" s="332">
        <f>SUM(D240:D284)</f>
        <v>-13967343.399999999</v>
      </c>
    </row>
    <row r="287" spans="2:6">
      <c r="D287" s="335" t="s">
        <v>46</v>
      </c>
    </row>
    <row r="288" spans="2:6">
      <c r="B288" s="127" t="s">
        <v>48</v>
      </c>
      <c r="D288" s="332">
        <v>22912.59</v>
      </c>
      <c r="F288" s="127" t="s">
        <v>49</v>
      </c>
    </row>
    <row r="289" spans="2:6">
      <c r="B289" s="127" t="s">
        <v>50</v>
      </c>
      <c r="D289" s="332">
        <v>26674.37</v>
      </c>
      <c r="F289" s="127" t="s">
        <v>57</v>
      </c>
    </row>
    <row r="290" spans="2:6">
      <c r="B290" s="127" t="s">
        <v>50</v>
      </c>
      <c r="D290" s="332">
        <v>104388.35</v>
      </c>
      <c r="F290" s="127" t="s">
        <v>51</v>
      </c>
    </row>
    <row r="291" spans="2:6">
      <c r="B291" s="127" t="s">
        <v>50</v>
      </c>
      <c r="D291" s="332">
        <v>64000</v>
      </c>
      <c r="F291" s="127" t="s">
        <v>53</v>
      </c>
    </row>
    <row r="292" spans="2:6">
      <c r="B292" s="127" t="s">
        <v>50</v>
      </c>
      <c r="D292" s="332">
        <v>24371.43</v>
      </c>
      <c r="F292" s="127" t="s">
        <v>54</v>
      </c>
    </row>
    <row r="293" spans="2:6">
      <c r="B293" s="127" t="s">
        <v>50</v>
      </c>
      <c r="D293" s="332">
        <v>136622.32999999999</v>
      </c>
      <c r="F293" s="127" t="s">
        <v>52</v>
      </c>
    </row>
    <row r="294" spans="2:6">
      <c r="B294" s="127" t="s">
        <v>50</v>
      </c>
      <c r="D294" s="332">
        <v>64000</v>
      </c>
      <c r="F294" s="127" t="s">
        <v>55</v>
      </c>
    </row>
    <row r="295" spans="2:6">
      <c r="B295" s="127" t="s">
        <v>50</v>
      </c>
      <c r="D295" s="332">
        <v>24371.43</v>
      </c>
      <c r="F295" s="127" t="s">
        <v>56</v>
      </c>
    </row>
    <row r="296" spans="2:6">
      <c r="B296" s="127" t="s">
        <v>50</v>
      </c>
      <c r="D296" s="332">
        <v>8383.51</v>
      </c>
      <c r="F296" s="127" t="s">
        <v>58</v>
      </c>
    </row>
    <row r="297" spans="2:6">
      <c r="B297" s="127" t="s">
        <v>50</v>
      </c>
      <c r="D297" s="332">
        <v>12449.27</v>
      </c>
      <c r="F297" s="127" t="s">
        <v>59</v>
      </c>
    </row>
    <row r="298" spans="2:6">
      <c r="B298" s="127" t="s">
        <v>1591</v>
      </c>
      <c r="D298" s="332">
        <v>172232.1</v>
      </c>
      <c r="F298" s="127" t="s">
        <v>60</v>
      </c>
    </row>
    <row r="299" spans="2:6">
      <c r="B299" s="127" t="s">
        <v>1591</v>
      </c>
      <c r="D299" s="332">
        <v>53400</v>
      </c>
      <c r="F299" s="127" t="s">
        <v>315</v>
      </c>
    </row>
    <row r="300" spans="2:6">
      <c r="B300" s="127" t="s">
        <v>1591</v>
      </c>
      <c r="D300" s="332">
        <v>156450</v>
      </c>
      <c r="F300" s="127" t="s">
        <v>61</v>
      </c>
    </row>
    <row r="301" spans="2:6">
      <c r="B301" s="127" t="s">
        <v>1591</v>
      </c>
      <c r="D301" s="332">
        <v>76106.100000000006</v>
      </c>
      <c r="F301" s="127" t="s">
        <v>62</v>
      </c>
    </row>
    <row r="302" spans="2:6">
      <c r="B302" s="127" t="s">
        <v>1591</v>
      </c>
      <c r="D302" s="332">
        <v>228318.3</v>
      </c>
      <c r="F302" s="127" t="s">
        <v>62</v>
      </c>
    </row>
    <row r="303" spans="2:6">
      <c r="B303" s="127" t="s">
        <v>1591</v>
      </c>
      <c r="D303" s="332">
        <v>456636.6</v>
      </c>
      <c r="F303" s="127" t="s">
        <v>62</v>
      </c>
    </row>
    <row r="304" spans="2:6">
      <c r="B304" s="127" t="s">
        <v>1591</v>
      </c>
      <c r="D304" s="332">
        <v>456636.6</v>
      </c>
      <c r="F304" s="127" t="s">
        <v>62</v>
      </c>
    </row>
    <row r="305" spans="2:6">
      <c r="B305" s="127" t="s">
        <v>1591</v>
      </c>
      <c r="D305" s="332">
        <v>152212.20000000001</v>
      </c>
      <c r="F305" s="127" t="s">
        <v>62</v>
      </c>
    </row>
    <row r="306" spans="2:6">
      <c r="B306" s="127" t="s">
        <v>1591</v>
      </c>
      <c r="D306" s="332">
        <v>36000</v>
      </c>
      <c r="F306" s="127" t="s">
        <v>136</v>
      </c>
    </row>
    <row r="307" spans="2:6">
      <c r="B307" s="127" t="s">
        <v>64</v>
      </c>
      <c r="D307" s="332">
        <v>64112</v>
      </c>
      <c r="F307" s="127" t="s">
        <v>63</v>
      </c>
    </row>
    <row r="308" spans="2:6">
      <c r="B308" s="127" t="s">
        <v>131</v>
      </c>
      <c r="D308" s="337">
        <v>105000</v>
      </c>
      <c r="F308" s="127" t="s">
        <v>65</v>
      </c>
    </row>
    <row r="309" spans="2:6">
      <c r="B309" s="127" t="s">
        <v>131</v>
      </c>
      <c r="D309" s="332">
        <v>27013.53</v>
      </c>
      <c r="F309" s="127" t="s">
        <v>66</v>
      </c>
    </row>
    <row r="310" spans="2:6">
      <c r="B310" s="127" t="s">
        <v>131</v>
      </c>
      <c r="D310" s="332">
        <v>139615.51</v>
      </c>
      <c r="F310" s="127" t="s">
        <v>67</v>
      </c>
    </row>
    <row r="311" spans="2:6">
      <c r="B311" s="127" t="s">
        <v>131</v>
      </c>
      <c r="D311" s="332">
        <v>5374.81</v>
      </c>
      <c r="F311" s="127" t="s">
        <v>68</v>
      </c>
    </row>
    <row r="312" spans="2:6">
      <c r="B312" s="127" t="s">
        <v>131</v>
      </c>
      <c r="D312" s="332">
        <v>76991.62</v>
      </c>
      <c r="F312" s="127" t="s">
        <v>69</v>
      </c>
    </row>
    <row r="313" spans="2:6">
      <c r="B313" s="127" t="s">
        <v>131</v>
      </c>
      <c r="D313" s="332">
        <v>323039.5</v>
      </c>
      <c r="F313" s="127" t="s">
        <v>128</v>
      </c>
    </row>
    <row r="314" spans="2:6">
      <c r="B314" s="127" t="s">
        <v>131</v>
      </c>
      <c r="D314" s="332">
        <v>21839.9</v>
      </c>
      <c r="F314" s="127" t="s">
        <v>129</v>
      </c>
    </row>
    <row r="315" spans="2:6">
      <c r="B315" s="127" t="s">
        <v>131</v>
      </c>
      <c r="D315" s="332">
        <v>50000</v>
      </c>
      <c r="F315" s="127" t="s">
        <v>130</v>
      </c>
    </row>
    <row r="316" spans="2:6">
      <c r="B316" s="127" t="s">
        <v>131</v>
      </c>
      <c r="D316" s="332">
        <v>45737.22</v>
      </c>
      <c r="F316" s="127" t="s">
        <v>132</v>
      </c>
    </row>
    <row r="317" spans="2:6">
      <c r="B317" s="127" t="s">
        <v>133</v>
      </c>
      <c r="D317" s="332">
        <v>2500</v>
      </c>
      <c r="F317" s="127" t="s">
        <v>134</v>
      </c>
    </row>
    <row r="318" spans="2:6">
      <c r="B318" s="127" t="s">
        <v>135</v>
      </c>
      <c r="D318" s="332">
        <v>421.55</v>
      </c>
      <c r="F318" s="127" t="s">
        <v>566</v>
      </c>
    </row>
    <row r="319" spans="2:6">
      <c r="B319" s="127" t="s">
        <v>135</v>
      </c>
      <c r="D319" s="332">
        <v>3436.57</v>
      </c>
      <c r="F319" s="127" t="s">
        <v>566</v>
      </c>
    </row>
    <row r="321" spans="2:6">
      <c r="B321" s="127" t="s">
        <v>145</v>
      </c>
      <c r="D321" s="332">
        <v>407787</v>
      </c>
      <c r="F321" s="127" t="s">
        <v>151</v>
      </c>
    </row>
    <row r="322" spans="2:6">
      <c r="B322" s="127" t="s">
        <v>146</v>
      </c>
      <c r="D322" s="332">
        <v>20139.650000000001</v>
      </c>
      <c r="F322" s="127" t="s">
        <v>156</v>
      </c>
    </row>
    <row r="323" spans="2:6">
      <c r="B323" s="127" t="s">
        <v>146</v>
      </c>
      <c r="D323" s="332">
        <v>3526.51</v>
      </c>
      <c r="F323" s="127" t="s">
        <v>157</v>
      </c>
    </row>
    <row r="324" spans="2:6">
      <c r="B324" s="127" t="s">
        <v>146</v>
      </c>
      <c r="D324" s="332">
        <v>6000</v>
      </c>
      <c r="F324" s="127" t="s">
        <v>152</v>
      </c>
    </row>
    <row r="325" spans="2:6">
      <c r="B325" s="127" t="s">
        <v>146</v>
      </c>
      <c r="D325" s="332">
        <v>22018.36</v>
      </c>
      <c r="F325" s="127" t="s">
        <v>1678</v>
      </c>
    </row>
    <row r="326" spans="2:6">
      <c r="B326" s="127" t="s">
        <v>146</v>
      </c>
      <c r="D326" s="332">
        <v>32599.83</v>
      </c>
      <c r="F326" s="127" t="s">
        <v>1678</v>
      </c>
    </row>
    <row r="327" spans="2:6">
      <c r="B327" s="127" t="s">
        <v>146</v>
      </c>
      <c r="D327" s="332">
        <v>7781.75</v>
      </c>
      <c r="F327" s="127" t="s">
        <v>158</v>
      </c>
    </row>
    <row r="328" spans="2:6">
      <c r="B328" s="127" t="s">
        <v>146</v>
      </c>
      <c r="D328" s="332">
        <v>27313.69</v>
      </c>
      <c r="F328" s="127" t="s">
        <v>155</v>
      </c>
    </row>
    <row r="329" spans="2:6">
      <c r="B329" s="127" t="s">
        <v>146</v>
      </c>
      <c r="D329" s="332">
        <v>26390.01</v>
      </c>
      <c r="F329" s="127" t="s">
        <v>154</v>
      </c>
    </row>
    <row r="330" spans="2:6">
      <c r="B330" s="127" t="s">
        <v>146</v>
      </c>
      <c r="D330" s="332">
        <v>2663.19</v>
      </c>
      <c r="F330" s="127" t="s">
        <v>153</v>
      </c>
    </row>
    <row r="331" spans="2:6">
      <c r="B331" s="127" t="s">
        <v>572</v>
      </c>
      <c r="D331" s="332">
        <v>900</v>
      </c>
      <c r="F331" s="127" t="s">
        <v>157</v>
      </c>
    </row>
    <row r="332" spans="2:6">
      <c r="B332" s="127" t="s">
        <v>572</v>
      </c>
      <c r="D332" s="332">
        <v>750</v>
      </c>
      <c r="F332" s="127" t="s">
        <v>157</v>
      </c>
    </row>
    <row r="333" spans="2:6">
      <c r="B333" s="127" t="s">
        <v>572</v>
      </c>
      <c r="D333" s="332">
        <v>324436</v>
      </c>
      <c r="F333" s="127" t="s">
        <v>157</v>
      </c>
    </row>
    <row r="334" spans="2:6">
      <c r="B334" s="127" t="s">
        <v>572</v>
      </c>
      <c r="D334" s="332">
        <v>1415</v>
      </c>
      <c r="F334" s="127" t="s">
        <v>157</v>
      </c>
    </row>
    <row r="335" spans="2:6">
      <c r="B335" s="127" t="s">
        <v>149</v>
      </c>
      <c r="D335" s="332">
        <v>1600</v>
      </c>
      <c r="F335" s="127" t="s">
        <v>161</v>
      </c>
    </row>
    <row r="336" spans="2:6">
      <c r="B336" s="127" t="s">
        <v>147</v>
      </c>
      <c r="D336" s="332">
        <v>2248.7399999999998</v>
      </c>
      <c r="F336" s="127" t="s">
        <v>160</v>
      </c>
    </row>
    <row r="337" spans="2:6">
      <c r="B337" s="127" t="s">
        <v>432</v>
      </c>
      <c r="D337" s="337">
        <v>1632000</v>
      </c>
      <c r="F337" s="127" t="s">
        <v>159</v>
      </c>
    </row>
    <row r="338" spans="2:6">
      <c r="B338" s="127" t="s">
        <v>148</v>
      </c>
      <c r="D338" s="332">
        <v>3454.11</v>
      </c>
      <c r="F338" s="127" t="s">
        <v>566</v>
      </c>
    </row>
    <row r="339" spans="2:6">
      <c r="B339" s="127" t="s">
        <v>148</v>
      </c>
      <c r="D339" s="332">
        <v>169.3</v>
      </c>
      <c r="F339" s="127" t="s">
        <v>566</v>
      </c>
    </row>
    <row r="340" spans="2:6">
      <c r="B340" s="127" t="s">
        <v>150</v>
      </c>
      <c r="D340" s="337">
        <v>886.67</v>
      </c>
      <c r="F340" s="127" t="s">
        <v>566</v>
      </c>
    </row>
    <row r="341" spans="2:6">
      <c r="B341" s="127" t="s">
        <v>150</v>
      </c>
      <c r="D341" s="337">
        <v>25.32</v>
      </c>
      <c r="F341" s="127" t="s">
        <v>566</v>
      </c>
    </row>
    <row r="342" spans="2:6">
      <c r="D342" s="337"/>
    </row>
    <row r="343" spans="2:6">
      <c r="B343" s="127" t="s">
        <v>572</v>
      </c>
      <c r="D343" s="337">
        <v>750</v>
      </c>
      <c r="F343" s="127" t="s">
        <v>157</v>
      </c>
    </row>
    <row r="344" spans="2:6">
      <c r="B344" s="127" t="s">
        <v>572</v>
      </c>
      <c r="D344" s="337">
        <v>750</v>
      </c>
      <c r="F344" s="127" t="s">
        <v>157</v>
      </c>
    </row>
    <row r="345" spans="2:6">
      <c r="B345" s="127" t="s">
        <v>572</v>
      </c>
      <c r="D345" s="337">
        <v>3685</v>
      </c>
      <c r="F345" s="127" t="s">
        <v>157</v>
      </c>
    </row>
    <row r="346" spans="2:6">
      <c r="B346" s="127" t="s">
        <v>883</v>
      </c>
      <c r="D346" s="337">
        <v>3680</v>
      </c>
      <c r="F346" s="127" t="s">
        <v>238</v>
      </c>
    </row>
    <row r="347" spans="2:6">
      <c r="B347" s="127" t="s">
        <v>236</v>
      </c>
      <c r="D347" s="337">
        <v>2462.2199999999998</v>
      </c>
      <c r="F347" s="127" t="s">
        <v>239</v>
      </c>
    </row>
    <row r="348" spans="2:6">
      <c r="B348" s="127" t="s">
        <v>565</v>
      </c>
      <c r="D348" s="337">
        <v>149.62</v>
      </c>
      <c r="F348" s="127" t="s">
        <v>566</v>
      </c>
    </row>
    <row r="349" spans="2:6">
      <c r="B349" s="127" t="s">
        <v>565</v>
      </c>
      <c r="D349" s="337">
        <v>858.45</v>
      </c>
      <c r="F349" s="127" t="s">
        <v>566</v>
      </c>
    </row>
    <row r="350" spans="2:6">
      <c r="B350" s="127" t="s">
        <v>237</v>
      </c>
      <c r="D350" s="337">
        <v>-9577967.6400000006</v>
      </c>
      <c r="F350" s="127" t="s">
        <v>240</v>
      </c>
    </row>
    <row r="351" spans="2:6">
      <c r="D351" s="337"/>
    </row>
    <row r="352" spans="2:6">
      <c r="B352" s="127" t="s">
        <v>1677</v>
      </c>
      <c r="D352" s="337">
        <v>-780</v>
      </c>
      <c r="F352" s="127" t="s">
        <v>1767</v>
      </c>
    </row>
    <row r="353" spans="2:6">
      <c r="B353" s="127" t="s">
        <v>237</v>
      </c>
      <c r="D353" s="337">
        <v>-58847040.039999999</v>
      </c>
      <c r="F353" s="127" t="s">
        <v>240</v>
      </c>
    </row>
    <row r="354" spans="2:6">
      <c r="B354" s="127" t="s">
        <v>1384</v>
      </c>
      <c r="D354" s="337">
        <v>5000000</v>
      </c>
      <c r="F354" s="127" t="s">
        <v>1705</v>
      </c>
    </row>
    <row r="355" spans="2:6">
      <c r="B355" s="127" t="s">
        <v>1384</v>
      </c>
      <c r="D355" s="337">
        <v>-170181</v>
      </c>
      <c r="F355" s="127" t="s">
        <v>1361</v>
      </c>
    </row>
    <row r="356" spans="2:6">
      <c r="D356" s="338"/>
    </row>
    <row r="357" spans="2:6">
      <c r="D357" s="332">
        <f>SUM(D288:D356)</f>
        <v>-57918280.869999997</v>
      </c>
    </row>
    <row r="360" spans="2:6">
      <c r="D360" s="335" t="s">
        <v>1706</v>
      </c>
    </row>
    <row r="361" spans="2:6">
      <c r="D361" s="427"/>
    </row>
    <row r="362" spans="2:6">
      <c r="B362" s="127" t="s">
        <v>1708</v>
      </c>
      <c r="D362" s="332">
        <v>41788.379999999997</v>
      </c>
      <c r="F362" s="127" t="s">
        <v>1707</v>
      </c>
    </row>
    <row r="363" spans="2:6">
      <c r="B363" s="127" t="s">
        <v>1709</v>
      </c>
      <c r="D363" s="332">
        <v>750</v>
      </c>
      <c r="F363" s="127" t="s">
        <v>1712</v>
      </c>
    </row>
    <row r="364" spans="2:6">
      <c r="B364" s="127" t="s">
        <v>1709</v>
      </c>
      <c r="D364" s="332">
        <v>3685</v>
      </c>
      <c r="F364" s="425" t="s">
        <v>1711</v>
      </c>
    </row>
    <row r="365" spans="2:6">
      <c r="B365" s="127" t="s">
        <v>1709</v>
      </c>
      <c r="D365" s="332">
        <v>2700</v>
      </c>
      <c r="F365" s="425" t="s">
        <v>1710</v>
      </c>
    </row>
    <row r="366" spans="2:6">
      <c r="B366" s="127" t="s">
        <v>1677</v>
      </c>
      <c r="D366" s="332">
        <v>29554.93</v>
      </c>
      <c r="F366" s="127" t="s">
        <v>1713</v>
      </c>
    </row>
    <row r="367" spans="2:6">
      <c r="B367" s="127" t="s">
        <v>1677</v>
      </c>
      <c r="D367" s="332">
        <v>227108.35</v>
      </c>
      <c r="F367" s="127" t="s">
        <v>1713</v>
      </c>
    </row>
    <row r="368" spans="2:6">
      <c r="B368" s="127" t="s">
        <v>1677</v>
      </c>
      <c r="D368" s="332">
        <v>139019.70000000001</v>
      </c>
      <c r="F368" s="127" t="s">
        <v>1720</v>
      </c>
    </row>
    <row r="369" spans="2:6">
      <c r="B369" s="127" t="s">
        <v>1677</v>
      </c>
      <c r="D369" s="332">
        <v>182928.4</v>
      </c>
      <c r="F369" s="127" t="s">
        <v>1721</v>
      </c>
    </row>
    <row r="370" spans="2:6">
      <c r="B370" s="127" t="s">
        <v>1677</v>
      </c>
      <c r="D370" s="332">
        <v>100000</v>
      </c>
      <c r="F370" s="127" t="s">
        <v>1723</v>
      </c>
    </row>
    <row r="371" spans="2:6">
      <c r="B371" s="127" t="s">
        <v>1677</v>
      </c>
      <c r="D371" s="332">
        <v>90000</v>
      </c>
      <c r="F371" s="127" t="s">
        <v>1722</v>
      </c>
    </row>
    <row r="372" spans="2:6">
      <c r="B372" s="127" t="s">
        <v>1677</v>
      </c>
      <c r="D372" s="337">
        <v>925</v>
      </c>
      <c r="F372" s="127" t="s">
        <v>1724</v>
      </c>
    </row>
    <row r="373" spans="2:6">
      <c r="B373" s="127" t="s">
        <v>64</v>
      </c>
      <c r="D373" s="332">
        <v>2603</v>
      </c>
      <c r="F373" s="127" t="s">
        <v>1713</v>
      </c>
    </row>
    <row r="374" spans="2:6">
      <c r="B374" s="127" t="s">
        <v>1725</v>
      </c>
      <c r="D374" s="337">
        <v>8529.09</v>
      </c>
      <c r="F374" s="425" t="s">
        <v>1726</v>
      </c>
    </row>
    <row r="375" spans="2:6">
      <c r="B375" s="127" t="s">
        <v>237</v>
      </c>
      <c r="D375" s="337">
        <f>-4527053*0.97</f>
        <v>-4391241.41</v>
      </c>
      <c r="F375" s="127" t="s">
        <v>240</v>
      </c>
    </row>
    <row r="376" spans="2:6">
      <c r="B376" s="127" t="s">
        <v>237</v>
      </c>
      <c r="D376" s="337">
        <f>-4527053*0.03</f>
        <v>-135811.59</v>
      </c>
      <c r="F376" s="127" t="s">
        <v>240</v>
      </c>
    </row>
    <row r="377" spans="2:6">
      <c r="B377" s="127" t="s">
        <v>150</v>
      </c>
      <c r="D377" s="337">
        <v>1078.7</v>
      </c>
      <c r="F377" s="127" t="s">
        <v>566</v>
      </c>
    </row>
    <row r="378" spans="2:6">
      <c r="D378" s="337"/>
    </row>
    <row r="379" spans="2:6">
      <c r="B379" s="127" t="s">
        <v>1362</v>
      </c>
      <c r="D379" s="337">
        <v>70000</v>
      </c>
      <c r="F379" s="127" t="s">
        <v>1363</v>
      </c>
    </row>
    <row r="380" spans="2:6">
      <c r="B380" s="127" t="s">
        <v>1677</v>
      </c>
      <c r="D380" s="337">
        <v>81517.100000000006</v>
      </c>
      <c r="F380" s="127" t="s">
        <v>1364</v>
      </c>
    </row>
    <row r="381" spans="2:6">
      <c r="B381" s="127" t="s">
        <v>1673</v>
      </c>
      <c r="D381" s="337">
        <v>98995.6</v>
      </c>
      <c r="F381" s="127" t="s">
        <v>1365</v>
      </c>
    </row>
    <row r="382" spans="2:6">
      <c r="B382" s="127" t="s">
        <v>236</v>
      </c>
      <c r="D382" s="337">
        <v>931.7</v>
      </c>
      <c r="F382" s="127" t="s">
        <v>1366</v>
      </c>
    </row>
    <row r="383" spans="2:6">
      <c r="D383" s="337"/>
    </row>
    <row r="384" spans="2:6">
      <c r="B384" s="127" t="s">
        <v>580</v>
      </c>
      <c r="D384" s="337">
        <v>15743.99</v>
      </c>
      <c r="F384" s="127" t="s">
        <v>377</v>
      </c>
    </row>
    <row r="385" spans="2:6">
      <c r="B385" s="127" t="s">
        <v>378</v>
      </c>
      <c r="D385" s="339">
        <v>135000</v>
      </c>
      <c r="F385" s="127" t="s">
        <v>379</v>
      </c>
    </row>
    <row r="386" spans="2:6">
      <c r="B386" s="127" t="s">
        <v>380</v>
      </c>
      <c r="D386" s="339">
        <v>19206.150000000001</v>
      </c>
      <c r="F386" s="127" t="s">
        <v>381</v>
      </c>
    </row>
    <row r="387" spans="2:6">
      <c r="B387" s="127" t="s">
        <v>432</v>
      </c>
      <c r="D387" s="339">
        <v>3400000</v>
      </c>
      <c r="F387" s="127" t="s">
        <v>159</v>
      </c>
    </row>
    <row r="388" spans="2:6">
      <c r="B388" s="127" t="s">
        <v>382</v>
      </c>
      <c r="D388" s="339">
        <v>25000</v>
      </c>
      <c r="F388" s="127" t="s">
        <v>383</v>
      </c>
    </row>
    <row r="389" spans="2:6">
      <c r="B389" s="127" t="s">
        <v>382</v>
      </c>
      <c r="D389" s="339">
        <v>16218</v>
      </c>
      <c r="F389" s="127" t="s">
        <v>384</v>
      </c>
    </row>
    <row r="390" spans="2:6">
      <c r="B390" s="127" t="s">
        <v>382</v>
      </c>
      <c r="D390" s="339">
        <v>35488.879999999997</v>
      </c>
      <c r="F390" s="127" t="s">
        <v>385</v>
      </c>
    </row>
    <row r="391" spans="2:6">
      <c r="B391" s="127" t="s">
        <v>382</v>
      </c>
      <c r="D391" s="339">
        <v>15561.65</v>
      </c>
      <c r="F391" s="127" t="s">
        <v>386</v>
      </c>
    </row>
    <row r="392" spans="2:6">
      <c r="B392" s="127" t="s">
        <v>382</v>
      </c>
      <c r="D392" s="339">
        <v>208451.79</v>
      </c>
      <c r="F392" s="127" t="s">
        <v>387</v>
      </c>
    </row>
    <row r="393" spans="2:6">
      <c r="B393" s="127" t="s">
        <v>883</v>
      </c>
      <c r="D393" s="339">
        <v>545437.80000000005</v>
      </c>
      <c r="F393" s="127" t="s">
        <v>399</v>
      </c>
    </row>
    <row r="394" spans="2:6">
      <c r="B394" s="127" t="s">
        <v>388</v>
      </c>
      <c r="D394" s="339">
        <v>1919.12</v>
      </c>
      <c r="F394" s="127" t="s">
        <v>400</v>
      </c>
    </row>
    <row r="395" spans="2:6">
      <c r="B395" s="127" t="s">
        <v>388</v>
      </c>
      <c r="D395" s="339">
        <v>465.81</v>
      </c>
      <c r="F395" s="127" t="s">
        <v>400</v>
      </c>
    </row>
    <row r="396" spans="2:6">
      <c r="B396" s="127" t="s">
        <v>388</v>
      </c>
      <c r="D396" s="339">
        <v>221.24</v>
      </c>
      <c r="F396" s="127" t="s">
        <v>400</v>
      </c>
    </row>
    <row r="397" spans="2:6">
      <c r="D397" s="339"/>
    </row>
    <row r="398" spans="2:6">
      <c r="B398" s="127" t="s">
        <v>1714</v>
      </c>
      <c r="D398" s="339">
        <v>95528.39</v>
      </c>
      <c r="F398" s="127" t="s">
        <v>1715</v>
      </c>
    </row>
    <row r="399" spans="2:6">
      <c r="B399" s="127" t="s">
        <v>1716</v>
      </c>
      <c r="D399" s="339">
        <v>42682.61</v>
      </c>
      <c r="F399" s="127" t="s">
        <v>1717</v>
      </c>
    </row>
    <row r="400" spans="2:6">
      <c r="D400" s="339"/>
      <c r="F400" s="127" t="s">
        <v>1718</v>
      </c>
    </row>
    <row r="401" spans="2:6">
      <c r="B401" s="127" t="s">
        <v>1716</v>
      </c>
      <c r="D401" s="339">
        <v>3337.77</v>
      </c>
      <c r="F401" s="127" t="s">
        <v>1717</v>
      </c>
    </row>
    <row r="402" spans="2:6">
      <c r="D402" s="339"/>
      <c r="F402" s="127" t="s">
        <v>1718</v>
      </c>
    </row>
    <row r="403" spans="2:6">
      <c r="B403" s="127" t="s">
        <v>1716</v>
      </c>
      <c r="D403" s="339">
        <v>22927</v>
      </c>
      <c r="F403" s="127" t="s">
        <v>1717</v>
      </c>
    </row>
    <row r="404" spans="2:6">
      <c r="D404" s="339"/>
      <c r="F404" s="430" t="s">
        <v>1719</v>
      </c>
    </row>
    <row r="405" spans="2:6">
      <c r="B405" s="127" t="s">
        <v>1527</v>
      </c>
      <c r="D405" s="339">
        <v>525</v>
      </c>
      <c r="F405" s="127" t="s">
        <v>1531</v>
      </c>
    </row>
    <row r="406" spans="2:6">
      <c r="B406" s="127" t="s">
        <v>1604</v>
      </c>
      <c r="D406" s="339">
        <v>119</v>
      </c>
      <c r="F406" s="127" t="s">
        <v>1366</v>
      </c>
    </row>
    <row r="407" spans="2:6">
      <c r="D407" s="339"/>
    </row>
    <row r="408" spans="2:6">
      <c r="B408" s="127" t="s">
        <v>50</v>
      </c>
      <c r="D408" s="339">
        <v>88371.43</v>
      </c>
      <c r="F408" s="127" t="s">
        <v>709</v>
      </c>
    </row>
    <row r="409" spans="2:6">
      <c r="B409" s="127" t="s">
        <v>50</v>
      </c>
      <c r="D409" s="339">
        <v>-25877.58</v>
      </c>
      <c r="F409" s="127" t="s">
        <v>712</v>
      </c>
    </row>
    <row r="410" spans="2:6">
      <c r="B410" s="127" t="s">
        <v>50</v>
      </c>
      <c r="D410" s="339">
        <v>10677.58</v>
      </c>
      <c r="F410" s="127" t="s">
        <v>713</v>
      </c>
    </row>
    <row r="411" spans="2:6">
      <c r="B411" s="127" t="s">
        <v>714</v>
      </c>
      <c r="D411" s="339">
        <v>3400000</v>
      </c>
      <c r="F411" s="127" t="s">
        <v>159</v>
      </c>
    </row>
    <row r="412" spans="2:6">
      <c r="B412" s="127" t="s">
        <v>715</v>
      </c>
      <c r="D412" s="339">
        <v>18563.75</v>
      </c>
      <c r="F412" s="127" t="s">
        <v>716</v>
      </c>
    </row>
    <row r="413" spans="2:6">
      <c r="B413" s="127" t="s">
        <v>715</v>
      </c>
      <c r="D413" s="337">
        <v>5425</v>
      </c>
      <c r="F413" s="127" t="s">
        <v>716</v>
      </c>
    </row>
    <row r="414" spans="2:6">
      <c r="D414" s="337"/>
    </row>
    <row r="415" spans="2:6">
      <c r="B415" s="127" t="s">
        <v>1384</v>
      </c>
      <c r="D415" s="337">
        <v>-155521.1</v>
      </c>
      <c r="F415" s="127" t="s">
        <v>458</v>
      </c>
    </row>
    <row r="416" spans="2:6">
      <c r="B416" s="127" t="s">
        <v>1384</v>
      </c>
      <c r="D416" s="337">
        <v>-6078260</v>
      </c>
      <c r="F416" s="127" t="s">
        <v>459</v>
      </c>
    </row>
    <row r="417" spans="2:6">
      <c r="B417" s="127" t="s">
        <v>1384</v>
      </c>
      <c r="D417" s="337">
        <v>-53400</v>
      </c>
      <c r="F417" s="127" t="s">
        <v>460</v>
      </c>
    </row>
    <row r="418" spans="2:6">
      <c r="B418" s="127" t="s">
        <v>1384</v>
      </c>
      <c r="D418" s="337">
        <v>-140807.71</v>
      </c>
      <c r="F418" s="127" t="s">
        <v>461</v>
      </c>
    </row>
    <row r="419" spans="2:6">
      <c r="D419" s="338"/>
    </row>
    <row r="420" spans="2:6">
      <c r="D420" s="332">
        <f>SUM(D362:D419)</f>
        <v>-1791932.4799999986</v>
      </c>
    </row>
    <row r="422" spans="2:6">
      <c r="D422" s="432" t="s">
        <v>1077</v>
      </c>
    </row>
    <row r="423" spans="2:6">
      <c r="B423" s="127" t="s">
        <v>1677</v>
      </c>
      <c r="D423" s="332">
        <v>30855.72</v>
      </c>
      <c r="F423" s="127" t="s">
        <v>1083</v>
      </c>
    </row>
    <row r="424" spans="2:6">
      <c r="B424" s="127" t="s">
        <v>1673</v>
      </c>
      <c r="D424" s="332">
        <v>3204</v>
      </c>
      <c r="F424" s="127" t="s">
        <v>1078</v>
      </c>
    </row>
    <row r="425" spans="2:6">
      <c r="B425" s="127" t="s">
        <v>1673</v>
      </c>
      <c r="D425" s="332">
        <v>1389</v>
      </c>
      <c r="F425" s="127" t="s">
        <v>1079</v>
      </c>
    </row>
    <row r="426" spans="2:6">
      <c r="B426" s="127" t="s">
        <v>1673</v>
      </c>
      <c r="D426" s="332">
        <v>8874.49</v>
      </c>
      <c r="F426" s="127" t="s">
        <v>1080</v>
      </c>
    </row>
    <row r="427" spans="2:6">
      <c r="B427" s="127" t="s">
        <v>1673</v>
      </c>
      <c r="D427" s="332">
        <v>8517.35</v>
      </c>
      <c r="F427" s="127" t="s">
        <v>1081</v>
      </c>
    </row>
    <row r="428" spans="2:6">
      <c r="B428" s="127" t="s">
        <v>1673</v>
      </c>
      <c r="D428" s="332">
        <v>15064</v>
      </c>
      <c r="F428" s="127" t="s">
        <v>1082</v>
      </c>
    </row>
    <row r="429" spans="2:6">
      <c r="B429" s="127" t="s">
        <v>1084</v>
      </c>
      <c r="D429" s="332">
        <v>88371.43</v>
      </c>
      <c r="F429" s="127" t="s">
        <v>1085</v>
      </c>
    </row>
    <row r="430" spans="2:6">
      <c r="B430" s="127" t="s">
        <v>1084</v>
      </c>
      <c r="D430" s="332">
        <v>88371.43</v>
      </c>
      <c r="F430" s="127" t="s">
        <v>1086</v>
      </c>
    </row>
    <row r="431" spans="2:6">
      <c r="B431" s="127" t="s">
        <v>1084</v>
      </c>
      <c r="D431" s="332">
        <v>-13990.39</v>
      </c>
      <c r="F431" s="127" t="s">
        <v>1087</v>
      </c>
    </row>
    <row r="432" spans="2:6">
      <c r="B432" s="127" t="s">
        <v>1084</v>
      </c>
      <c r="D432" s="332">
        <v>6880.61</v>
      </c>
      <c r="F432" s="127" t="s">
        <v>1088</v>
      </c>
    </row>
    <row r="433" spans="2:6">
      <c r="B433" s="127" t="s">
        <v>205</v>
      </c>
      <c r="D433" s="332">
        <v>157687</v>
      </c>
      <c r="F433" s="127" t="s">
        <v>1089</v>
      </c>
    </row>
    <row r="434" spans="2:6">
      <c r="B434" s="127" t="s">
        <v>205</v>
      </c>
      <c r="D434" s="332">
        <v>3769589</v>
      </c>
      <c r="F434" s="127" t="s">
        <v>1116</v>
      </c>
    </row>
    <row r="435" spans="2:6">
      <c r="B435" s="127" t="s">
        <v>1117</v>
      </c>
      <c r="D435" s="332">
        <v>18000</v>
      </c>
      <c r="F435" s="127" t="s">
        <v>1118</v>
      </c>
    </row>
    <row r="436" spans="2:6">
      <c r="B436" s="127" t="s">
        <v>1117</v>
      </c>
      <c r="D436" s="332">
        <v>3829.4</v>
      </c>
      <c r="F436" s="127" t="s">
        <v>1119</v>
      </c>
    </row>
    <row r="437" spans="2:6">
      <c r="B437" s="127" t="s">
        <v>1117</v>
      </c>
      <c r="D437" s="332">
        <v>11488.2</v>
      </c>
      <c r="F437" s="127" t="s">
        <v>1120</v>
      </c>
    </row>
    <row r="438" spans="2:6">
      <c r="B438" s="127" t="s">
        <v>1117</v>
      </c>
      <c r="D438" s="332">
        <v>22976.400000000001</v>
      </c>
      <c r="F438" s="127" t="s">
        <v>1120</v>
      </c>
    </row>
    <row r="439" spans="2:6">
      <c r="B439" s="127" t="s">
        <v>1117</v>
      </c>
      <c r="D439" s="332">
        <v>22976.400000000001</v>
      </c>
      <c r="F439" s="127" t="s">
        <v>1120</v>
      </c>
    </row>
    <row r="440" spans="2:6">
      <c r="B440" s="127" t="s">
        <v>1117</v>
      </c>
      <c r="D440" s="332">
        <v>7658.8</v>
      </c>
      <c r="F440" s="127" t="s">
        <v>1120</v>
      </c>
    </row>
    <row r="441" spans="2:6">
      <c r="B441" s="127" t="s">
        <v>1117</v>
      </c>
      <c r="D441" s="332">
        <v>28705.33</v>
      </c>
      <c r="F441" s="127" t="s">
        <v>1121</v>
      </c>
    </row>
    <row r="442" spans="2:6">
      <c r="B442" s="127" t="s">
        <v>1117</v>
      </c>
      <c r="D442" s="332">
        <v>28705.279999999999</v>
      </c>
      <c r="F442" s="127" t="s">
        <v>1121</v>
      </c>
    </row>
    <row r="443" spans="2:6">
      <c r="B443" s="127" t="s">
        <v>1117</v>
      </c>
      <c r="D443" s="332">
        <v>172231.95</v>
      </c>
      <c r="F443" s="127" t="s">
        <v>1121</v>
      </c>
    </row>
    <row r="444" spans="2:6">
      <c r="B444" s="127" t="s">
        <v>1117</v>
      </c>
      <c r="D444" s="332">
        <v>57410.65</v>
      </c>
      <c r="F444" s="127" t="s">
        <v>1121</v>
      </c>
    </row>
    <row r="445" spans="2:6">
      <c r="B445" s="127" t="s">
        <v>1117</v>
      </c>
      <c r="D445" s="332">
        <v>112540</v>
      </c>
      <c r="F445" s="127" t="s">
        <v>1121</v>
      </c>
    </row>
    <row r="446" spans="2:6">
      <c r="B446" s="127" t="s">
        <v>1117</v>
      </c>
      <c r="D446" s="332">
        <v>152212.20000000001</v>
      </c>
      <c r="F446" s="127" t="s">
        <v>1121</v>
      </c>
    </row>
    <row r="447" spans="2:6">
      <c r="B447" s="127" t="s">
        <v>1117</v>
      </c>
      <c r="D447" s="332">
        <v>7658.8</v>
      </c>
      <c r="F447" s="127" t="s">
        <v>1122</v>
      </c>
    </row>
    <row r="448" spans="2:6">
      <c r="B448" s="127" t="s">
        <v>1117</v>
      </c>
      <c r="D448" s="332">
        <v>57410.49</v>
      </c>
      <c r="F448" s="127" t="s">
        <v>1121</v>
      </c>
    </row>
    <row r="449" spans="2:6">
      <c r="B449" s="127" t="s">
        <v>432</v>
      </c>
      <c r="D449" s="332">
        <v>680000</v>
      </c>
      <c r="F449" s="127" t="s">
        <v>1123</v>
      </c>
    </row>
    <row r="450" spans="2:6">
      <c r="B450" s="127" t="s">
        <v>432</v>
      </c>
      <c r="D450" s="332">
        <v>680000</v>
      </c>
      <c r="F450" s="127" t="s">
        <v>1123</v>
      </c>
    </row>
    <row r="451" spans="2:6">
      <c r="B451" s="127" t="s">
        <v>1568</v>
      </c>
      <c r="D451" s="332">
        <v>10253.1</v>
      </c>
      <c r="F451" s="127" t="s">
        <v>1124</v>
      </c>
    </row>
    <row r="452" spans="2:6">
      <c r="B452" s="127" t="s">
        <v>1568</v>
      </c>
      <c r="D452" s="332">
        <v>880.28</v>
      </c>
      <c r="F452" s="127" t="s">
        <v>1124</v>
      </c>
    </row>
    <row r="453" spans="2:6">
      <c r="B453" s="127" t="s">
        <v>1568</v>
      </c>
      <c r="D453" s="332">
        <v>1508.22</v>
      </c>
      <c r="F453" s="127" t="s">
        <v>1124</v>
      </c>
    </row>
    <row r="454" spans="2:6">
      <c r="B454" s="127" t="s">
        <v>917</v>
      </c>
      <c r="D454" s="337">
        <v>55874.52</v>
      </c>
      <c r="F454" s="127" t="s">
        <v>39</v>
      </c>
    </row>
    <row r="455" spans="2:6">
      <c r="D455" s="337"/>
    </row>
    <row r="456" spans="2:6">
      <c r="B456" s="127" t="s">
        <v>1667</v>
      </c>
      <c r="D456" s="337">
        <v>16000</v>
      </c>
      <c r="F456" s="127" t="s">
        <v>389</v>
      </c>
    </row>
    <row r="457" spans="2:6">
      <c r="B457" s="127" t="s">
        <v>890</v>
      </c>
      <c r="D457" s="337">
        <v>70</v>
      </c>
      <c r="F457" s="127" t="s">
        <v>956</v>
      </c>
    </row>
    <row r="458" spans="2:6">
      <c r="B458" s="127" t="s">
        <v>390</v>
      </c>
      <c r="D458" s="337">
        <v>-5479320</v>
      </c>
      <c r="F458" s="127" t="s">
        <v>392</v>
      </c>
    </row>
    <row r="459" spans="2:6">
      <c r="B459" s="127" t="s">
        <v>391</v>
      </c>
      <c r="D459" s="337">
        <v>-5723578</v>
      </c>
      <c r="F459" s="127" t="s">
        <v>393</v>
      </c>
    </row>
    <row r="460" spans="2:6">
      <c r="B460" s="127" t="s">
        <v>391</v>
      </c>
      <c r="D460" s="337">
        <v>-421012.05</v>
      </c>
      <c r="F460" s="127" t="s">
        <v>394</v>
      </c>
    </row>
    <row r="461" spans="2:6">
      <c r="B461" s="127" t="s">
        <v>391</v>
      </c>
      <c r="D461" s="337">
        <v>-59123</v>
      </c>
      <c r="F461" s="127" t="s">
        <v>395</v>
      </c>
    </row>
    <row r="462" spans="2:6">
      <c r="B462" s="127" t="s">
        <v>396</v>
      </c>
      <c r="D462" s="337">
        <v>-3858.12</v>
      </c>
      <c r="F462" s="127" t="s">
        <v>397</v>
      </c>
    </row>
    <row r="463" spans="2:6">
      <c r="B463" s="127" t="s">
        <v>396</v>
      </c>
      <c r="D463" s="337">
        <v>-2606.17</v>
      </c>
      <c r="F463" s="127" t="s">
        <v>397</v>
      </c>
    </row>
    <row r="464" spans="2:6">
      <c r="D464" s="337"/>
    </row>
    <row r="465" spans="2:6">
      <c r="D465" s="337"/>
    </row>
    <row r="466" spans="2:6">
      <c r="D466" s="338"/>
    </row>
    <row r="467" spans="2:6">
      <c r="D467" s="433">
        <f>SUM(D423:D466)</f>
        <v>-5376293.6799999988</v>
      </c>
      <c r="F467" s="332"/>
    </row>
    <row r="470" spans="2:6">
      <c r="D470" s="432" t="s">
        <v>29</v>
      </c>
    </row>
    <row r="471" spans="2:6">
      <c r="B471" s="127" t="s">
        <v>30</v>
      </c>
      <c r="D471" s="332">
        <v>67119.199999999997</v>
      </c>
      <c r="F471" s="127" t="s">
        <v>41</v>
      </c>
    </row>
    <row r="472" spans="2:6">
      <c r="B472" s="127" t="s">
        <v>30</v>
      </c>
      <c r="D472" s="332">
        <v>248327</v>
      </c>
      <c r="F472" s="127" t="s">
        <v>40</v>
      </c>
    </row>
    <row r="473" spans="2:6">
      <c r="B473" s="127" t="s">
        <v>30</v>
      </c>
      <c r="D473" s="332">
        <v>521129.48</v>
      </c>
      <c r="F473" s="127" t="s">
        <v>42</v>
      </c>
    </row>
    <row r="474" spans="2:6">
      <c r="B474" s="127" t="s">
        <v>31</v>
      </c>
      <c r="D474" s="332">
        <v>41048.949999999997</v>
      </c>
      <c r="F474" s="127" t="s">
        <v>38</v>
      </c>
    </row>
    <row r="475" spans="2:6">
      <c r="B475" s="127" t="s">
        <v>1084</v>
      </c>
      <c r="D475" s="332">
        <v>50693.68</v>
      </c>
      <c r="F475" s="127" t="s">
        <v>1529</v>
      </c>
    </row>
    <row r="476" spans="2:6">
      <c r="B476" s="127" t="s">
        <v>1084</v>
      </c>
      <c r="D476" s="332">
        <v>4851.9799999999996</v>
      </c>
      <c r="F476" s="127" t="s">
        <v>1530</v>
      </c>
    </row>
    <row r="477" spans="2:6">
      <c r="B477" s="127" t="s">
        <v>1528</v>
      </c>
      <c r="D477" s="332">
        <v>20</v>
      </c>
      <c r="F477" s="127" t="s">
        <v>160</v>
      </c>
    </row>
    <row r="478" spans="2:6">
      <c r="B478" s="127" t="s">
        <v>32</v>
      </c>
      <c r="D478" s="332">
        <v>72000</v>
      </c>
      <c r="F478" s="127" t="s">
        <v>37</v>
      </c>
    </row>
    <row r="479" spans="2:6">
      <c r="B479" s="127" t="s">
        <v>890</v>
      </c>
      <c r="D479" s="332">
        <v>199.9</v>
      </c>
      <c r="F479" s="127" t="s">
        <v>566</v>
      </c>
    </row>
    <row r="480" spans="2:6">
      <c r="B480" s="127" t="s">
        <v>890</v>
      </c>
      <c r="D480" s="337">
        <v>1730.09</v>
      </c>
      <c r="F480" s="127" t="s">
        <v>566</v>
      </c>
    </row>
    <row r="481" spans="2:6">
      <c r="D481" s="337"/>
    </row>
    <row r="482" spans="2:6">
      <c r="B482" s="127" t="s">
        <v>50</v>
      </c>
      <c r="D482" s="337">
        <v>88371.43</v>
      </c>
      <c r="F482" s="127" t="s">
        <v>73</v>
      </c>
    </row>
    <row r="483" spans="2:6">
      <c r="B483" s="127" t="s">
        <v>50</v>
      </c>
      <c r="D483" s="337">
        <v>9859.7099999999991</v>
      </c>
      <c r="F483" s="127" t="s">
        <v>74</v>
      </c>
    </row>
    <row r="484" spans="2:6">
      <c r="B484" s="127" t="s">
        <v>50</v>
      </c>
      <c r="D484" s="337">
        <v>5789.49</v>
      </c>
      <c r="F484" s="127" t="s">
        <v>75</v>
      </c>
    </row>
    <row r="485" spans="2:6">
      <c r="B485" s="127" t="s">
        <v>205</v>
      </c>
      <c r="D485" s="337">
        <v>1724478</v>
      </c>
      <c r="F485" s="127" t="s">
        <v>76</v>
      </c>
    </row>
    <row r="486" spans="2:6">
      <c r="B486" s="127" t="s">
        <v>205</v>
      </c>
      <c r="D486" s="337">
        <v>157687</v>
      </c>
      <c r="F486" s="127" t="s">
        <v>77</v>
      </c>
    </row>
    <row r="487" spans="2:6">
      <c r="B487" s="127" t="s">
        <v>70</v>
      </c>
      <c r="D487" s="337">
        <v>9587.59</v>
      </c>
      <c r="F487" s="127" t="s">
        <v>78</v>
      </c>
    </row>
    <row r="488" spans="2:6">
      <c r="B488" s="127" t="s">
        <v>70</v>
      </c>
      <c r="D488" s="337">
        <v>269792</v>
      </c>
      <c r="F488" s="127" t="s">
        <v>79</v>
      </c>
    </row>
    <row r="489" spans="2:6">
      <c r="B489" s="127" t="s">
        <v>1677</v>
      </c>
      <c r="D489" s="337">
        <v>5136</v>
      </c>
      <c r="F489" s="127" t="s">
        <v>72</v>
      </c>
    </row>
    <row r="490" spans="2:6">
      <c r="B490" s="127" t="s">
        <v>71</v>
      </c>
      <c r="D490" s="337">
        <v>112179.6</v>
      </c>
      <c r="F490" s="127" t="s">
        <v>80</v>
      </c>
    </row>
    <row r="491" spans="2:6">
      <c r="B491" s="127" t="s">
        <v>1228</v>
      </c>
      <c r="D491" s="337">
        <v>4231.25</v>
      </c>
      <c r="F491" s="127" t="s">
        <v>81</v>
      </c>
    </row>
    <row r="492" spans="2:6">
      <c r="B492" s="127" t="s">
        <v>1384</v>
      </c>
      <c r="D492" s="337">
        <v>-15000</v>
      </c>
      <c r="F492" s="127" t="s">
        <v>82</v>
      </c>
    </row>
    <row r="493" spans="2:6">
      <c r="D493" s="337"/>
    </row>
    <row r="494" spans="2:6">
      <c r="B494" s="127" t="s">
        <v>1746</v>
      </c>
      <c r="D494" s="337">
        <v>400000</v>
      </c>
      <c r="F494" s="127" t="s">
        <v>1747</v>
      </c>
    </row>
    <row r="495" spans="2:6">
      <c r="B495" s="127" t="s">
        <v>1568</v>
      </c>
      <c r="D495" s="337">
        <v>-31.37</v>
      </c>
    </row>
    <row r="496" spans="2:6">
      <c r="B496" s="127" t="s">
        <v>1384</v>
      </c>
      <c r="D496" s="337">
        <v>-59780.1</v>
      </c>
      <c r="F496" s="127" t="s">
        <v>143</v>
      </c>
    </row>
    <row r="497" spans="2:6">
      <c r="B497" s="127" t="s">
        <v>1384</v>
      </c>
      <c r="D497" s="337">
        <v>97886</v>
      </c>
      <c r="F497" s="127" t="s">
        <v>143</v>
      </c>
    </row>
    <row r="498" spans="2:6">
      <c r="B498" s="127" t="s">
        <v>826</v>
      </c>
      <c r="D498" s="337">
        <v>-23988.75</v>
      </c>
      <c r="F498" s="127" t="s">
        <v>827</v>
      </c>
    </row>
    <row r="499" spans="2:6">
      <c r="D499" s="338"/>
    </row>
    <row r="500" spans="2:6">
      <c r="D500" s="433">
        <f>SUM(D471:D499)</f>
        <v>3793318.13</v>
      </c>
    </row>
    <row r="503" spans="2:6">
      <c r="D503" s="432" t="s">
        <v>1193</v>
      </c>
    </row>
    <row r="505" spans="2:6">
      <c r="B505" s="127" t="s">
        <v>1194</v>
      </c>
      <c r="D505" s="336">
        <v>30074</v>
      </c>
      <c r="F505" s="127" t="s">
        <v>1210</v>
      </c>
    </row>
    <row r="506" spans="2:6">
      <c r="B506" s="127" t="s">
        <v>1194</v>
      </c>
      <c r="D506" s="336">
        <v>1545.19</v>
      </c>
      <c r="F506" s="127" t="s">
        <v>1202</v>
      </c>
    </row>
    <row r="507" spans="2:6">
      <c r="B507" s="127" t="s">
        <v>1194</v>
      </c>
      <c r="D507" s="336">
        <v>1180.3699999999999</v>
      </c>
      <c r="F507" s="127" t="s">
        <v>1201</v>
      </c>
    </row>
    <row r="508" spans="2:6">
      <c r="B508" s="127" t="s">
        <v>1194</v>
      </c>
      <c r="D508" s="336">
        <v>1701.62</v>
      </c>
      <c r="F508" s="127" t="s">
        <v>1211</v>
      </c>
    </row>
    <row r="509" spans="2:6">
      <c r="B509" s="127" t="s">
        <v>1199</v>
      </c>
      <c r="D509" s="336">
        <v>11048.44</v>
      </c>
      <c r="F509" s="127" t="s">
        <v>1201</v>
      </c>
    </row>
    <row r="510" spans="2:6">
      <c r="B510" s="127" t="s">
        <v>205</v>
      </c>
      <c r="D510" s="336">
        <v>157687</v>
      </c>
      <c r="F510" s="127" t="s">
        <v>1205</v>
      </c>
    </row>
    <row r="511" spans="2:6">
      <c r="B511" s="127" t="s">
        <v>205</v>
      </c>
      <c r="D511" s="336">
        <v>157687</v>
      </c>
      <c r="F511" s="127" t="s">
        <v>1206</v>
      </c>
    </row>
    <row r="512" spans="2:6">
      <c r="B512" s="127" t="s">
        <v>205</v>
      </c>
      <c r="D512" s="336">
        <v>157687</v>
      </c>
      <c r="F512" s="127" t="s">
        <v>1207</v>
      </c>
    </row>
    <row r="513" spans="2:6">
      <c r="B513" s="127" t="s">
        <v>205</v>
      </c>
      <c r="D513" s="336">
        <v>353456</v>
      </c>
      <c r="F513" s="127" t="s">
        <v>1208</v>
      </c>
    </row>
    <row r="514" spans="2:6">
      <c r="B514" s="127" t="s">
        <v>205</v>
      </c>
      <c r="D514" s="332">
        <v>3346882</v>
      </c>
      <c r="F514" s="127" t="s">
        <v>1209</v>
      </c>
    </row>
    <row r="515" spans="2:6">
      <c r="B515" s="127" t="s">
        <v>50</v>
      </c>
      <c r="D515" s="332">
        <v>21614.99</v>
      </c>
    </row>
    <row r="516" spans="2:6">
      <c r="B516" s="127" t="s">
        <v>50</v>
      </c>
      <c r="D516" s="332">
        <v>88371.43</v>
      </c>
      <c r="F516" s="127" t="s">
        <v>1204</v>
      </c>
    </row>
    <row r="517" spans="2:6">
      <c r="B517" s="127" t="s">
        <v>50</v>
      </c>
      <c r="D517" s="332">
        <v>4265.95</v>
      </c>
    </row>
    <row r="518" spans="2:6">
      <c r="B518" s="127" t="s">
        <v>1117</v>
      </c>
      <c r="D518" s="332">
        <v>166666.67000000001</v>
      </c>
      <c r="F518" s="127" t="s">
        <v>1203</v>
      </c>
    </row>
    <row r="519" spans="2:6">
      <c r="B519" s="127" t="s">
        <v>1195</v>
      </c>
      <c r="D519" s="332">
        <v>51910.59</v>
      </c>
      <c r="F519" s="127" t="s">
        <v>1087</v>
      </c>
    </row>
    <row r="520" spans="2:6">
      <c r="B520" s="127" t="s">
        <v>1196</v>
      </c>
      <c r="D520" s="332">
        <v>481019.03</v>
      </c>
      <c r="F520" s="127" t="s">
        <v>1212</v>
      </c>
    </row>
    <row r="521" spans="2:6">
      <c r="B521" s="127" t="s">
        <v>1197</v>
      </c>
      <c r="D521" s="332">
        <v>11661.52</v>
      </c>
      <c r="F521" s="127" t="s">
        <v>1201</v>
      </c>
    </row>
    <row r="522" spans="2:6">
      <c r="B522" s="127" t="s">
        <v>1198</v>
      </c>
      <c r="D522" s="332">
        <v>17540.189999999999</v>
      </c>
      <c r="F522" s="127" t="s">
        <v>1200</v>
      </c>
    </row>
    <row r="523" spans="2:6">
      <c r="B523" s="127" t="s">
        <v>580</v>
      </c>
      <c r="D523" s="332">
        <v>6519.85</v>
      </c>
      <c r="F523" s="127" t="s">
        <v>919</v>
      </c>
    </row>
    <row r="524" spans="2:6">
      <c r="B524" s="127" t="s">
        <v>580</v>
      </c>
      <c r="D524" s="332">
        <v>132.5</v>
      </c>
      <c r="F524" s="127" t="s">
        <v>919</v>
      </c>
    </row>
    <row r="525" spans="2:6">
      <c r="B525" s="127" t="s">
        <v>580</v>
      </c>
      <c r="D525" s="332">
        <v>600</v>
      </c>
      <c r="F525" s="127" t="s">
        <v>919</v>
      </c>
    </row>
    <row r="526" spans="2:6">
      <c r="B526" s="127" t="s">
        <v>1228</v>
      </c>
      <c r="D526" s="332">
        <v>947.5</v>
      </c>
      <c r="F526" s="127" t="s">
        <v>919</v>
      </c>
    </row>
    <row r="527" spans="2:6">
      <c r="B527" s="127" t="s">
        <v>237</v>
      </c>
      <c r="D527" s="332">
        <v>-2403255</v>
      </c>
      <c r="F527" s="127" t="s">
        <v>1297</v>
      </c>
    </row>
    <row r="528" spans="2:6">
      <c r="B528" s="127" t="s">
        <v>1298</v>
      </c>
      <c r="D528" s="332">
        <v>-45626.92</v>
      </c>
      <c r="F528" s="127" t="s">
        <v>1299</v>
      </c>
    </row>
    <row r="529" spans="2:6">
      <c r="B529" s="127" t="s">
        <v>1195</v>
      </c>
      <c r="D529" s="332">
        <v>31243.02</v>
      </c>
      <c r="F529" s="127" t="s">
        <v>1087</v>
      </c>
    </row>
    <row r="530" spans="2:6">
      <c r="B530" s="127" t="s">
        <v>50</v>
      </c>
      <c r="D530" s="332">
        <v>25877.58</v>
      </c>
      <c r="F530" s="127" t="s">
        <v>1302</v>
      </c>
    </row>
    <row r="531" spans="2:6">
      <c r="B531" s="127" t="s">
        <v>1300</v>
      </c>
      <c r="D531" s="332">
        <v>655.21</v>
      </c>
      <c r="F531" s="127" t="s">
        <v>566</v>
      </c>
    </row>
    <row r="532" spans="2:6">
      <c r="B532" s="127" t="s">
        <v>1384</v>
      </c>
      <c r="D532" s="332">
        <v>2950</v>
      </c>
      <c r="F532" s="127" t="s">
        <v>1301</v>
      </c>
    </row>
    <row r="534" spans="2:6">
      <c r="B534" s="127" t="s">
        <v>471</v>
      </c>
      <c r="D534" s="332">
        <v>13001.75</v>
      </c>
      <c r="F534" s="127" t="s">
        <v>919</v>
      </c>
    </row>
    <row r="536" spans="2:6" ht="13.8" thickBot="1">
      <c r="D536" s="458">
        <f>SUM(D505:D535)</f>
        <v>2695044.48</v>
      </c>
    </row>
    <row r="537" spans="2:6" ht="13.8" thickTop="1"/>
    <row r="538" spans="2:6">
      <c r="D538" s="335" t="s">
        <v>1279</v>
      </c>
    </row>
    <row r="539" spans="2:6">
      <c r="B539" s="127" t="s">
        <v>1360</v>
      </c>
      <c r="D539" s="332">
        <v>690000</v>
      </c>
      <c r="F539" s="127" t="s">
        <v>1280</v>
      </c>
    </row>
    <row r="540" spans="2:6">
      <c r="F540" s="127" t="s">
        <v>1281</v>
      </c>
    </row>
    <row r="541" spans="2:6">
      <c r="B541" s="127" t="s">
        <v>1282</v>
      </c>
      <c r="D541" s="336">
        <v>440065</v>
      </c>
      <c r="F541" s="127" t="s">
        <v>1284</v>
      </c>
    </row>
    <row r="542" spans="2:6">
      <c r="B542" s="127" t="s">
        <v>1282</v>
      </c>
      <c r="D542" s="336">
        <v>134402.01999999999</v>
      </c>
      <c r="F542" s="127" t="s">
        <v>1283</v>
      </c>
    </row>
    <row r="543" spans="2:6">
      <c r="B543" s="127" t="s">
        <v>1282</v>
      </c>
      <c r="D543" s="336">
        <v>57637.64</v>
      </c>
      <c r="F543" s="127" t="s">
        <v>1285</v>
      </c>
    </row>
    <row r="544" spans="2:6">
      <c r="B544" s="127" t="s">
        <v>1194</v>
      </c>
      <c r="D544" s="336">
        <v>28510.18</v>
      </c>
      <c r="F544" s="127" t="s">
        <v>1292</v>
      </c>
    </row>
    <row r="545" spans="2:6">
      <c r="B545" s="127" t="s">
        <v>1194</v>
      </c>
      <c r="D545" s="336">
        <v>7645.99</v>
      </c>
      <c r="F545" s="127" t="s">
        <v>1293</v>
      </c>
    </row>
    <row r="546" spans="2:6">
      <c r="B546" s="127" t="s">
        <v>1194</v>
      </c>
      <c r="D546" s="336">
        <v>9355</v>
      </c>
      <c r="F546" s="127" t="s">
        <v>1291</v>
      </c>
    </row>
    <row r="547" spans="2:6">
      <c r="B547" s="127" t="s">
        <v>1194</v>
      </c>
      <c r="D547" s="336">
        <v>5489.31</v>
      </c>
      <c r="F547" s="127" t="s">
        <v>1295</v>
      </c>
    </row>
    <row r="548" spans="2:6">
      <c r="B548" s="127" t="s">
        <v>1194</v>
      </c>
      <c r="D548" s="336">
        <v>92518.79</v>
      </c>
      <c r="F548" s="127" t="s">
        <v>1289</v>
      </c>
    </row>
    <row r="549" spans="2:6">
      <c r="B549" s="127" t="s">
        <v>1194</v>
      </c>
      <c r="D549" s="336">
        <v>7958</v>
      </c>
      <c r="F549" s="127" t="s">
        <v>1290</v>
      </c>
    </row>
    <row r="550" spans="2:6">
      <c r="B550" s="127" t="s">
        <v>1194</v>
      </c>
      <c r="D550" s="336">
        <v>19096.68</v>
      </c>
      <c r="F550" s="127" t="s">
        <v>1294</v>
      </c>
    </row>
    <row r="551" spans="2:6">
      <c r="B551" s="127" t="s">
        <v>1194</v>
      </c>
      <c r="D551" s="336">
        <v>144960.28</v>
      </c>
      <c r="F551" s="127" t="s">
        <v>1289</v>
      </c>
    </row>
    <row r="552" spans="2:6">
      <c r="D552" s="336"/>
    </row>
    <row r="553" spans="2:6">
      <c r="B553" s="127" t="s">
        <v>942</v>
      </c>
      <c r="D553" s="336">
        <v>625000</v>
      </c>
      <c r="F553" s="127" t="s">
        <v>1286</v>
      </c>
    </row>
    <row r="554" spans="2:6">
      <c r="B554" s="127" t="s">
        <v>883</v>
      </c>
      <c r="D554" s="336">
        <v>3855.35</v>
      </c>
      <c r="F554" s="127" t="s">
        <v>1287</v>
      </c>
    </row>
    <row r="555" spans="2:6">
      <c r="B555" s="127" t="s">
        <v>883</v>
      </c>
      <c r="D555" s="336">
        <v>129088.79</v>
      </c>
      <c r="F555" s="127" t="s">
        <v>1288</v>
      </c>
    </row>
    <row r="556" spans="2:6">
      <c r="B556" s="127" t="s">
        <v>1296</v>
      </c>
      <c r="D556" s="336">
        <v>21</v>
      </c>
      <c r="F556" s="127" t="s">
        <v>566</v>
      </c>
    </row>
    <row r="557" spans="2:6">
      <c r="B557" s="127" t="s">
        <v>890</v>
      </c>
      <c r="D557" s="336">
        <v>794</v>
      </c>
      <c r="F557" s="127" t="s">
        <v>566</v>
      </c>
    </row>
    <row r="558" spans="2:6">
      <c r="B558" s="127" t="s">
        <v>890</v>
      </c>
      <c r="D558" s="336">
        <v>73.25</v>
      </c>
      <c r="F558" s="127" t="s">
        <v>566</v>
      </c>
    </row>
    <row r="559" spans="2:6">
      <c r="B559" s="127" t="s">
        <v>1296</v>
      </c>
      <c r="D559" s="336">
        <v>784.41</v>
      </c>
      <c r="F559" s="127" t="s">
        <v>566</v>
      </c>
    </row>
    <row r="560" spans="2:6">
      <c r="B560" s="127" t="s">
        <v>1228</v>
      </c>
      <c r="D560" s="336">
        <v>530</v>
      </c>
      <c r="F560" s="127" t="s">
        <v>919</v>
      </c>
    </row>
    <row r="561" spans="2:6">
      <c r="B561" s="127" t="s">
        <v>714</v>
      </c>
      <c r="D561" s="336">
        <v>429388</v>
      </c>
      <c r="F561" s="127" t="s">
        <v>1289</v>
      </c>
    </row>
    <row r="562" spans="2:6">
      <c r="B562" s="127" t="s">
        <v>714</v>
      </c>
      <c r="D562" s="332">
        <v>912762.73</v>
      </c>
      <c r="F562" s="127" t="s">
        <v>1289</v>
      </c>
    </row>
    <row r="564" spans="2:6" ht="13.8" thickBot="1">
      <c r="D564" s="458">
        <f>SUM(D539:D562)</f>
        <v>3739936.42</v>
      </c>
    </row>
    <row r="565" spans="2:6" ht="13.8" thickTop="1"/>
  </sheetData>
  <phoneticPr fontId="50" type="noConversion"/>
  <pageMargins left="0.35" right="0.17" top="0.39" bottom="0.34" header="0.5" footer="0.5"/>
  <pageSetup scale="6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13</vt:i4>
      </vt:variant>
    </vt:vector>
  </HeadingPairs>
  <TitlesOfParts>
    <vt:vector size="30" baseType="lpstr">
      <vt:lpstr>Sheet2</vt:lpstr>
      <vt:lpstr>NA Mquip</vt:lpstr>
      <vt:lpstr>EECC</vt:lpstr>
      <vt:lpstr>Summary</vt:lpstr>
      <vt:lpstr>ENA</vt:lpstr>
      <vt:lpstr>Doyle</vt:lpstr>
      <vt:lpstr>Turbine Detail</vt:lpstr>
      <vt:lpstr>IDC</vt:lpstr>
      <vt:lpstr>Invoice Detail</vt:lpstr>
      <vt:lpstr>WO_Recon</vt:lpstr>
      <vt:lpstr>Refurb Cost by Vendors</vt:lpstr>
      <vt:lpstr> Refurb Cost by Month</vt:lpstr>
      <vt:lpstr>LEC Burners</vt:lpstr>
      <vt:lpstr>InvDetail_InceptiontoDate</vt:lpstr>
      <vt:lpstr>Draw Sche</vt:lpstr>
      <vt:lpstr>Non_WO_costs</vt:lpstr>
      <vt:lpstr>To Update</vt:lpstr>
      <vt:lpstr>' Refurb Cost by Month'!Print_Area</vt:lpstr>
      <vt:lpstr>Doyle!Print_Area</vt:lpstr>
      <vt:lpstr>'Draw Sche'!Print_Area</vt:lpstr>
      <vt:lpstr>ENA!Print_Area</vt:lpstr>
      <vt:lpstr>InvDetail_InceptiontoDate!Print_Area</vt:lpstr>
      <vt:lpstr>'Refurb Cost by Vendors'!Print_Area</vt:lpstr>
      <vt:lpstr>Summary!Print_Area</vt:lpstr>
      <vt:lpstr>Doyle!Print_Titles</vt:lpstr>
      <vt:lpstr>'Draw Sche'!Print_Titles</vt:lpstr>
      <vt:lpstr>ENA!Print_Titles</vt:lpstr>
      <vt:lpstr>Doyle!To_Hide</vt:lpstr>
      <vt:lpstr>'Draw Sche'!To_Hide</vt:lpstr>
      <vt:lpstr>To_Hide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2001-01-03T16:28:55Z</cp:lastPrinted>
  <dcterms:created xsi:type="dcterms:W3CDTF">1998-11-04T14:40:39Z</dcterms:created>
  <dcterms:modified xsi:type="dcterms:W3CDTF">2023-09-10T15:15:27Z</dcterms:modified>
</cp:coreProperties>
</file>