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<sst xmlns="http://schemas.openxmlformats.org/spreadsheetml/2006/main" count="1447" uniqueCount="556">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</sst>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6" t="s">
        <v>128</v>
      </c>
      <c r="C2" s="286"/>
      <c r="D2" s="286"/>
      <c r="E2" s="28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6"/>
      <c r="D4" s="64"/>
      <c r="E4" s="64"/>
      <c r="F4" s="63"/>
    </row>
    <row r="5" spans="1:6" x14ac:dyDescent="0.3">
      <c r="A5" s="62"/>
      <c r="B5" s="64" t="s">
        <v>15</v>
      </c>
      <c r="C5" s="66">
        <f>+'MPR Raptor'!U3</f>
        <v>36935</v>
      </c>
      <c r="D5" s="67" t="s">
        <v>20</v>
      </c>
      <c r="E5" s="68">
        <f>+C5-1</f>
        <v>36934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215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-411730893.31888664</v>
      </c>
      <c r="D12" s="71">
        <f>+'Daily Position'!S59</f>
        <v>-73827735.572398722</v>
      </c>
      <c r="E12" s="71">
        <f>+C12-D12</f>
        <v>-337903157.74648792</v>
      </c>
      <c r="F12" s="63"/>
    </row>
    <row r="13" spans="1:6" x14ac:dyDescent="0.3">
      <c r="A13" s="62"/>
      <c r="B13" s="64" t="s">
        <v>10</v>
      </c>
      <c r="C13" s="56">
        <f>+C15-C12</f>
        <v>-1553459.2270499468</v>
      </c>
      <c r="D13" s="56">
        <f>+D15-D12</f>
        <v>0</v>
      </c>
      <c r="E13" s="56">
        <f>+E15-E12</f>
        <v>-1553459.2270499468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-413284352.54593658</v>
      </c>
      <c r="D15" s="57">
        <f>+'Daily Position'!Q59</f>
        <v>-73827735.572398722</v>
      </c>
      <c r="E15" s="57">
        <f>+C15-D15</f>
        <v>-339456616.97353786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-124572800.84999999</v>
      </c>
      <c r="D21" s="64"/>
      <c r="E21" s="64"/>
      <c r="F21" s="63"/>
    </row>
    <row r="22" spans="1:6" x14ac:dyDescent="0.3">
      <c r="A22" s="62"/>
      <c r="B22" s="64"/>
      <c r="C22" s="71"/>
      <c r="D22" s="215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6" x14ac:dyDescent="0.3"/>
  <cols>
    <col min="1" max="1" width="23.09765625" customWidth="1"/>
    <col min="2" max="2" width="7.8984375" style="266" customWidth="1"/>
    <col min="3" max="3" width="10.8984375" style="266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0" customWidth="1"/>
    <col min="16" max="16" width="14.09765625" customWidth="1"/>
    <col min="17" max="17" width="16" customWidth="1"/>
    <col min="18" max="18" width="14.5" customWidth="1"/>
    <col min="19" max="19" width="12.5976562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2.59765625" style="4" customWidth="1"/>
    <col min="27" max="27" width="14.3984375" customWidth="1"/>
    <col min="28" max="28" width="12.59765625" style="4" customWidth="1"/>
    <col min="29" max="29" width="14.3984375" customWidth="1"/>
    <col min="30" max="30" width="12.59765625" bestFit="1" customWidth="1"/>
  </cols>
  <sheetData>
    <row r="1" spans="1:30" s="79" customFormat="1" x14ac:dyDescent="0.3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5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3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3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2.9378089784254766</v>
      </c>
      <c r="O4" s="260">
        <f>+Summary!$C$5</f>
        <v>36935</v>
      </c>
      <c r="P4" s="4">
        <f>IF(O4&lt;B4,0,ROUND((+N4*(H4-IF(J4&gt;O4-1,0,L4))),2)-ROUND(((H4-IF(J4&gt;O4-1,0,L4))*G4),2))</f>
        <v>137211.76</v>
      </c>
      <c r="Q4" s="4">
        <v>0</v>
      </c>
      <c r="R4" s="5">
        <f t="shared" ref="R4:R13" si="1">+P4+Q4</f>
        <v>137211.76</v>
      </c>
      <c r="S4" s="4">
        <v>0</v>
      </c>
      <c r="T4" s="4">
        <f>IF(Summary!$E$5&lt;'Daily Position'!B4,0,ROUND(+U4*(H4-L4),2)+M4-I4)</f>
        <v>114437.33000000002</v>
      </c>
      <c r="U4" s="2">
        <f>+VLOOKUP(+Summary!$E$5,StkPrices,+'Stock Prices'!H$2)</f>
        <v>2.6458290838380072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17384.240000000002</v>
      </c>
      <c r="AD4" s="140">
        <f>-AC4+'MPR Raptor'!AH58</f>
        <v>-2.760474930255441E-3</v>
      </c>
    </row>
    <row r="5" spans="1:30" x14ac:dyDescent="0.3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21.0625</v>
      </c>
      <c r="O5" s="260">
        <f>+Summary!$C$5</f>
        <v>36935</v>
      </c>
      <c r="P5" s="4">
        <f>IF(O5&lt;B5,0,ROUND((+N5*(H5-IF(J5&gt;O5-1,0,L5))),2)-ROUND(((H5-IF(J5&gt;O5-1,0,L5))*G5),2))</f>
        <v>-32611605.010000002</v>
      </c>
      <c r="Q5" s="4">
        <f>IF(J5&lt;(O5+1),(+K5-G5)*L5,0)</f>
        <v>-7079860.9399998812</v>
      </c>
      <c r="R5" s="5">
        <f>+P5+Q5</f>
        <v>-39691465.949999884</v>
      </c>
      <c r="S5" s="4">
        <f>IF(J5&lt;O5,+Q5,0)</f>
        <v>-7079860.9399998812</v>
      </c>
      <c r="T5" s="4">
        <f>IF(Summary!$E$5&lt;'Daily Position'!B5,0,ROUND(+U5*(H5-L5),2)+M5-I5)</f>
        <v>-41350764.829999998</v>
      </c>
      <c r="U5" s="2">
        <f>+VLOOKUP(+Summary!$E$5,StkPrices,+'Stock Prices'!D$2)</f>
        <v>19.4375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-43818.76</v>
      </c>
      <c r="AD5" s="140">
        <f>'MPR Raptor'!AH29-AC5</f>
        <v>-4.9999998955172487E-3</v>
      </c>
    </row>
    <row r="6" spans="1:30" x14ac:dyDescent="0.3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20.75</v>
      </c>
      <c r="O6" s="260">
        <f>+Summary!$C$5</f>
        <v>36935</v>
      </c>
      <c r="P6" s="4">
        <f>IF(O6&lt;B6,0,ROUND((+N6*(H6-IF(J6&gt;O6-1,0,L6))),2)-ROUND(((H6-IF(J6&gt;O6-1,0,L6))*G6),2))</f>
        <v>-154851385.5</v>
      </c>
      <c r="Q6" s="4">
        <f>IF(J6&lt;(O6+1),(+K6-G6)*L6,0)</f>
        <v>-132061.01999999999</v>
      </c>
      <c r="R6" s="5">
        <f>+P6+Q6</f>
        <v>-154983446.52000001</v>
      </c>
      <c r="S6" s="4">
        <f>IF(J6&lt;O6,+Q6,0)</f>
        <v>-132061.01999999999</v>
      </c>
      <c r="T6" s="4">
        <f>IF(Summary!$E$5&lt;'Daily Position'!B6,0,ROUND(+U6*(H6-L6),2)+M6-I6)</f>
        <v>-151569615.27000001</v>
      </c>
      <c r="U6" s="2">
        <f>+VLOOKUP(+Summary!$E$5,StkPrices,+'Stock Prices'!C$2)</f>
        <v>23.875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-4227336.7699999996</v>
      </c>
      <c r="AD6" s="140">
        <f>'MPR Raptor'!AH7-AC6</f>
        <v>3.3333338797092438E-3</v>
      </c>
    </row>
    <row r="7" spans="1:30" x14ac:dyDescent="0.3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5.4735185020466339</v>
      </c>
      <c r="O7" s="260">
        <f>+Summary!$C$5</f>
        <v>36935</v>
      </c>
      <c r="P7" s="4">
        <f t="shared" ref="P7:P13" si="4">IF(O7&lt;B7,0,ROUND((+N7*(H7-IF(J7&gt;O7-1,0,L7))),2)-ROUND(((H7-IF(J7&gt;O7-1,0,L7))*G7),2))</f>
        <v>199705.63</v>
      </c>
      <c r="Q7" s="4">
        <v>0</v>
      </c>
      <c r="R7" s="5">
        <f t="shared" si="1"/>
        <v>199705.63</v>
      </c>
      <c r="S7" s="4">
        <v>0</v>
      </c>
      <c r="T7" s="4">
        <f>IF(Summary!$E$5&lt;'Daily Position'!B7,0,ROUND(+U7*(H7-L7),2)+M7-I7)</f>
        <v>210713.26</v>
      </c>
      <c r="U7" s="2">
        <f>+VLOOKUP(+Summary!$E$5,StkPrices,+'Stock Prices'!G$2)</f>
        <v>5.5439673718800018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-89452.14</v>
      </c>
      <c r="AD7" s="140">
        <f>-AC7+'MPR Raptor'!AH57</f>
        <v>-1.4370762655744329E-3</v>
      </c>
    </row>
    <row r="8" spans="1:30" x14ac:dyDescent="0.3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15</v>
      </c>
      <c r="O8" s="260">
        <f>+Summary!$C$5</f>
        <v>36935</v>
      </c>
      <c r="P8" s="4">
        <f>IF(O8&lt;B8,0,ROUND((+N8*H8),2)-I8-Q8)</f>
        <v>-96025710</v>
      </c>
      <c r="Q8" s="4">
        <v>0</v>
      </c>
      <c r="R8" s="5">
        <f>+P8+Q8</f>
        <v>-96025710</v>
      </c>
      <c r="S8" s="4">
        <v>0</v>
      </c>
      <c r="T8" s="4">
        <f>IF(Summary!$E$5&lt;'Daily Position'!B8,0,ROUND(+U8*(H8-L8),2)+M8-I8)</f>
        <v>-96193120.75</v>
      </c>
      <c r="U8" s="2">
        <f>IF(O8&gt;X8-1,+VLOOKUP(+Summary!$E$5,StkPrices,'Stock Prices'!L2),0)</f>
        <v>14.875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-3013393.5</v>
      </c>
      <c r="AD8" s="140">
        <f>-AC8+'MPR Raptor'!AH69</f>
        <v>0</v>
      </c>
    </row>
    <row r="9" spans="1:30" x14ac:dyDescent="0.3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5.8125</v>
      </c>
      <c r="O9" s="260">
        <f>+Summary!$C$5</f>
        <v>36935</v>
      </c>
      <c r="P9" s="4">
        <f t="shared" si="4"/>
        <v>-3743.1900000000023</v>
      </c>
      <c r="Q9" s="4">
        <v>0</v>
      </c>
      <c r="R9" s="5">
        <f t="shared" si="1"/>
        <v>-3743.1900000000023</v>
      </c>
      <c r="S9" s="4">
        <v>0</v>
      </c>
      <c r="T9" s="4">
        <f>IF(Summary!$E$5&lt;'Daily Position'!B9,0,ROUND(+U9*(H9-L9),2)+M9-I9)</f>
        <v>-14972.75</v>
      </c>
      <c r="U9" s="2">
        <f>+VLOOKUP(+Summary!$E$5,StkPrices,+'Stock Prices'!J$2)</f>
        <v>5.625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78606.94</v>
      </c>
      <c r="AD9" s="140">
        <f>-AC9+'MPR Raptor'!AH68</f>
        <v>-2.5000000023283064E-3</v>
      </c>
    </row>
    <row r="10" spans="1:30" x14ac:dyDescent="0.3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36935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3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36935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-57410.130000000005</v>
      </c>
      <c r="U11" s="2">
        <f>IF(O11=(X11+1),+'Stock Prices'!F65/(229391/12234952),+VLOOKUP(+Summary!$E$5,StkPrices,'Stock Prices'!F2))</f>
        <v>8.375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2.5000002356136974E-3</v>
      </c>
    </row>
    <row r="12" spans="1:30" x14ac:dyDescent="0.3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36935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8.375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3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36935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3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3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3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36935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3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36935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3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36935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3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36935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3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36935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3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36935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3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36935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3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36935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3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36935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3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36935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3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36935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3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36935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3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36935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3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36935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3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36935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3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36935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3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36935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3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36935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3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36935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3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36935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3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36935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3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36935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3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36935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3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36935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3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36935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3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36935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3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36935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3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36935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3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36935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3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36935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3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36935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3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36935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3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3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3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2.9378089784254766</v>
      </c>
      <c r="O50" s="260">
        <f>+Summary!$C$5</f>
        <v>36935</v>
      </c>
      <c r="P50" s="4">
        <f>IF(O50&lt;B50,0,ROUND((+N50*H50),2)-I50-Q50)</f>
        <v>82601.48000000001</v>
      </c>
      <c r="Q50" s="4">
        <v>0</v>
      </c>
      <c r="R50" s="5">
        <f t="shared" ref="R50:R56" si="12">+P50+Q50</f>
        <v>82601.48000000001</v>
      </c>
      <c r="S50" s="4">
        <v>0</v>
      </c>
      <c r="T50" s="4">
        <f>IF(Summary!$E$5&lt;'Daily Position'!B50,0,ROUND(+U50*(H50-L50),2)+M50-I50)</f>
        <v>68891.27</v>
      </c>
      <c r="U50" s="69">
        <f>+U4</f>
        <v>2.6458290838380072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10465.31</v>
      </c>
      <c r="AD50" s="140">
        <f>'MPR Raptor'!AH19-AC50</f>
        <v>8.1819409206218552E-4</v>
      </c>
    </row>
    <row r="51" spans="1:30" x14ac:dyDescent="0.3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36935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3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36935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-34560.9</v>
      </c>
      <c r="U52" s="69">
        <f>+U11</f>
        <v>8.375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3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36935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8.375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3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36935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3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36935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3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36935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3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2" thickBot="1" x14ac:dyDescent="0.35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-339456616.9735378</v>
      </c>
      <c r="Q59" s="78">
        <f>SUM(Q3:Q58)</f>
        <v>-73827735.572398722</v>
      </c>
      <c r="R59" s="78">
        <f>SUM(R3:R58)</f>
        <v>-413284352.54593658</v>
      </c>
      <c r="S59" s="239">
        <f>SUM(S3:S58)</f>
        <v>-73827735.572398722</v>
      </c>
      <c r="T59" s="78">
        <f>SUM(T3:T58)</f>
        <v>-411730893.31888664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-109262682.56</v>
      </c>
      <c r="AD59" s="78">
        <f>SUM(AD3:AD58)</f>
        <v>-0.13342102288470414</v>
      </c>
    </row>
    <row r="60" spans="1:30" ht="16.2" thickTop="1" x14ac:dyDescent="0.3"/>
    <row r="61" spans="1:30" x14ac:dyDescent="0.3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2.5637291400926188E-8</v>
      </c>
      <c r="AD61" t="s">
        <v>524</v>
      </c>
    </row>
    <row r="62" spans="1:30" x14ac:dyDescent="0.3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3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3">
      <c r="W64" s="220"/>
    </row>
    <row r="65" spans="7:23" x14ac:dyDescent="0.3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0" activePane="bottomLeft" state="frozen"/>
      <selection pane="bottomLeft" activeCell="B140" sqref="B140"/>
    </sheetView>
  </sheetViews>
  <sheetFormatPr defaultRowHeight="15.6" x14ac:dyDescent="0.3"/>
  <cols>
    <col min="1" max="1" width="10" style="1" bestFit="1" customWidth="1"/>
    <col min="2" max="3" width="9.69921875" style="128" bestFit="1" customWidth="1"/>
    <col min="4" max="4" width="9.09765625" style="128" bestFit="1" customWidth="1"/>
    <col min="5" max="5" width="11.19921875" style="128" customWidth="1"/>
    <col min="6" max="8" width="9.09765625" style="128" bestFit="1" customWidth="1"/>
    <col min="9" max="9" width="9.69921875" style="128" bestFit="1" customWidth="1"/>
    <col min="10" max="11" width="9.09765625" style="128" bestFit="1" customWidth="1"/>
    <col min="12" max="12" width="9.09765625" style="128" customWidth="1"/>
  </cols>
  <sheetData>
    <row r="1" spans="1:15" x14ac:dyDescent="0.3">
      <c r="A1" s="261" t="s">
        <v>161</v>
      </c>
      <c r="B1" s="124"/>
      <c r="C1" s="127"/>
    </row>
    <row r="2" spans="1:15" x14ac:dyDescent="0.3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6.8" x14ac:dyDescent="0.3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3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3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3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3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3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3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3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3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3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3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3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3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3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3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3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3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3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3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3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3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3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3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3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3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3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3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3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3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3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3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3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3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3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3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3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3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3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3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3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3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3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3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3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3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3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3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3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3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3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3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3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3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3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3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3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3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3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3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3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3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3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3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3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3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3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3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3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3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3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3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3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3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3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3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3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3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3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3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3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3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3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3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3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3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3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3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3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3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3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3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3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3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3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3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3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3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3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3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3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3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3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3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3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3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3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3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3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3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3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3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3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3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3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3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3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3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3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3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3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3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3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3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3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3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3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3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3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3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3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3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3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3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3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3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3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3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3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258" ht="14.25" customHeight="1" x14ac:dyDescent="0.3"/>
    <row r="375" spans="1:12" x14ac:dyDescent="0.3">
      <c r="A375" s="1" t="s">
        <v>177</v>
      </c>
    </row>
    <row r="377" spans="1:12" x14ac:dyDescent="0.3">
      <c r="A377" s="260">
        <f>+'MPR Raptor'!U3</f>
        <v>36935</v>
      </c>
      <c r="C377" s="128">
        <f>INDEX(MPRR, MATCH("Avici EBS Raptor I",'MPR Raptor'!$E$3:$E$140,), MATCH("Per Share",'MPR Raptor'!$E$3:$CM$3,))</f>
        <v>20.75</v>
      </c>
      <c r="D377" s="128">
        <f>INDEX(MPRR, MATCH("Active Power Raptor I",'MPR Raptor'!$E$3:$E$140,), MATCH("Per Share",'MPR Raptor'!$E$3:$CM$3,))</f>
        <v>21.0625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5.4735185020466339</v>
      </c>
      <c r="H377" s="128">
        <f>INDEX(MPRR, MATCH("3TEC Warrants Raptor I",'MPR Raptor'!$E$3:$E$140,), MATCH("Per Share",'MPR Raptor'!$E$3:$CM$3,))</f>
        <v>2.9378089784254766</v>
      </c>
      <c r="I377" s="128">
        <f>INDEX(MPRR, MATCH("3TEC Warrants EGF Raptor I",'MPR Raptor'!$E$3:$E$140,), MATCH("Per Share",'MPR Raptor'!$E$3:$CM$3,))</f>
        <v>2.9378089784254771</v>
      </c>
      <c r="J377" s="128">
        <f>INDEX(MPRR, MATCH("Paradigm Common Raptor I",'MPR Raptor'!$E$3:$E$140,), MATCH("Per Share",'MPR Raptor'!$E$3:$CM$3,))</f>
        <v>5.8125</v>
      </c>
      <c r="L377" s="128">
        <f>INDEX(MPRR, MATCH("Catalytica Common TRS Raptor I",'MPR Raptor'!$E$3:$E$140,), MATCH("Per Share",'MPR Raptor'!$E$3:$CM$3,))</f>
        <v>15</v>
      </c>
    </row>
    <row r="378" spans="1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8" activePane="bottomRight" state="frozen"/>
      <selection activeCell="A2" sqref="A2"/>
      <selection pane="topRight" activeCell="B2" sqref="B2"/>
      <selection pane="bottomLeft" activeCell="A4" sqref="A4"/>
      <selection pane="bottomRight" activeCell="A139" sqref="A139"/>
    </sheetView>
  </sheetViews>
  <sheetFormatPr defaultRowHeight="15.6" x14ac:dyDescent="0.3"/>
  <cols>
    <col min="1" max="1" width="8.69921875" style="260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0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7" t="s">
        <v>161</v>
      </c>
      <c r="B1" s="124"/>
      <c r="C1" s="2"/>
      <c r="D1" s="127"/>
    </row>
    <row r="2" spans="1:35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6.8" x14ac:dyDescent="0.3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3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3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3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3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3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3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3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3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3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3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3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3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3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3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3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3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3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3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3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3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3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3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3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3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3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3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3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3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3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3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3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3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3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257" ht="14.25" customHeight="1" x14ac:dyDescent="0.3"/>
    <row r="374" spans="1:34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3">
      <c r="A376" s="260">
        <f>+'MPR Raptor'!$U$3</f>
        <v>36935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2821757.5063459473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8" activePane="bottomRight" state="frozen"/>
      <selection activeCell="A3" sqref="A3"/>
      <selection pane="topRight" activeCell="B3" sqref="B3"/>
      <selection pane="bottomLeft" activeCell="A4" sqref="A4"/>
      <selection pane="bottomRight" activeCell="A139" sqref="A139:IV139"/>
    </sheetView>
  </sheetViews>
  <sheetFormatPr defaultRowHeight="15.6" x14ac:dyDescent="0.3"/>
  <cols>
    <col min="1" max="1" width="8.69921875" style="260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3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0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2.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3.398437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7" t="s">
        <v>161</v>
      </c>
      <c r="B1" s="124"/>
      <c r="C1" s="2"/>
      <c r="D1" s="127"/>
    </row>
    <row r="2" spans="1:34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6.8" x14ac:dyDescent="0.3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3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3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3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3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3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3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3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3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3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3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3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3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3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3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3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3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3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257" ht="14.25" customHeight="1" x14ac:dyDescent="0.3"/>
    <row r="374" spans="1:33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3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0">
        <f>+A379</f>
        <v>36935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0" t="s">
        <v>486</v>
      </c>
      <c r="C378" s="269">
        <f>SUM(B377:AG377)</f>
        <v>0</v>
      </c>
    </row>
    <row r="379" spans="1:33" x14ac:dyDescent="0.3">
      <c r="A379" s="260">
        <f>+'MPR Raptor'!$U$3</f>
        <v>36935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3">
      <c r="A380" s="260">
        <f>+A379-1</f>
        <v>36934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3">
      <c r="A381" s="260">
        <f>+A379</f>
        <v>36935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5">
        <f>+Summary!C5</f>
        <v>36935</v>
      </c>
      <c r="I2" s="295"/>
      <c r="J2" s="97"/>
      <c r="L2" s="295">
        <f>H2</f>
        <v>36935</v>
      </c>
      <c r="M2" s="295"/>
      <c r="N2" s="295"/>
      <c r="O2" s="295"/>
      <c r="P2" s="295"/>
    </row>
    <row r="3" spans="1:18" ht="16.2" thickBot="1" x14ac:dyDescent="0.35">
      <c r="H3" s="296" t="s">
        <v>101</v>
      </c>
      <c r="I3" s="296"/>
      <c r="J3" s="98"/>
      <c r="L3" s="296" t="s">
        <v>101</v>
      </c>
      <c r="M3" s="296"/>
      <c r="N3" s="296"/>
      <c r="O3" s="296"/>
      <c r="P3" s="296"/>
    </row>
    <row r="4" spans="1:18" x14ac:dyDescent="0.3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2" thickBot="1" x14ac:dyDescent="0.35">
      <c r="A5" s="301" t="s">
        <v>33</v>
      </c>
      <c r="B5" s="301"/>
      <c r="D5" s="301" t="s">
        <v>34</v>
      </c>
      <c r="E5" s="301"/>
      <c r="H5" s="120" t="s">
        <v>103</v>
      </c>
      <c r="I5" s="131">
        <f>+VLOOKUP(+Summary!C5,ene,2)</f>
        <v>81.150000000000006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36935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8" t="s">
        <v>162</v>
      </c>
      <c r="I7" s="299"/>
      <c r="J7" s="13"/>
      <c r="L7" s="301" t="s">
        <v>33</v>
      </c>
      <c r="M7" s="301"/>
      <c r="O7" s="301" t="s">
        <v>34</v>
      </c>
      <c r="P7" s="301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40803539.938285381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3">
      <c r="D10" s="7" t="s">
        <v>4</v>
      </c>
      <c r="E10" s="7">
        <v>1000</v>
      </c>
      <c r="H10" s="294" t="s">
        <v>105</v>
      </c>
      <c r="I10" s="294"/>
      <c r="J10" s="13"/>
      <c r="L10" s="7" t="s">
        <v>41</v>
      </c>
      <c r="M10" s="7">
        <f>B8+I15</f>
        <v>401382504.62557077</v>
      </c>
      <c r="N10" s="18"/>
      <c r="O10" s="7" t="s">
        <v>121</v>
      </c>
      <c r="P10" s="7">
        <f>IF(I20&gt;0,0,-I20)</f>
        <v>339456616.9735378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36935</v>
      </c>
      <c r="J11" s="13"/>
      <c r="L11" s="7" t="s">
        <v>45</v>
      </c>
      <c r="M11" s="7">
        <f>+Amort!B28</f>
        <v>1312500</v>
      </c>
      <c r="O11" s="7" t="s">
        <v>496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464626378.27404982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3188651.0493964818</v>
      </c>
      <c r="J13" s="29"/>
      <c r="L13" s="7" t="s">
        <v>497</v>
      </c>
      <c r="M13" s="7">
        <f>IF(I19&gt;0,I19,0)</f>
        <v>0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2926388.888888889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-341222015.72373152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51382504.625570774</v>
      </c>
      <c r="J15" s="33" t="s">
        <v>59</v>
      </c>
      <c r="L15" s="92" t="s">
        <v>7</v>
      </c>
      <c r="M15" s="12">
        <f>SUM(M8:M14)</f>
        <v>493498544.56385612</v>
      </c>
      <c r="N15" s="20"/>
      <c r="O15" s="92" t="s">
        <v>7</v>
      </c>
      <c r="P15" s="12">
        <f>SUM(P8:P14)</f>
        <v>493498544.56385612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-22899104.701651089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77061336.822205067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2" thickTop="1" x14ac:dyDescent="0.3">
      <c r="H19" s="7" t="s">
        <v>495</v>
      </c>
      <c r="I19" s="7">
        <f>IF(I5&lt;81,(81-I5)*(D14+D15),IF(I5&gt;116,(116-I5)*(+D14+D15),0))</f>
        <v>0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2" thickBot="1" x14ac:dyDescent="0.35">
      <c r="A20" s="302" t="s">
        <v>62</v>
      </c>
      <c r="B20" s="302"/>
      <c r="C20" s="302"/>
      <c r="D20" s="302"/>
      <c r="E20" s="302"/>
      <c r="H20" s="7" t="s">
        <v>119</v>
      </c>
      <c r="I20" s="7">
        <f>+'Daily Position'!P59</f>
        <v>-339456616.9735378</v>
      </c>
      <c r="M20" s="93"/>
      <c r="N20" s="104" t="s">
        <v>527</v>
      </c>
      <c r="O20" s="93"/>
      <c r="P20" s="27">
        <f>-B11</f>
        <v>-471001000</v>
      </c>
    </row>
    <row r="21" spans="1:20" x14ac:dyDescent="0.3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-413284352.54593652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-336223015.72373146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4" t="s">
        <v>106</v>
      </c>
      <c r="I25" s="294"/>
      <c r="J25" s="13"/>
      <c r="N25" s="7" t="s">
        <v>530</v>
      </c>
      <c r="P25" s="7">
        <f>+P21+P22+P23</f>
        <v>20734509.754150212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499</v>
      </c>
      <c r="I31" s="16">
        <f>I23</f>
        <v>-336223015.72373146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149</v>
      </c>
      <c r="B32" s="45"/>
      <c r="H32" s="13" t="s">
        <v>498</v>
      </c>
      <c r="I32" s="16">
        <f>(D14+D15)*(I5-E14)</f>
        <v>81109654.500000045</v>
      </c>
      <c r="J32" s="39"/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3">
      <c r="A34" s="49">
        <f>+Summary!C5</f>
        <v>36935</v>
      </c>
      <c r="B34" s="13" t="s">
        <v>84</v>
      </c>
      <c r="C34"/>
      <c r="D34"/>
      <c r="E34"/>
      <c r="H34" s="13" t="s">
        <v>150</v>
      </c>
      <c r="I34" s="16">
        <f>-I15</f>
        <v>-51382504.625570774</v>
      </c>
      <c r="J34" s="33" t="s">
        <v>59</v>
      </c>
      <c r="L34" s="7" t="s">
        <v>78</v>
      </c>
      <c r="M34" s="7">
        <f>I23</f>
        <v>-336223015.72373146</v>
      </c>
    </row>
    <row r="35" spans="1:17" ht="16.2" thickBot="1" x14ac:dyDescent="0.35">
      <c r="A35" s="50">
        <f>A34-A33</f>
        <v>301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2" thickBot="1" x14ac:dyDescent="0.35">
      <c r="A36"/>
      <c r="B36"/>
      <c r="C36"/>
      <c r="D36"/>
      <c r="E36"/>
      <c r="H36" s="37" t="s">
        <v>107</v>
      </c>
      <c r="I36" s="38">
        <f>SUM(I29:I35)</f>
        <v>-124572800.84930219</v>
      </c>
      <c r="J36" s="13"/>
      <c r="L36" s="7" t="s">
        <v>80</v>
      </c>
      <c r="M36" s="7">
        <f>SUM(M33:M35)</f>
        <v>-341222015.72373146</v>
      </c>
    </row>
    <row r="37" spans="1:17" ht="16.5" customHeight="1" thickTop="1" x14ac:dyDescent="0.3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-341222015.72373152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3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493498544.56385612</v>
      </c>
      <c r="Q44" s="107" t="s">
        <v>155</v>
      </c>
    </row>
    <row r="45" spans="1:17" x14ac:dyDescent="0.3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3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-339456616.9735378</v>
      </c>
      <c r="P46" s="27">
        <f>+M46+O46</f>
        <v>300478522.09646225</v>
      </c>
    </row>
    <row r="47" spans="1:17" x14ac:dyDescent="0.3">
      <c r="A47"/>
      <c r="B47"/>
      <c r="C47"/>
      <c r="D47"/>
      <c r="E47"/>
      <c r="F47" s="7"/>
      <c r="I47" s="7"/>
      <c r="L47" s="7" t="s">
        <v>153</v>
      </c>
      <c r="P47" s="7">
        <f>+P44+P45+P46</f>
        <v>857086091.62031841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25883999.966933616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-25883999.966933616</v>
      </c>
    </row>
    <row r="53" spans="1:17" x14ac:dyDescent="0.3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7" max="7" width="10.5" customWidth="1"/>
  </cols>
  <sheetData>
    <row r="1" spans="1:4" ht="16.2" thickBot="1" x14ac:dyDescent="0.35">
      <c r="A1" s="305" t="s">
        <v>113</v>
      </c>
      <c r="B1" s="305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7"/>
      <c r="B6" s="14"/>
      <c r="C6" s="7"/>
    </row>
    <row r="7" spans="1:4" ht="16.2" thickBot="1" x14ac:dyDescent="0.35">
      <c r="A7" s="7" t="s">
        <v>90</v>
      </c>
      <c r="B7" s="268">
        <f>SUM(B3:B6)</f>
        <v>42462896.960000001</v>
      </c>
      <c r="C7" s="29" t="s">
        <v>91</v>
      </c>
    </row>
    <row r="8" spans="1:4" ht="16.2" thickTop="1" x14ac:dyDescent="0.3">
      <c r="A8" s="7"/>
      <c r="B8" s="14"/>
      <c r="C8" s="7"/>
    </row>
    <row r="9" spans="1:4" x14ac:dyDescent="0.3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100</v>
      </c>
      <c r="B15" s="14"/>
      <c r="C15" s="7"/>
    </row>
    <row r="16" spans="1:4" x14ac:dyDescent="0.3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3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3">
      <c r="A18" s="7"/>
      <c r="B18" s="14"/>
      <c r="C18" s="7"/>
      <c r="D18" s="1"/>
    </row>
    <row r="19" spans="1:6" x14ac:dyDescent="0.3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3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3">
      <c r="A21" s="7"/>
      <c r="B21" s="14"/>
      <c r="C21" s="7"/>
    </row>
    <row r="22" spans="1:6" ht="16.2" thickBot="1" x14ac:dyDescent="0.35">
      <c r="A22" s="305" t="s">
        <v>448</v>
      </c>
      <c r="B22" s="305"/>
      <c r="C22" s="305"/>
      <c r="D22" s="305"/>
      <c r="E22" s="305"/>
      <c r="F22" s="305"/>
    </row>
    <row r="24" spans="1:6" x14ac:dyDescent="0.3">
      <c r="A24" t="s">
        <v>129</v>
      </c>
      <c r="B24" s="1">
        <f>+Summary!C5</f>
        <v>36935</v>
      </c>
    </row>
    <row r="25" spans="1:6" x14ac:dyDescent="0.3">
      <c r="A25" t="s">
        <v>449</v>
      </c>
      <c r="B25" s="1">
        <v>36634</v>
      </c>
      <c r="D25" s="4">
        <f>IF(B24&gt;(B25-1),30000000,0)</f>
        <v>30000000</v>
      </c>
    </row>
    <row r="26" spans="1:6" x14ac:dyDescent="0.3">
      <c r="A26" t="s">
        <v>450</v>
      </c>
      <c r="B26" s="1">
        <v>36741</v>
      </c>
      <c r="D26" s="4">
        <f>IF(B24&gt;(B26-1),6000000,0)</f>
        <v>6000000</v>
      </c>
    </row>
    <row r="27" spans="1:6" ht="17.399999999999999" x14ac:dyDescent="0.45">
      <c r="A27" t="s">
        <v>451</v>
      </c>
      <c r="B27" s="1">
        <f>+Summary!C5</f>
        <v>36935</v>
      </c>
      <c r="D27" s="219">
        <f>IF(B27&gt;B26,+(+B27-B26)/365*0.12*D26,0)</f>
        <v>382684.9315068493</v>
      </c>
    </row>
    <row r="28" spans="1:6" x14ac:dyDescent="0.3">
      <c r="A28" t="s">
        <v>452</v>
      </c>
      <c r="D28" s="5">
        <f>SUM(D25:D27)</f>
        <v>36382684.93150685</v>
      </c>
    </row>
    <row r="29" spans="1:6" x14ac:dyDescent="0.3">
      <c r="A29" s="7"/>
      <c r="B29" s="14"/>
      <c r="C29" s="7"/>
    </row>
    <row r="30" spans="1:6" ht="16.2" thickBot="1" x14ac:dyDescent="0.35">
      <c r="A30" s="305" t="s">
        <v>108</v>
      </c>
      <c r="B30" s="305"/>
    </row>
    <row r="32" spans="1:6" x14ac:dyDescent="0.3">
      <c r="A32" t="s">
        <v>27</v>
      </c>
      <c r="B32" s="7">
        <f>+Financials!B6</f>
        <v>71001000</v>
      </c>
      <c r="D32" s="1">
        <v>36634</v>
      </c>
    </row>
    <row r="34" spans="1:5" x14ac:dyDescent="0.3">
      <c r="A34" t="s">
        <v>109</v>
      </c>
      <c r="B34" s="7">
        <f>+Financials!I23</f>
        <v>-336223015.72373146</v>
      </c>
    </row>
    <row r="35" spans="1:5" x14ac:dyDescent="0.3">
      <c r="A35" t="s">
        <v>110</v>
      </c>
      <c r="B35" s="7">
        <f>-Financials!I15</f>
        <v>-51382504.625570774</v>
      </c>
    </row>
    <row r="36" spans="1:5" x14ac:dyDescent="0.3">
      <c r="A36" s="7" t="str">
        <f>+Financials!H20</f>
        <v>Unrealized Gains / (Losses)</v>
      </c>
      <c r="B36" s="7">
        <f>-Financials!I20-Financials!I19</f>
        <v>339456616.9735378</v>
      </c>
    </row>
    <row r="38" spans="1:5" x14ac:dyDescent="0.3">
      <c r="A38" t="s">
        <v>112</v>
      </c>
    </row>
    <row r="39" spans="1:5" x14ac:dyDescent="0.3">
      <c r="A39" t="s">
        <v>114</v>
      </c>
      <c r="B39" s="7">
        <f>+Financials!B7-Financials!M9</f>
        <v>0</v>
      </c>
    </row>
    <row r="40" spans="1:5" x14ac:dyDescent="0.3">
      <c r="A40" t="s">
        <v>45</v>
      </c>
      <c r="B40" s="7">
        <f>0-Financials!M11</f>
        <v>-1312500</v>
      </c>
    </row>
    <row r="41" spans="1:5" x14ac:dyDescent="0.3">
      <c r="A41" t="s">
        <v>115</v>
      </c>
      <c r="B41" s="7">
        <f>-Financials!E7+Financials!P12</f>
        <v>64626378.274049819</v>
      </c>
    </row>
    <row r="42" spans="1:5" x14ac:dyDescent="0.3">
      <c r="A42" t="s">
        <v>487</v>
      </c>
      <c r="B42" s="7">
        <f>-Financials!E6+Financials!P8+Financials!P9</f>
        <v>-10362434.960000001</v>
      </c>
      <c r="E42" s="7"/>
    </row>
    <row r="44" spans="1:5" x14ac:dyDescent="0.3">
      <c r="A44" t="s">
        <v>100</v>
      </c>
      <c r="B44" s="7">
        <f>+B16</f>
        <v>-41000000</v>
      </c>
    </row>
    <row r="45" spans="1:5" x14ac:dyDescent="0.3">
      <c r="A45" t="s">
        <v>124</v>
      </c>
      <c r="B45" s="7">
        <f>+B17</f>
        <v>6000000</v>
      </c>
    </row>
    <row r="47" spans="1:5" ht="16.2" thickBot="1" x14ac:dyDescent="0.35">
      <c r="A47" t="s">
        <v>29</v>
      </c>
      <c r="B47" s="12">
        <f>SUM(B32:B46)</f>
        <v>40803539.938285381</v>
      </c>
      <c r="D47" s="7">
        <f>+B32+B16+B17+B50+B20</f>
        <v>40803539.938285373</v>
      </c>
      <c r="E47" s="7"/>
    </row>
    <row r="48" spans="1:5" ht="16.2" thickTop="1" x14ac:dyDescent="0.3"/>
    <row r="49" spans="1:8" ht="16.2" thickBot="1" x14ac:dyDescent="0.35">
      <c r="A49" s="305" t="s">
        <v>159</v>
      </c>
      <c r="B49" s="305"/>
      <c r="C49" s="305"/>
      <c r="D49" s="305"/>
      <c r="E49" s="305"/>
      <c r="F49" s="305"/>
    </row>
    <row r="50" spans="1:8" x14ac:dyDescent="0.3">
      <c r="A50" s="110" t="s">
        <v>118</v>
      </c>
      <c r="B50" s="111">
        <f>+B56+B62+B68</f>
        <v>3188651.0493964818</v>
      </c>
    </row>
    <row r="51" spans="1:8" x14ac:dyDescent="0.3">
      <c r="A51" s="53"/>
      <c r="E51" s="216" t="s">
        <v>82</v>
      </c>
      <c r="F51" s="217"/>
    </row>
    <row r="52" spans="1:8" x14ac:dyDescent="0.3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3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3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3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3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3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3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3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3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3">
      <c r="A62" t="s">
        <v>28</v>
      </c>
      <c r="B62" s="54">
        <f>+B59*(F61+0.0045)/360*B61</f>
        <v>475216.1948014815</v>
      </c>
    </row>
    <row r="64" spans="1:8" x14ac:dyDescent="0.3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3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3">
      <c r="A66" t="s">
        <v>1</v>
      </c>
      <c r="B66" s="1">
        <f>IF(Summary!$C$5&lt;'Cash-Int-Trans'!B64,+'Cash-Int-Trans'!B64,Summary!$C$5)</f>
        <v>36935</v>
      </c>
      <c r="E66" s="1">
        <v>36845</v>
      </c>
      <c r="F66" s="48">
        <v>7.1300000000000002E-2</v>
      </c>
      <c r="G66" s="1">
        <v>36965</v>
      </c>
    </row>
    <row r="67" spans="1:7" x14ac:dyDescent="0.3">
      <c r="A67" t="s">
        <v>81</v>
      </c>
      <c r="B67" s="3">
        <f>+B66-B64</f>
        <v>135</v>
      </c>
      <c r="E67" s="1">
        <v>36875</v>
      </c>
      <c r="F67" s="48">
        <v>6.88E-2</v>
      </c>
      <c r="G67" s="1">
        <v>36996</v>
      </c>
    </row>
    <row r="68" spans="1:7" x14ac:dyDescent="0.3">
      <c r="A68" t="s">
        <v>28</v>
      </c>
      <c r="B68" s="54">
        <f>+B65*(F68+0.0045)/360*B67</f>
        <v>1089553.2333450001</v>
      </c>
      <c r="E68" s="51" t="s">
        <v>86</v>
      </c>
      <c r="F68" s="52">
        <f>AVERAGE(F64:F67,H64:H67)</f>
        <v>6.8659999999999999E-2</v>
      </c>
    </row>
    <row r="70" spans="1:7" ht="16.2" thickBot="1" x14ac:dyDescent="0.35">
      <c r="A70" s="305" t="s">
        <v>191</v>
      </c>
      <c r="B70" s="305"/>
      <c r="C70" s="305"/>
      <c r="D70" s="305"/>
      <c r="E70" s="305"/>
      <c r="F70" s="305"/>
    </row>
    <row r="71" spans="1:7" x14ac:dyDescent="0.3">
      <c r="A71" s="110" t="s">
        <v>188</v>
      </c>
      <c r="B71" s="111">
        <f>+B73+E78+E82+E86+E90+E94+E98+E102+E106+E110+E114+E118</f>
        <v>22899104.701651089</v>
      </c>
    </row>
    <row r="72" spans="1:7" x14ac:dyDescent="0.3">
      <c r="A72" s="53"/>
    </row>
    <row r="73" spans="1:7" x14ac:dyDescent="0.3">
      <c r="A73" t="s">
        <v>192</v>
      </c>
      <c r="B73" s="3">
        <f>+Amort!B61</f>
        <v>22897723.729898408</v>
      </c>
      <c r="E73" s="303"/>
      <c r="F73" s="304"/>
    </row>
    <row r="74" spans="1:7" x14ac:dyDescent="0.3">
      <c r="B74" s="3"/>
      <c r="E74" s="216"/>
      <c r="F74" s="217"/>
    </row>
    <row r="75" spans="1:7" x14ac:dyDescent="0.3">
      <c r="A75" t="s">
        <v>444</v>
      </c>
      <c r="B75" s="7"/>
      <c r="E75" s="47"/>
      <c r="F75" s="48"/>
    </row>
    <row r="76" spans="1:7" x14ac:dyDescent="0.3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3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3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3">
      <c r="A79" s="7"/>
      <c r="E79" s="54"/>
    </row>
    <row r="80" spans="1:7" x14ac:dyDescent="0.3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3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3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3">
      <c r="A83" s="7"/>
      <c r="E83" s="54"/>
    </row>
    <row r="84" spans="1:5" x14ac:dyDescent="0.3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36935</v>
      </c>
    </row>
    <row r="85" spans="1:5" x14ac:dyDescent="0.3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104</v>
      </c>
    </row>
    <row r="86" spans="1:5" x14ac:dyDescent="0.3">
      <c r="A86" t="s">
        <v>554</v>
      </c>
      <c r="B86" s="1">
        <f>+'Daily Position'!J20</f>
        <v>36831</v>
      </c>
      <c r="D86" t="s">
        <v>443</v>
      </c>
      <c r="E86" s="54">
        <f>+B85*0.07/360*E85</f>
        <v>-1324.778</v>
      </c>
    </row>
    <row r="87" spans="1:5" x14ac:dyDescent="0.3">
      <c r="A87" s="7"/>
      <c r="E87" s="54"/>
    </row>
    <row r="88" spans="1:5" x14ac:dyDescent="0.3">
      <c r="A88" t="s">
        <v>193</v>
      </c>
      <c r="B88" s="1">
        <v>36844</v>
      </c>
      <c r="D88" t="s">
        <v>1</v>
      </c>
      <c r="E88" s="1">
        <f>IF(Summary!$C$5&gt;Amort!$A$44,Amort!$A$44,Summary!$C$5)</f>
        <v>36935</v>
      </c>
    </row>
    <row r="89" spans="1:5" x14ac:dyDescent="0.3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91</v>
      </c>
    </row>
    <row r="90" spans="1:5" x14ac:dyDescent="0.3">
      <c r="A90" t="s">
        <v>533</v>
      </c>
      <c r="B90" s="1">
        <f>+'Daily Position'!J10</f>
        <v>36839</v>
      </c>
      <c r="D90" t="s">
        <v>443</v>
      </c>
      <c r="E90" s="54">
        <f>+B89*0.07/360*E89</f>
        <v>-5292.7268006191644</v>
      </c>
    </row>
    <row r="91" spans="1:5" x14ac:dyDescent="0.3">
      <c r="B91" s="1"/>
      <c r="E91" s="54"/>
    </row>
    <row r="92" spans="1:5" x14ac:dyDescent="0.3">
      <c r="A92" t="s">
        <v>193</v>
      </c>
      <c r="B92" s="1">
        <v>36873</v>
      </c>
      <c r="D92" t="s">
        <v>1</v>
      </c>
      <c r="E92" s="1">
        <f>IF(Summary!$C$5&gt;Amort!$A$44,Amort!$A$44,Summary!$C$5)</f>
        <v>36935</v>
      </c>
    </row>
    <row r="93" spans="1:5" x14ac:dyDescent="0.3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62</v>
      </c>
    </row>
    <row r="94" spans="1:5" x14ac:dyDescent="0.3">
      <c r="A94" t="s">
        <v>534</v>
      </c>
      <c r="B94" s="1">
        <f>+'Daily Position'!J13</f>
        <v>36868</v>
      </c>
      <c r="D94" t="s">
        <v>443</v>
      </c>
      <c r="E94" s="54">
        <f>+B93*0.07/360*E93</f>
        <v>14056.779231075008</v>
      </c>
    </row>
    <row r="96" spans="1:5" x14ac:dyDescent="0.3">
      <c r="A96" t="s">
        <v>193</v>
      </c>
      <c r="B96" s="1">
        <v>36879</v>
      </c>
      <c r="D96" t="s">
        <v>1</v>
      </c>
      <c r="E96" s="1">
        <f>IF(Summary!$C$5&gt;Amort!$A$44,Amort!$A$44,Summary!$C$5)</f>
        <v>36935</v>
      </c>
    </row>
    <row r="97" spans="1:5" x14ac:dyDescent="0.3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56</v>
      </c>
    </row>
    <row r="98" spans="1:5" x14ac:dyDescent="0.3">
      <c r="A98" t="s">
        <v>535</v>
      </c>
      <c r="B98" s="1">
        <v>36874</v>
      </c>
      <c r="D98" t="s">
        <v>443</v>
      </c>
      <c r="E98" s="54">
        <f>+B97*0.07/360*E97</f>
        <v>-6525.2770800000017</v>
      </c>
    </row>
    <row r="99" spans="1:5" x14ac:dyDescent="0.3">
      <c r="B99" s="3"/>
    </row>
    <row r="100" spans="1:5" x14ac:dyDescent="0.3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36935</v>
      </c>
    </row>
    <row r="101" spans="1:5" x14ac:dyDescent="0.3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42</v>
      </c>
    </row>
    <row r="102" spans="1:5" x14ac:dyDescent="0.3">
      <c r="A102" t="s">
        <v>536</v>
      </c>
      <c r="B102" s="1">
        <v>36888</v>
      </c>
      <c r="D102" t="s">
        <v>443</v>
      </c>
      <c r="E102" s="54">
        <f>+B101*0.07/360*E101</f>
        <v>19740.295085000002</v>
      </c>
    </row>
    <row r="104" spans="1:5" x14ac:dyDescent="0.3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36935</v>
      </c>
    </row>
    <row r="105" spans="1:5" x14ac:dyDescent="0.3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41</v>
      </c>
    </row>
    <row r="106" spans="1:5" x14ac:dyDescent="0.3">
      <c r="A106" t="s">
        <v>537</v>
      </c>
      <c r="B106" s="1">
        <v>36889</v>
      </c>
      <c r="D106" t="s">
        <v>443</v>
      </c>
      <c r="E106" s="54">
        <f>+B105*0.07/360*E105</f>
        <v>7075.3472222222226</v>
      </c>
    </row>
    <row r="108" spans="1:5" x14ac:dyDescent="0.3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36935</v>
      </c>
    </row>
    <row r="109" spans="1:5" x14ac:dyDescent="0.3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28</v>
      </c>
    </row>
    <row r="110" spans="1:5" x14ac:dyDescent="0.3">
      <c r="A110" t="s">
        <v>538</v>
      </c>
      <c r="B110" s="1">
        <v>36902</v>
      </c>
      <c r="D110" t="s">
        <v>443</v>
      </c>
      <c r="E110" s="54">
        <f>+B109*0.07/360*E109</f>
        <v>718.99888666666664</v>
      </c>
    </row>
    <row r="112" spans="1:5" x14ac:dyDescent="0.3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36935</v>
      </c>
    </row>
    <row r="113" spans="1:5" x14ac:dyDescent="0.3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25</v>
      </c>
    </row>
    <row r="114" spans="1:5" x14ac:dyDescent="0.3">
      <c r="A114" t="s">
        <v>539</v>
      </c>
      <c r="B114" s="1">
        <v>36907</v>
      </c>
      <c r="D114" t="s">
        <v>443</v>
      </c>
      <c r="E114" s="54">
        <f>+B113*0.07/360*E113</f>
        <v>34415.990680554984</v>
      </c>
    </row>
    <row r="116" spans="1:5" x14ac:dyDescent="0.3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36935</v>
      </c>
    </row>
    <row r="117" spans="1:5" x14ac:dyDescent="0.3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25</v>
      </c>
    </row>
    <row r="118" spans="1:5" x14ac:dyDescent="0.3">
      <c r="A118" t="s">
        <v>553</v>
      </c>
      <c r="B118" s="1">
        <f>+B116</f>
        <v>36910</v>
      </c>
      <c r="D118" t="s">
        <v>443</v>
      </c>
      <c r="E118" s="54">
        <f>+B117*0.07/360*E117</f>
        <v>306779.97602777783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185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6">
        <f>+Summary!C5</f>
        <v>36935</v>
      </c>
      <c r="B23" s="306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135</v>
      </c>
      <c r="E27" s="117"/>
    </row>
    <row r="28" spans="1:9" s="104" customFormat="1" x14ac:dyDescent="0.3">
      <c r="A28" s="117" t="s">
        <v>30</v>
      </c>
      <c r="B28" s="104">
        <f>F25*B27/(F26-F24)</f>
        <v>1312500</v>
      </c>
    </row>
    <row r="29" spans="1:9" s="104" customFormat="1" x14ac:dyDescent="0.3">
      <c r="A29" s="117" t="s">
        <v>31</v>
      </c>
      <c r="B29" s="104">
        <f>+B25+B28</f>
        <v>2926388.888888889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74197380.177651405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468103198.96355355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468103198.96355355</v>
      </c>
      <c r="D45" s="7">
        <v>0</v>
      </c>
      <c r="E45" s="7">
        <v>0</v>
      </c>
      <c r="F45" s="7">
        <f t="shared" si="12"/>
        <v>16656672.163119784</v>
      </c>
      <c r="G45" s="7">
        <f t="shared" si="13"/>
        <v>484759871.12667334</v>
      </c>
      <c r="H45" s="7">
        <f t="shared" si="11"/>
        <v>43031216.582521915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484759871.12667334</v>
      </c>
      <c r="D46" s="7">
        <v>0</v>
      </c>
      <c r="E46" s="7">
        <v>0</v>
      </c>
      <c r="F46" s="7">
        <f t="shared" si="12"/>
        <v>17155113.217093941</v>
      </c>
      <c r="G46" s="7">
        <f t="shared" si="13"/>
        <v>501914984.34376729</v>
      </c>
      <c r="H46" s="7">
        <f t="shared" si="11"/>
        <v>60186329.79961586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501914984.34376729</v>
      </c>
      <c r="D47" s="7">
        <v>0</v>
      </c>
      <c r="E47" s="7">
        <v>0</v>
      </c>
      <c r="F47" s="7">
        <f t="shared" si="12"/>
        <v>17859808.192899056</v>
      </c>
      <c r="G47" s="7">
        <f t="shared" si="13"/>
        <v>519774792.53666633</v>
      </c>
      <c r="H47" s="7">
        <f t="shared" si="11"/>
        <v>78046137.992514908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519774792.53666633</v>
      </c>
      <c r="D48" s="7">
        <v>0</v>
      </c>
      <c r="E48" s="7">
        <v>0</v>
      </c>
      <c r="F48" s="7">
        <f t="shared" si="12"/>
        <v>18394252.380325358</v>
      </c>
      <c r="G48" s="7">
        <f t="shared" si="13"/>
        <v>538169044.91699171</v>
      </c>
      <c r="H48" s="7">
        <f t="shared" si="11"/>
        <v>96440390.37284027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538169044.91699171</v>
      </c>
      <c r="D49" s="7">
        <v>0</v>
      </c>
      <c r="E49" s="7">
        <v>0</v>
      </c>
      <c r="F49" s="7">
        <f t="shared" si="12"/>
        <v>19149848.514962956</v>
      </c>
      <c r="G49" s="7">
        <f t="shared" si="13"/>
        <v>557318893.43195462</v>
      </c>
      <c r="H49" s="7">
        <f t="shared" si="11"/>
        <v>115590238.88780323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557318893.43195462</v>
      </c>
      <c r="D50" s="7">
        <v>0</v>
      </c>
      <c r="E50" s="7">
        <v>0</v>
      </c>
      <c r="F50" s="7">
        <f t="shared" si="12"/>
        <v>19831263.957953721</v>
      </c>
      <c r="G50" s="7">
        <f t="shared" si="13"/>
        <v>577150157.38990831</v>
      </c>
      <c r="H50" s="7">
        <f t="shared" si="11"/>
        <v>135421502.84575695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577150157.38990831</v>
      </c>
      <c r="D51" s="7">
        <v>0</v>
      </c>
      <c r="E51" s="7">
        <v>0</v>
      </c>
      <c r="F51" s="7">
        <f t="shared" si="12"/>
        <v>20536926.433790907</v>
      </c>
      <c r="G51" s="7">
        <f t="shared" si="13"/>
        <v>597687083.82369924</v>
      </c>
      <c r="H51" s="7">
        <f t="shared" si="11"/>
        <v>155958429.27954787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597687083.82369924</v>
      </c>
      <c r="D52" s="7">
        <v>0</v>
      </c>
      <c r="E52" s="7">
        <v>0</v>
      </c>
      <c r="F52" s="7">
        <f t="shared" si="12"/>
        <v>21151481.799760912</v>
      </c>
      <c r="G52" s="7">
        <f t="shared" si="13"/>
        <v>618838565.62346017</v>
      </c>
      <c r="H52" s="7">
        <f t="shared" si="11"/>
        <v>177109911.07930878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41728654.544151403</v>
      </c>
      <c r="E53" s="12">
        <f>SUM(E43:E52)</f>
        <v>0</v>
      </c>
      <c r="F53" s="12">
        <f>SUM(F43:F52)</f>
        <v>177109911.07930878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6">
        <f>+Summary!C5</f>
        <v>36935</v>
      </c>
      <c r="B55" s="306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135</v>
      </c>
      <c r="C59" s="104"/>
      <c r="D59" s="104"/>
      <c r="E59" s="117"/>
      <c r="F59" s="104"/>
      <c r="G59" s="104"/>
    </row>
    <row r="60" spans="1:9" x14ac:dyDescent="0.3">
      <c r="A60" s="117" t="s">
        <v>187</v>
      </c>
      <c r="B60" s="104">
        <f>F57*B59/(F58-F56)</f>
        <v>9986612.6187872943</v>
      </c>
      <c r="C60" s="104"/>
      <c r="D60" s="104"/>
      <c r="E60" s="104"/>
      <c r="F60" s="104"/>
      <c r="G60" s="104"/>
    </row>
    <row r="61" spans="1:9" x14ac:dyDescent="0.3">
      <c r="A61" s="117" t="s">
        <v>188</v>
      </c>
      <c r="B61" s="104">
        <f>+B57+B60</f>
        <v>22897723.729898408</v>
      </c>
      <c r="C61" s="104"/>
      <c r="D61" s="104"/>
      <c r="E61" s="104"/>
      <c r="F61" s="104"/>
      <c r="G61" s="104"/>
    </row>
    <row r="63" spans="1:9" x14ac:dyDescent="0.3">
      <c r="A63" s="7" t="s">
        <v>445</v>
      </c>
    </row>
    <row r="64" spans="1:9" x14ac:dyDescent="0.3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3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3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3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3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3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3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3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3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3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3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3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3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369644.60525267757</v>
      </c>
    </row>
    <row r="80" spans="1:5" x14ac:dyDescent="0.3">
      <c r="A80" s="1"/>
      <c r="D80" s="1"/>
      <c r="E80" s="7">
        <f>SUM(E70:E79)</f>
        <v>74197380.177651405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3.0976562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3.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1.1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10" t="s">
        <v>241</v>
      </c>
      <c r="S1" s="310"/>
      <c r="T1" s="310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07" t="s">
        <v>243</v>
      </c>
      <c r="AE1" s="308"/>
      <c r="AF1" s="308"/>
      <c r="AG1" s="308"/>
      <c r="AH1" s="308"/>
      <c r="AI1" s="308"/>
      <c r="AJ1" s="308"/>
      <c r="AK1" s="308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9" t="s">
        <v>245</v>
      </c>
      <c r="AU1" s="309"/>
      <c r="AV1" s="309"/>
      <c r="AW1" s="309"/>
      <c r="AX1" s="309"/>
      <c r="AY1" s="309"/>
      <c r="AZ1" s="309"/>
      <c r="BA1" s="309"/>
      <c r="BB1" s="147" t="s">
        <v>236</v>
      </c>
      <c r="BC1" s="147" t="s">
        <v>237</v>
      </c>
      <c r="BD1" s="309" t="s">
        <v>246</v>
      </c>
      <c r="BE1" s="309"/>
      <c r="BF1" s="309"/>
      <c r="BG1" s="309"/>
      <c r="BH1" s="309"/>
      <c r="BI1" s="309"/>
      <c r="BJ1" s="309"/>
      <c r="BK1" s="309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11" t="s">
        <v>253</v>
      </c>
      <c r="CH1" s="311"/>
      <c r="CI1" s="311"/>
      <c r="CJ1" s="311"/>
      <c r="CK1" s="144" t="s">
        <v>254</v>
      </c>
      <c r="CL1" s="144" t="s">
        <v>255</v>
      </c>
    </row>
    <row r="2" spans="1:90" x14ac:dyDescent="0.3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08" t="s">
        <v>264</v>
      </c>
      <c r="AE2" s="308"/>
      <c r="AF2" s="308"/>
      <c r="AG2" s="308"/>
      <c r="AH2" s="312" t="s">
        <v>265</v>
      </c>
      <c r="AI2" s="309"/>
      <c r="AJ2" s="309"/>
      <c r="AK2" s="313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08" t="s">
        <v>271</v>
      </c>
      <c r="AU2" s="308"/>
      <c r="AV2" s="308"/>
      <c r="AW2" s="308"/>
      <c r="AX2" s="308" t="s">
        <v>266</v>
      </c>
      <c r="AY2" s="308"/>
      <c r="AZ2" s="308"/>
      <c r="BA2" s="308"/>
      <c r="BB2" s="152" t="s">
        <v>269</v>
      </c>
      <c r="BC2" s="152" t="s">
        <v>269</v>
      </c>
      <c r="BD2" s="308" t="s">
        <v>271</v>
      </c>
      <c r="BE2" s="308"/>
      <c r="BF2" s="308"/>
      <c r="BG2" s="308"/>
      <c r="BH2" s="308" t="s">
        <v>266</v>
      </c>
      <c r="BI2" s="308"/>
      <c r="BJ2" s="308"/>
      <c r="BK2" s="308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08" t="s">
        <v>279</v>
      </c>
      <c r="CH2" s="308"/>
      <c r="CI2" s="308"/>
      <c r="CJ2" s="308"/>
      <c r="CK2" s="151" t="s">
        <v>280</v>
      </c>
      <c r="CL2" s="151" t="s">
        <v>254</v>
      </c>
    </row>
    <row r="3" spans="1:90" x14ac:dyDescent="0.3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36935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3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3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3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3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20.75</v>
      </c>
      <c r="P7" s="168">
        <v>23.875</v>
      </c>
      <c r="Q7" s="168">
        <v>-3.125</v>
      </c>
      <c r="R7" s="169">
        <v>0</v>
      </c>
      <c r="S7" s="279">
        <v>1</v>
      </c>
      <c r="T7" s="169">
        <v>0</v>
      </c>
      <c r="U7" s="245">
        <v>22667839.5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26081670.75</v>
      </c>
      <c r="AD7" s="166">
        <v>-3413831.25</v>
      </c>
      <c r="AE7" s="166">
        <v>0</v>
      </c>
      <c r="AF7" s="166">
        <v>3413831.25</v>
      </c>
      <c r="AG7" s="166">
        <v>0</v>
      </c>
      <c r="AH7" s="246">
        <v>-4227336.7666666657</v>
      </c>
      <c r="AI7" s="166">
        <v>0</v>
      </c>
      <c r="AJ7" s="166">
        <v>4227336.7666666657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22667839.5</v>
      </c>
      <c r="AS7" s="166">
        <v>20.75</v>
      </c>
      <c r="AT7" s="166">
        <v>-16113283.5</v>
      </c>
      <c r="AU7" s="166">
        <v>0</v>
      </c>
      <c r="AV7" s="166">
        <v>16113283.5</v>
      </c>
      <c r="AW7" s="166">
        <v>0</v>
      </c>
      <c r="AX7" s="166">
        <v>-4227336.7666666657</v>
      </c>
      <c r="AY7" s="166">
        <v>0</v>
      </c>
      <c r="AZ7" s="166">
        <v>4227336.7666666657</v>
      </c>
      <c r="BA7" s="166">
        <v>0</v>
      </c>
      <c r="BB7" s="166">
        <v>20.75</v>
      </c>
      <c r="BC7" s="166">
        <v>23.875</v>
      </c>
      <c r="BD7" s="166">
        <v>-12699452.25</v>
      </c>
      <c r="BE7" s="166">
        <v>0</v>
      </c>
      <c r="BF7" s="166">
        <v>12699452.25</v>
      </c>
      <c r="BG7" s="166">
        <v>0</v>
      </c>
      <c r="BH7" s="166">
        <v>-813505.51666666567</v>
      </c>
      <c r="BI7" s="166">
        <v>0</v>
      </c>
      <c r="BJ7" s="166">
        <v>813505.51666666567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813505.51666666567</v>
      </c>
      <c r="BQ7" s="168">
        <v>3</v>
      </c>
      <c r="BR7" s="167">
        <v>3277278</v>
      </c>
      <c r="BS7" s="173">
        <v>58</v>
      </c>
      <c r="BT7" s="167">
        <v>-3413831.25</v>
      </c>
      <c r="BU7" s="231">
        <v>0</v>
      </c>
      <c r="BV7" s="167">
        <v>45</v>
      </c>
      <c r="BW7" s="174">
        <v>20.75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-813505.51666666567</v>
      </c>
      <c r="CH7" s="166">
        <v>0</v>
      </c>
      <c r="CI7" s="166">
        <v>813505.51666666567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3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22667839.5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26081670.75</v>
      </c>
      <c r="AD8" s="180">
        <v>-3413831.25</v>
      </c>
      <c r="AE8" s="180">
        <v>0</v>
      </c>
      <c r="AF8" s="180">
        <v>3413831.25</v>
      </c>
      <c r="AG8" s="180">
        <v>0</v>
      </c>
      <c r="AH8" s="249">
        <v>-4227336.7666666657</v>
      </c>
      <c r="AI8" s="180">
        <v>0</v>
      </c>
      <c r="AJ8" s="180">
        <v>4227336.7666666657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-16113283.5</v>
      </c>
      <c r="AU8" s="180">
        <v>0</v>
      </c>
      <c r="AV8" s="180">
        <v>16113283.5</v>
      </c>
      <c r="AW8" s="180">
        <v>0</v>
      </c>
      <c r="AX8" s="180">
        <v>-4227336.7666666657</v>
      </c>
      <c r="AY8" s="180">
        <v>0</v>
      </c>
      <c r="AZ8" s="180">
        <v>4227336.7666666657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3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22667839.5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26081670.75</v>
      </c>
      <c r="AD9" s="191">
        <v>-3413831.25</v>
      </c>
      <c r="AE9" s="191">
        <v>0</v>
      </c>
      <c r="AF9" s="191">
        <v>3413831.25</v>
      </c>
      <c r="AG9" s="191">
        <v>0</v>
      </c>
      <c r="AH9" s="252">
        <v>-4227336.7666666657</v>
      </c>
      <c r="AI9" s="191">
        <v>0</v>
      </c>
      <c r="AJ9" s="191">
        <v>4227336.7666666657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-16113283.5</v>
      </c>
      <c r="AU9" s="191">
        <v>0</v>
      </c>
      <c r="AV9" s="191">
        <v>16113283.5</v>
      </c>
      <c r="AW9" s="191">
        <v>0</v>
      </c>
      <c r="AX9" s="191">
        <v>-4227336.7666666657</v>
      </c>
      <c r="AY9" s="191">
        <v>0</v>
      </c>
      <c r="AZ9" s="191">
        <v>4227336.7666666657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3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3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3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3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3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3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3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3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3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3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3.0896264747236255E-2</v>
      </c>
      <c r="M19" s="167">
        <v>0</v>
      </c>
      <c r="N19" s="167">
        <v>0.44178457150678696</v>
      </c>
      <c r="O19" s="166">
        <v>2.9378089784254771</v>
      </c>
      <c r="P19" s="167">
        <v>2.6458290838380072</v>
      </c>
      <c r="Q19" s="167">
        <v>0.29197989458746987</v>
      </c>
      <c r="R19" s="169">
        <v>0</v>
      </c>
      <c r="S19" s="279">
        <v>0</v>
      </c>
      <c r="T19" s="169">
        <v>0</v>
      </c>
      <c r="U19" s="245">
        <v>137947.75839094669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124237.55046069747</v>
      </c>
      <c r="AD19" s="166">
        <v>13710.20793024922</v>
      </c>
      <c r="AE19" s="166">
        <v>0</v>
      </c>
      <c r="AF19" s="166">
        <v>-13710.20793024922</v>
      </c>
      <c r="AG19" s="166">
        <v>0</v>
      </c>
      <c r="AH19" s="246">
        <v>10465.310818194092</v>
      </c>
      <c r="AI19" s="166">
        <v>0</v>
      </c>
      <c r="AJ19" s="166">
        <v>-10465.310818194092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26929.825451184624</v>
      </c>
      <c r="AP19" s="166">
        <v>84870.386027040266</v>
      </c>
      <c r="AQ19" s="171">
        <v>1</v>
      </c>
      <c r="AR19" s="166">
        <v>385068.5995551743</v>
      </c>
      <c r="AS19" s="166">
        <v>18.5625</v>
      </c>
      <c r="AT19" s="166">
        <v>34016.115598672026</v>
      </c>
      <c r="AU19" s="166">
        <v>0</v>
      </c>
      <c r="AV19" s="166">
        <v>-34016.115598672026</v>
      </c>
      <c r="AW19" s="166">
        <v>0</v>
      </c>
      <c r="AX19" s="166">
        <v>10465.310818194092</v>
      </c>
      <c r="AY19" s="166">
        <v>0</v>
      </c>
      <c r="AZ19" s="166">
        <v>-10465.310818194092</v>
      </c>
      <c r="BA19" s="166">
        <v>0</v>
      </c>
      <c r="BB19" s="166">
        <v>18.5625</v>
      </c>
      <c r="BC19" s="166">
        <v>18.3125</v>
      </c>
      <c r="BD19" s="166">
        <v>20305.907668422806</v>
      </c>
      <c r="BE19" s="166">
        <v>0</v>
      </c>
      <c r="BF19" s="166">
        <v>-20305.907668422806</v>
      </c>
      <c r="BG19" s="166">
        <v>0</v>
      </c>
      <c r="BH19" s="166">
        <v>-3244.8971120551287</v>
      </c>
      <c r="BI19" s="166">
        <v>0</v>
      </c>
      <c r="BJ19" s="166">
        <v>3244.8971120551287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3244.8971120551287</v>
      </c>
      <c r="BQ19" s="167">
        <v>0</v>
      </c>
      <c r="BR19" s="167">
        <v>0</v>
      </c>
      <c r="BS19" s="173">
        <v>42</v>
      </c>
      <c r="BT19" s="167">
        <v>0</v>
      </c>
      <c r="BU19" s="231">
        <v>20744.436339672688</v>
      </c>
      <c r="BV19" s="167">
        <v>193</v>
      </c>
      <c r="BW19" s="174">
        <v>18.5625</v>
      </c>
      <c r="BX19" s="174">
        <v>18.5625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-3244.8971120551287</v>
      </c>
      <c r="CH19" s="166">
        <v>0</v>
      </c>
      <c r="CI19" s="166">
        <v>3244.8971120551287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3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137947.75839094669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124237.55046069747</v>
      </c>
      <c r="AD20" s="180">
        <v>13710.20793024922</v>
      </c>
      <c r="AE20" s="180">
        <v>0</v>
      </c>
      <c r="AF20" s="180">
        <v>-13710.20793024922</v>
      </c>
      <c r="AG20" s="180">
        <v>0</v>
      </c>
      <c r="AH20" s="249">
        <v>10465.310818194092</v>
      </c>
      <c r="AI20" s="180">
        <v>0</v>
      </c>
      <c r="AJ20" s="180">
        <v>-10465.310818194092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34016.115598672026</v>
      </c>
      <c r="AU20" s="180">
        <v>0</v>
      </c>
      <c r="AV20" s="180">
        <v>-34016.115598672026</v>
      </c>
      <c r="AW20" s="180">
        <v>0</v>
      </c>
      <c r="AX20" s="180">
        <v>10465.310818194092</v>
      </c>
      <c r="AY20" s="180">
        <v>0</v>
      </c>
      <c r="AZ20" s="180">
        <v>-10465.310818194092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3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137947.75839094669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124237.55046069747</v>
      </c>
      <c r="AD21" s="191">
        <v>13710.20793024922</v>
      </c>
      <c r="AE21" s="191">
        <v>0</v>
      </c>
      <c r="AF21" s="191">
        <v>-13710.20793024922</v>
      </c>
      <c r="AG21" s="191">
        <v>0</v>
      </c>
      <c r="AH21" s="252">
        <v>10465.310818194092</v>
      </c>
      <c r="AI21" s="191">
        <v>0</v>
      </c>
      <c r="AJ21" s="191">
        <v>-10465.310818194092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34016.115598672026</v>
      </c>
      <c r="AU21" s="191">
        <v>0</v>
      </c>
      <c r="AV21" s="191">
        <v>-34016.115598672026</v>
      </c>
      <c r="AW21" s="191">
        <v>0</v>
      </c>
      <c r="AX21" s="191">
        <v>10465.310818194092</v>
      </c>
      <c r="AY21" s="191">
        <v>0</v>
      </c>
      <c r="AZ21" s="191">
        <v>-10465.310818194092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3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3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3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3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3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3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3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3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21.0625</v>
      </c>
      <c r="P29" s="168">
        <v>19.4375</v>
      </c>
      <c r="Q29" s="168">
        <v>1.625</v>
      </c>
      <c r="R29" s="169" t="s">
        <v>365</v>
      </c>
      <c r="S29" s="279">
        <v>1</v>
      </c>
      <c r="T29" s="169">
        <v>0</v>
      </c>
      <c r="U29" s="245">
        <v>21507066.1875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19847767.3125</v>
      </c>
      <c r="AD29" s="166">
        <v>1659298.875</v>
      </c>
      <c r="AE29" s="166">
        <v>0</v>
      </c>
      <c r="AF29" s="166">
        <v>-1659298.875</v>
      </c>
      <c r="AG29" s="166">
        <v>0</v>
      </c>
      <c r="AH29" s="246">
        <v>-43818.764999999898</v>
      </c>
      <c r="AI29" s="166">
        <v>0</v>
      </c>
      <c r="AJ29" s="166">
        <v>43818.764999999898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21507066.1875</v>
      </c>
      <c r="AS29" s="166">
        <v>21.0625</v>
      </c>
      <c r="AT29" s="166">
        <v>-2744225.0625</v>
      </c>
      <c r="AU29" s="166">
        <v>0</v>
      </c>
      <c r="AV29" s="166">
        <v>2744225.0625</v>
      </c>
      <c r="AW29" s="166">
        <v>0</v>
      </c>
      <c r="AX29" s="166">
        <v>-43818.764999999898</v>
      </c>
      <c r="AY29" s="166">
        <v>0</v>
      </c>
      <c r="AZ29" s="166">
        <v>43818.764999999898</v>
      </c>
      <c r="BA29" s="166">
        <v>0</v>
      </c>
      <c r="BB29" s="166">
        <v>21.0625</v>
      </c>
      <c r="BC29" s="166">
        <v>19.4375</v>
      </c>
      <c r="BD29" s="166">
        <v>-4403523.9375</v>
      </c>
      <c r="BE29" s="166">
        <v>0</v>
      </c>
      <c r="BF29" s="166">
        <v>4403523.9375</v>
      </c>
      <c r="BG29" s="166">
        <v>0</v>
      </c>
      <c r="BH29" s="166">
        <v>-1703117.64</v>
      </c>
      <c r="BI29" s="166">
        <v>0</v>
      </c>
      <c r="BJ29" s="166">
        <v>1703117.64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1703117.64</v>
      </c>
      <c r="BQ29" s="168">
        <v>0</v>
      </c>
      <c r="BR29" s="167">
        <v>0</v>
      </c>
      <c r="BS29" s="173">
        <v>71</v>
      </c>
      <c r="BT29" s="167">
        <v>1659298.875</v>
      </c>
      <c r="BU29" s="231">
        <v>0</v>
      </c>
      <c r="BV29" s="167">
        <v>24</v>
      </c>
      <c r="BW29" s="174">
        <v>21.0625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-1703117.64</v>
      </c>
      <c r="CH29" s="166">
        <v>0</v>
      </c>
      <c r="CI29" s="166">
        <v>1703117.64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3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21507066.1875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19847767.3125</v>
      </c>
      <c r="AD30" s="180">
        <v>1659298.875</v>
      </c>
      <c r="AE30" s="180">
        <v>0</v>
      </c>
      <c r="AF30" s="180">
        <v>-1659298.875</v>
      </c>
      <c r="AG30" s="180">
        <v>0</v>
      </c>
      <c r="AH30" s="249">
        <v>-43818.764999999898</v>
      </c>
      <c r="AI30" s="180">
        <v>0</v>
      </c>
      <c r="AJ30" s="180">
        <v>43818.764999999898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-2744225.0625</v>
      </c>
      <c r="AU30" s="180">
        <v>0</v>
      </c>
      <c r="AV30" s="180">
        <v>2744225.0625</v>
      </c>
      <c r="AW30" s="180">
        <v>0</v>
      </c>
      <c r="AX30" s="180">
        <v>-43818.764999999898</v>
      </c>
      <c r="AY30" s="180">
        <v>0</v>
      </c>
      <c r="AZ30" s="180">
        <v>43818.764999999898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3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21507066.1875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19847767.3125</v>
      </c>
      <c r="AD31" s="191">
        <v>1659298.875</v>
      </c>
      <c r="AE31" s="191">
        <v>0</v>
      </c>
      <c r="AF31" s="191">
        <v>-1659298.875</v>
      </c>
      <c r="AG31" s="191">
        <v>0</v>
      </c>
      <c r="AH31" s="252">
        <v>-43818.764999999898</v>
      </c>
      <c r="AI31" s="191">
        <v>0</v>
      </c>
      <c r="AJ31" s="191">
        <v>43818.764999999898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-2744225.0625</v>
      </c>
      <c r="AU31" s="191">
        <v>0</v>
      </c>
      <c r="AV31" s="191">
        <v>2744225.0625</v>
      </c>
      <c r="AW31" s="191">
        <v>0</v>
      </c>
      <c r="AX31" s="191">
        <v>-43818.764999999898</v>
      </c>
      <c r="AY31" s="191">
        <v>0</v>
      </c>
      <c r="AZ31" s="191">
        <v>43818.764999999898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3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3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3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8.375</v>
      </c>
      <c r="Q34" s="168">
        <v>-0.1875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51096.119550000039</v>
      </c>
      <c r="AD34" s="166">
        <v>-1143.9429750000054</v>
      </c>
      <c r="AE34" s="166">
        <v>0</v>
      </c>
      <c r="AF34" s="166">
        <v>1143.9429750000054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2287.8859499999962</v>
      </c>
      <c r="AU34" s="166">
        <v>0</v>
      </c>
      <c r="AV34" s="166">
        <v>-2287.8859499999962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8.375</v>
      </c>
      <c r="BD34" s="166">
        <v>3431.8289250000016</v>
      </c>
      <c r="BE34" s="166">
        <v>0</v>
      </c>
      <c r="BF34" s="166">
        <v>-3431.8289250000016</v>
      </c>
      <c r="BG34" s="166">
        <v>0</v>
      </c>
      <c r="BH34" s="166">
        <v>3050.5146000000022</v>
      </c>
      <c r="BI34" s="166">
        <v>0</v>
      </c>
      <c r="BJ34" s="166">
        <v>-3050.5146000000022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-3050.5146000000022</v>
      </c>
      <c r="BQ34" s="167">
        <v>0</v>
      </c>
      <c r="BR34" s="167">
        <v>0</v>
      </c>
      <c r="BS34" s="173">
        <v>41</v>
      </c>
      <c r="BT34" s="167">
        <v>-1143.9429750000054</v>
      </c>
      <c r="BU34" s="231">
        <v>6101.0292000000045</v>
      </c>
      <c r="BV34" s="167">
        <v>190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3050.5146000000022</v>
      </c>
      <c r="CH34" s="166">
        <v>0</v>
      </c>
      <c r="CI34" s="166">
        <v>-3050.5146000000022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3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51096.119550000039</v>
      </c>
      <c r="AD35" s="180">
        <v>-1143.9429750000054</v>
      </c>
      <c r="AE35" s="180">
        <v>0</v>
      </c>
      <c r="AF35" s="180">
        <v>1143.9429750000054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2287.8859499999962</v>
      </c>
      <c r="AU35" s="180">
        <v>0</v>
      </c>
      <c r="AV35" s="180">
        <v>-2287.8859499999962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3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3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3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38.9</v>
      </c>
      <c r="P38" s="168">
        <v>38.46</v>
      </c>
      <c r="Q38" s="168">
        <v>0.43999999999999773</v>
      </c>
      <c r="R38" s="169">
        <v>0</v>
      </c>
      <c r="S38" s="279">
        <v>1</v>
      </c>
      <c r="T38" s="169">
        <v>0</v>
      </c>
      <c r="U38" s="245">
        <v>77614524.800000012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76736622.720000014</v>
      </c>
      <c r="AD38" s="166">
        <v>877902.07999999821</v>
      </c>
      <c r="AE38" s="166">
        <v>0</v>
      </c>
      <c r="AF38" s="166">
        <v>-877902.07999999821</v>
      </c>
      <c r="AG38" s="166">
        <v>0</v>
      </c>
      <c r="AH38" s="246">
        <v>-11921511.200000003</v>
      </c>
      <c r="AI38" s="166">
        <v>0</v>
      </c>
      <c r="AJ38" s="166">
        <v>11921511.200000003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77614524.800000012</v>
      </c>
      <c r="AS38" s="166">
        <v>38.9</v>
      </c>
      <c r="AT38" s="166">
        <v>1057472.96</v>
      </c>
      <c r="AU38" s="166">
        <v>0</v>
      </c>
      <c r="AV38" s="166">
        <v>-1057472.96</v>
      </c>
      <c r="AW38" s="166">
        <v>0</v>
      </c>
      <c r="AX38" s="166">
        <v>-11921511.200000003</v>
      </c>
      <c r="AY38" s="166">
        <v>0</v>
      </c>
      <c r="AZ38" s="166">
        <v>11921511.200000003</v>
      </c>
      <c r="BA38" s="166">
        <v>0</v>
      </c>
      <c r="BB38" s="166">
        <v>38.9</v>
      </c>
      <c r="BC38" s="166">
        <v>38.46</v>
      </c>
      <c r="BD38" s="166">
        <v>179570.88000000664</v>
      </c>
      <c r="BE38" s="166">
        <v>0</v>
      </c>
      <c r="BF38" s="166">
        <v>-179570.88000000664</v>
      </c>
      <c r="BG38" s="166">
        <v>0</v>
      </c>
      <c r="BH38" s="166">
        <v>-12799413.280000001</v>
      </c>
      <c r="BI38" s="166">
        <v>0</v>
      </c>
      <c r="BJ38" s="166">
        <v>12799413.280000001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12799413.280000001</v>
      </c>
      <c r="BQ38" s="167">
        <v>0</v>
      </c>
      <c r="BR38" s="167">
        <v>0</v>
      </c>
      <c r="BS38" s="173">
        <v>83</v>
      </c>
      <c r="BT38" s="167">
        <v>877902.07999999821</v>
      </c>
      <c r="BU38" s="231">
        <v>1995232</v>
      </c>
      <c r="BV38" s="167">
        <v>188</v>
      </c>
      <c r="BW38" s="174">
        <v>38.9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-12799413.280000001</v>
      </c>
      <c r="CH38" s="166">
        <v>0</v>
      </c>
      <c r="CI38" s="166">
        <v>12799413.280000001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3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77614524.800000012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76736622.720000014</v>
      </c>
      <c r="AD39" s="180">
        <v>877902.07999999821</v>
      </c>
      <c r="AE39" s="180">
        <v>0</v>
      </c>
      <c r="AF39" s="180">
        <v>-877902.07999999821</v>
      </c>
      <c r="AG39" s="180">
        <v>0</v>
      </c>
      <c r="AH39" s="249">
        <v>-11921511.200000003</v>
      </c>
      <c r="AI39" s="180">
        <v>0</v>
      </c>
      <c r="AJ39" s="180">
        <v>11921511.200000003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1057472.96</v>
      </c>
      <c r="AU39" s="180">
        <v>0</v>
      </c>
      <c r="AV39" s="180">
        <v>-1057472.96</v>
      </c>
      <c r="AW39" s="180">
        <v>0</v>
      </c>
      <c r="AX39" s="180">
        <v>-11921511.200000003</v>
      </c>
      <c r="AY39" s="180">
        <v>0</v>
      </c>
      <c r="AZ39" s="180">
        <v>11921511.200000003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3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80512906.643655017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79636148.506630018</v>
      </c>
      <c r="AD40" s="191">
        <v>876758.1370249982</v>
      </c>
      <c r="AE40" s="191">
        <v>0</v>
      </c>
      <c r="AF40" s="191">
        <v>-876758.1370249982</v>
      </c>
      <c r="AG40" s="191">
        <v>0</v>
      </c>
      <c r="AH40" s="252">
        <v>-12203020.628375003</v>
      </c>
      <c r="AI40" s="191">
        <v>0</v>
      </c>
      <c r="AJ40" s="191">
        <v>12203020.628375003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1059760.8459500049</v>
      </c>
      <c r="AU40" s="191">
        <v>0</v>
      </c>
      <c r="AV40" s="191">
        <v>-1059760.8459500049</v>
      </c>
      <c r="AW40" s="191">
        <v>0</v>
      </c>
      <c r="AX40" s="191">
        <v>-12203020.628375003</v>
      </c>
      <c r="AY40" s="191">
        <v>0</v>
      </c>
      <c r="AZ40" s="191">
        <v>12203020.628375003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3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3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3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3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3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3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8.375</v>
      </c>
      <c r="Q46" s="168">
        <v>-0.1875</v>
      </c>
      <c r="R46" s="169" t="s">
        <v>388</v>
      </c>
      <c r="S46" s="279">
        <v>0.6</v>
      </c>
      <c r="T46" s="169">
        <v>0</v>
      </c>
      <c r="U46" s="245">
        <v>82977.037500000049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84877.275000000052</v>
      </c>
      <c r="AD46" s="166">
        <v>-1900.2375000000029</v>
      </c>
      <c r="AE46" s="166">
        <v>0</v>
      </c>
      <c r="AF46" s="166">
        <v>1900.2375000000029</v>
      </c>
      <c r="AG46" s="166">
        <v>0</v>
      </c>
      <c r="AH46" s="246">
        <v>3167.0625000002356</v>
      </c>
      <c r="AI46" s="166">
        <v>0</v>
      </c>
      <c r="AJ46" s="166">
        <v>-3167.0625000002356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3800.4750000000931</v>
      </c>
      <c r="AU46" s="166">
        <v>0</v>
      </c>
      <c r="AV46" s="166">
        <v>-3800.4750000000931</v>
      </c>
      <c r="AW46" s="166">
        <v>0</v>
      </c>
      <c r="AX46" s="166">
        <v>3167.0625000002356</v>
      </c>
      <c r="AY46" s="166">
        <v>0</v>
      </c>
      <c r="AZ46" s="166">
        <v>-3167.0625000002356</v>
      </c>
      <c r="BA46" s="166">
        <v>0</v>
      </c>
      <c r="BB46" s="166">
        <v>8.1875</v>
      </c>
      <c r="BC46" s="166">
        <v>8.375</v>
      </c>
      <c r="BD46" s="166">
        <v>5700.712500000096</v>
      </c>
      <c r="BE46" s="166">
        <v>0</v>
      </c>
      <c r="BF46" s="166">
        <v>-5700.712500000096</v>
      </c>
      <c r="BG46" s="166">
        <v>0</v>
      </c>
      <c r="BH46" s="166">
        <v>5067.3000000002385</v>
      </c>
      <c r="BI46" s="166">
        <v>0</v>
      </c>
      <c r="BJ46" s="166">
        <v>-5067.3000000002385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-5067.3000000002385</v>
      </c>
      <c r="BQ46" s="168">
        <v>1.1200000000000001</v>
      </c>
      <c r="BR46" s="167">
        <v>11350.752000000008</v>
      </c>
      <c r="BS46" s="173">
        <v>71</v>
      </c>
      <c r="BT46" s="167">
        <v>-1900.2375000000029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5067.3000000002385</v>
      </c>
      <c r="CH46" s="166">
        <v>0</v>
      </c>
      <c r="CI46" s="166">
        <v>-5067.3000000002385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3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84877.275000000052</v>
      </c>
      <c r="AD47" s="180">
        <v>-1900.2375000000029</v>
      </c>
      <c r="AE47" s="180">
        <v>0</v>
      </c>
      <c r="AF47" s="180">
        <v>1900.2375000000029</v>
      </c>
      <c r="AG47" s="180">
        <v>0</v>
      </c>
      <c r="AH47" s="249">
        <v>3167.0625000002356</v>
      </c>
      <c r="AI47" s="180">
        <v>0</v>
      </c>
      <c r="AJ47" s="180">
        <v>-3167.0625000002356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3800.4750000000931</v>
      </c>
      <c r="AU47" s="180">
        <v>0</v>
      </c>
      <c r="AV47" s="180">
        <v>-3800.4750000000931</v>
      </c>
      <c r="AW47" s="180">
        <v>0</v>
      </c>
      <c r="AX47" s="180">
        <v>3167.0625000002356</v>
      </c>
      <c r="AY47" s="180">
        <v>0</v>
      </c>
      <c r="AZ47" s="180">
        <v>-3167.0625000002356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3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3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3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3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3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3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3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3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3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3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1.6385876381021205E-2</v>
      </c>
      <c r="M57" s="167">
        <v>0</v>
      </c>
      <c r="N57" s="167">
        <v>0.94576971028179335</v>
      </c>
      <c r="O57" s="166">
        <v>5.4735185020466339</v>
      </c>
      <c r="P57" s="167">
        <v>5.5439673718800018</v>
      </c>
      <c r="Q57" s="167">
        <v>-7.0448869833367844E-2</v>
      </c>
      <c r="R57" s="169" t="s">
        <v>401</v>
      </c>
      <c r="S57" s="279">
        <v>1</v>
      </c>
      <c r="T57" s="169">
        <v>0</v>
      </c>
      <c r="U57" s="245">
        <v>855237.2659447866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866244.90185625025</v>
      </c>
      <c r="AD57" s="166">
        <v>-11007.635911463643</v>
      </c>
      <c r="AE57" s="166">
        <v>0</v>
      </c>
      <c r="AF57" s="166">
        <v>11007.635911463643</v>
      </c>
      <c r="AG57" s="166">
        <v>0</v>
      </c>
      <c r="AH57" s="246">
        <v>-89452.141437076265</v>
      </c>
      <c r="AI57" s="166">
        <v>0</v>
      </c>
      <c r="AJ57" s="166">
        <v>89452.141437076265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21922.510392577198</v>
      </c>
      <c r="AP57" s="166">
        <v>1711868.3881841477</v>
      </c>
      <c r="AQ57" s="171">
        <v>1</v>
      </c>
      <c r="AR57" s="166">
        <v>1265336.4287949775</v>
      </c>
      <c r="AS57" s="166">
        <v>8.5625</v>
      </c>
      <c r="AT57" s="166">
        <v>-111247.49642672704</v>
      </c>
      <c r="AU57" s="166">
        <v>0</v>
      </c>
      <c r="AV57" s="166">
        <v>111247.49642672704</v>
      </c>
      <c r="AW57" s="166">
        <v>0</v>
      </c>
      <c r="AX57" s="166">
        <v>-89452.141437076265</v>
      </c>
      <c r="AY57" s="166">
        <v>0</v>
      </c>
      <c r="AZ57" s="166">
        <v>89452.141437076265</v>
      </c>
      <c r="BA57" s="166">
        <v>0</v>
      </c>
      <c r="BB57" s="166">
        <v>8.5625</v>
      </c>
      <c r="BC57" s="166">
        <v>8.640625</v>
      </c>
      <c r="BD57" s="166">
        <v>-100239.8605152634</v>
      </c>
      <c r="BE57" s="166">
        <v>0</v>
      </c>
      <c r="BF57" s="166">
        <v>100239.8605152634</v>
      </c>
      <c r="BG57" s="166">
        <v>0</v>
      </c>
      <c r="BH57" s="166">
        <v>-78444.505525612622</v>
      </c>
      <c r="BI57" s="166">
        <v>0</v>
      </c>
      <c r="BJ57" s="166">
        <v>78444.505525612622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78444.505525612622</v>
      </c>
      <c r="BQ57" s="167">
        <v>0</v>
      </c>
      <c r="BR57" s="167">
        <v>0</v>
      </c>
      <c r="BS57" s="173">
        <v>75</v>
      </c>
      <c r="BT57" s="167">
        <v>0</v>
      </c>
      <c r="BU57" s="231">
        <v>147776.51723153022</v>
      </c>
      <c r="BV57" s="167">
        <v>85</v>
      </c>
      <c r="BW57" s="174">
        <v>8.5625</v>
      </c>
      <c r="BX57" s="174">
        <v>8.5625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-78444.505525612622</v>
      </c>
      <c r="CH57" s="166">
        <v>0</v>
      </c>
      <c r="CI57" s="166">
        <v>78444.505525612622</v>
      </c>
      <c r="CJ57" s="166">
        <v>0</v>
      </c>
      <c r="CK57" s="167">
        <v>0</v>
      </c>
      <c r="CL57" s="167">
        <v>0</v>
      </c>
    </row>
    <row r="58" spans="1:90" outlineLevel="3" x14ac:dyDescent="0.3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3.0925836607776352E-2</v>
      </c>
      <c r="M58" s="167">
        <v>0.5</v>
      </c>
      <c r="N58" s="167">
        <v>0.44103956083816581</v>
      </c>
      <c r="O58" s="166">
        <v>2.9378089784254766</v>
      </c>
      <c r="P58" s="167">
        <v>2.6458290838380072</v>
      </c>
      <c r="Q58" s="167">
        <v>0.29197989458746942</v>
      </c>
      <c r="R58" s="169" t="s">
        <v>402</v>
      </c>
      <c r="S58" s="279">
        <v>0</v>
      </c>
      <c r="T58" s="169">
        <v>0</v>
      </c>
      <c r="U58" s="245">
        <v>229149.10031718717</v>
      </c>
      <c r="V58" s="166" t="s">
        <v>319</v>
      </c>
      <c r="W58" s="166">
        <v>319285.07707427966</v>
      </c>
      <c r="X58" s="166">
        <v>0</v>
      </c>
      <c r="Y58" s="166">
        <v>319285.07707427966</v>
      </c>
      <c r="Z58" s="166">
        <v>0</v>
      </c>
      <c r="AA58" s="166">
        <v>0</v>
      </c>
      <c r="AB58" s="166">
        <v>0</v>
      </c>
      <c r="AC58" s="245">
        <v>206374.66853936456</v>
      </c>
      <c r="AD58" s="166">
        <v>22774.43177782261</v>
      </c>
      <c r="AE58" s="166">
        <v>0</v>
      </c>
      <c r="AF58" s="166">
        <v>-22774.43177782261</v>
      </c>
      <c r="AG58" s="166">
        <v>0</v>
      </c>
      <c r="AH58" s="246">
        <v>17384.237239525071</v>
      </c>
      <c r="AI58" s="166">
        <v>0</v>
      </c>
      <c r="AJ58" s="166">
        <v>-17384.237239525071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44776.745678484185</v>
      </c>
      <c r="AP58" s="166">
        <v>140980.7076861134</v>
      </c>
      <c r="AQ58" s="171">
        <v>1</v>
      </c>
      <c r="AR58" s="166">
        <v>638570.15414855932</v>
      </c>
      <c r="AS58" s="166">
        <v>18.5625</v>
      </c>
      <c r="AT58" s="166">
        <v>56505.175413076417</v>
      </c>
      <c r="AU58" s="166">
        <v>0</v>
      </c>
      <c r="AV58" s="166">
        <v>-56505.175413076417</v>
      </c>
      <c r="AW58" s="166">
        <v>0</v>
      </c>
      <c r="AX58" s="166">
        <v>17384.237239525071</v>
      </c>
      <c r="AY58" s="166">
        <v>0</v>
      </c>
      <c r="AZ58" s="166">
        <v>-17384.237239525071</v>
      </c>
      <c r="BA58" s="166">
        <v>0</v>
      </c>
      <c r="BB58" s="166">
        <v>18.5625</v>
      </c>
      <c r="BC58" s="166">
        <v>18.3125</v>
      </c>
      <c r="BD58" s="166">
        <v>33730.743635253806</v>
      </c>
      <c r="BE58" s="166">
        <v>0</v>
      </c>
      <c r="BF58" s="166">
        <v>-33730.743635253806</v>
      </c>
      <c r="BG58" s="166">
        <v>0</v>
      </c>
      <c r="BH58" s="166">
        <v>-5390.1945382975391</v>
      </c>
      <c r="BI58" s="166">
        <v>0</v>
      </c>
      <c r="BJ58" s="166">
        <v>5390.1945382975391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5390.1945382975391</v>
      </c>
      <c r="BQ58" s="167">
        <v>0</v>
      </c>
      <c r="BR58" s="167">
        <v>0</v>
      </c>
      <c r="BS58" s="173">
        <v>75</v>
      </c>
      <c r="BT58" s="167">
        <v>0</v>
      </c>
      <c r="BU58" s="231">
        <v>34401.085745376935</v>
      </c>
      <c r="BV58" s="167">
        <v>88</v>
      </c>
      <c r="BW58" s="174">
        <v>18.5625</v>
      </c>
      <c r="BX58" s="174">
        <v>18.5625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-5390.1945382975391</v>
      </c>
      <c r="CH58" s="166">
        <v>0</v>
      </c>
      <c r="CI58" s="166">
        <v>5390.1945382975391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3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1084386.3662619737</v>
      </c>
      <c r="V59" s="180"/>
      <c r="W59" s="180">
        <v>319285.07707427966</v>
      </c>
      <c r="X59" s="180">
        <v>0</v>
      </c>
      <c r="Y59" s="180">
        <v>319285.07707427966</v>
      </c>
      <c r="Z59" s="180">
        <v>0</v>
      </c>
      <c r="AA59" s="180">
        <v>0</v>
      </c>
      <c r="AB59" s="180">
        <v>0</v>
      </c>
      <c r="AC59" s="248">
        <v>1072619.5703956147</v>
      </c>
      <c r="AD59" s="180">
        <v>11766.795866358967</v>
      </c>
      <c r="AE59" s="180">
        <v>0</v>
      </c>
      <c r="AF59" s="180">
        <v>-11766.795866358967</v>
      </c>
      <c r="AG59" s="180">
        <v>0</v>
      </c>
      <c r="AH59" s="249">
        <v>-72067.904197551194</v>
      </c>
      <c r="AI59" s="180">
        <v>0</v>
      </c>
      <c r="AJ59" s="180">
        <v>72067.904197551194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-54742.321013650624</v>
      </c>
      <c r="AU59" s="180">
        <v>0</v>
      </c>
      <c r="AV59" s="180">
        <v>54742.321013650624</v>
      </c>
      <c r="AW59" s="180">
        <v>0</v>
      </c>
      <c r="AX59" s="180">
        <v>-72067.904197551194</v>
      </c>
      <c r="AY59" s="180">
        <v>0</v>
      </c>
      <c r="AZ59" s="180">
        <v>72067.904197551194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3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9537116.9037619736</v>
      </c>
      <c r="V60" s="191"/>
      <c r="W60" s="191">
        <v>319285.07707427966</v>
      </c>
      <c r="X60" s="191">
        <v>0</v>
      </c>
      <c r="Y60" s="191">
        <v>319285.07707427966</v>
      </c>
      <c r="Z60" s="191">
        <v>0</v>
      </c>
      <c r="AA60" s="191">
        <v>0</v>
      </c>
      <c r="AB60" s="191">
        <v>0</v>
      </c>
      <c r="AC60" s="251">
        <v>9527250.3453956153</v>
      </c>
      <c r="AD60" s="191">
        <v>9866.5583663589641</v>
      </c>
      <c r="AE60" s="191">
        <v>0</v>
      </c>
      <c r="AF60" s="191">
        <v>-9866.5583663589641</v>
      </c>
      <c r="AG60" s="191">
        <v>0</v>
      </c>
      <c r="AH60" s="252">
        <v>-38676672.841697551</v>
      </c>
      <c r="AI60" s="191">
        <v>0</v>
      </c>
      <c r="AJ60" s="191">
        <v>38676672.841697551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-50941.846013650531</v>
      </c>
      <c r="AU60" s="191">
        <v>0</v>
      </c>
      <c r="AV60" s="191">
        <v>50941.846013650531</v>
      </c>
      <c r="AW60" s="191">
        <v>0</v>
      </c>
      <c r="AX60" s="191">
        <v>-38676672.841697551</v>
      </c>
      <c r="AY60" s="191">
        <v>0</v>
      </c>
      <c r="AZ60" s="191">
        <v>38676672.841697551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3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3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3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3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3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3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3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3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5.8125</v>
      </c>
      <c r="P68" s="168">
        <v>5.625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348116.4375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336886.875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78606.9375</v>
      </c>
      <c r="AI68" s="166">
        <v>0</v>
      </c>
      <c r="AJ68" s="166">
        <v>-78606.9375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348116.4375</v>
      </c>
      <c r="AS68" s="166">
        <v>5.8125</v>
      </c>
      <c r="AT68" s="166">
        <v>48661.4375</v>
      </c>
      <c r="AU68" s="166">
        <v>0</v>
      </c>
      <c r="AV68" s="166">
        <v>-48661.4375</v>
      </c>
      <c r="AW68" s="166">
        <v>0</v>
      </c>
      <c r="AX68" s="166">
        <v>78606.9375</v>
      </c>
      <c r="AY68" s="166">
        <v>0</v>
      </c>
      <c r="AZ68" s="166">
        <v>-78606.9375</v>
      </c>
      <c r="BA68" s="166">
        <v>0</v>
      </c>
      <c r="BB68" s="166">
        <v>5.8125</v>
      </c>
      <c r="BC68" s="166">
        <v>5.625</v>
      </c>
      <c r="BD68" s="166">
        <v>37431.875</v>
      </c>
      <c r="BE68" s="166">
        <v>0</v>
      </c>
      <c r="BF68" s="166">
        <v>-37431.875</v>
      </c>
      <c r="BG68" s="166">
        <v>0</v>
      </c>
      <c r="BH68" s="166">
        <v>67377.375</v>
      </c>
      <c r="BI68" s="166">
        <v>0</v>
      </c>
      <c r="BJ68" s="166">
        <v>-67377.375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-67377.375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5.8125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67377.375</v>
      </c>
      <c r="CH68" s="166">
        <v>0</v>
      </c>
      <c r="CI68" s="166">
        <v>-67377.375</v>
      </c>
      <c r="CJ68" s="166">
        <v>0</v>
      </c>
      <c r="CK68" s="167">
        <v>0</v>
      </c>
      <c r="CL68" s="167">
        <v>0</v>
      </c>
    </row>
    <row r="69" spans="1:90" outlineLevel="3" x14ac:dyDescent="0.3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15</v>
      </c>
      <c r="P69" s="168">
        <v>14.875</v>
      </c>
      <c r="Q69" s="168">
        <v>0.125</v>
      </c>
      <c r="R69" s="169">
        <v>0</v>
      </c>
      <c r="S69" s="279">
        <v>1</v>
      </c>
      <c r="T69" s="169">
        <v>0</v>
      </c>
      <c r="U69" s="245">
        <v>20089290</v>
      </c>
      <c r="V69" s="166" t="s">
        <v>319</v>
      </c>
      <c r="W69" s="166">
        <v>602678.69999999995</v>
      </c>
      <c r="X69" s="166">
        <v>0</v>
      </c>
      <c r="Y69" s="166">
        <v>602678.69999999995</v>
      </c>
      <c r="Z69" s="166">
        <v>0</v>
      </c>
      <c r="AA69" s="166">
        <v>0</v>
      </c>
      <c r="AB69" s="166">
        <v>0</v>
      </c>
      <c r="AC69" s="245">
        <v>19921879.25</v>
      </c>
      <c r="AD69" s="166">
        <v>167410.75</v>
      </c>
      <c r="AE69" s="166">
        <v>0</v>
      </c>
      <c r="AF69" s="166">
        <v>-167410.75</v>
      </c>
      <c r="AG69" s="166">
        <v>0</v>
      </c>
      <c r="AH69" s="246">
        <v>-3013393.5</v>
      </c>
      <c r="AI69" s="166">
        <v>0</v>
      </c>
      <c r="AJ69" s="166">
        <v>3013393.5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20089290</v>
      </c>
      <c r="AS69" s="166">
        <v>15</v>
      </c>
      <c r="AT69" s="166">
        <v>-2176339.75</v>
      </c>
      <c r="AU69" s="166">
        <v>0</v>
      </c>
      <c r="AV69" s="166">
        <v>2176339.75</v>
      </c>
      <c r="AW69" s="166">
        <v>0</v>
      </c>
      <c r="AX69" s="166">
        <v>-3013393.5</v>
      </c>
      <c r="AY69" s="166">
        <v>0</v>
      </c>
      <c r="AZ69" s="166">
        <v>3013393.5</v>
      </c>
      <c r="BA69" s="166">
        <v>0</v>
      </c>
      <c r="BB69" s="166">
        <v>15</v>
      </c>
      <c r="BC69" s="166">
        <v>14.875</v>
      </c>
      <c r="BD69" s="166">
        <v>-2343750.5</v>
      </c>
      <c r="BE69" s="166">
        <v>0</v>
      </c>
      <c r="BF69" s="166">
        <v>2343750.5</v>
      </c>
      <c r="BG69" s="166">
        <v>0</v>
      </c>
      <c r="BH69" s="166">
        <v>-3180804.25</v>
      </c>
      <c r="BI69" s="166">
        <v>0</v>
      </c>
      <c r="BJ69" s="166">
        <v>3180804.25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3180804.25</v>
      </c>
      <c r="BQ69" s="168">
        <v>0</v>
      </c>
      <c r="BR69" s="167">
        <v>0</v>
      </c>
      <c r="BS69" s="173">
        <v>71</v>
      </c>
      <c r="BT69" s="167">
        <v>167410.75</v>
      </c>
      <c r="BU69" s="231">
        <v>1339286</v>
      </c>
      <c r="BV69" s="167">
        <v>22</v>
      </c>
      <c r="BW69" s="174">
        <v>15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-3180804.25</v>
      </c>
      <c r="CH69" s="166">
        <v>0</v>
      </c>
      <c r="CI69" s="166">
        <v>3180804.25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3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20437406.4375</v>
      </c>
      <c r="V70" s="180"/>
      <c r="W70" s="180">
        <v>602678.69999999995</v>
      </c>
      <c r="X70" s="180">
        <v>0</v>
      </c>
      <c r="Y70" s="180">
        <v>602678.69999999995</v>
      </c>
      <c r="Z70" s="180">
        <v>0</v>
      </c>
      <c r="AA70" s="180">
        <v>0</v>
      </c>
      <c r="AB70" s="180">
        <v>0</v>
      </c>
      <c r="AC70" s="248">
        <v>20258766.125</v>
      </c>
      <c r="AD70" s="180">
        <v>178640.3125</v>
      </c>
      <c r="AE70" s="180">
        <v>0</v>
      </c>
      <c r="AF70" s="180">
        <v>-178640.3125</v>
      </c>
      <c r="AG70" s="180">
        <v>0</v>
      </c>
      <c r="AH70" s="249">
        <v>-2934786.5625</v>
      </c>
      <c r="AI70" s="180">
        <v>0</v>
      </c>
      <c r="AJ70" s="180">
        <v>2934786.5625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-2127678.3125</v>
      </c>
      <c r="AU70" s="180">
        <v>0</v>
      </c>
      <c r="AV70" s="180">
        <v>2127678.3125</v>
      </c>
      <c r="AW70" s="180">
        <v>0</v>
      </c>
      <c r="AX70" s="180">
        <v>-2934786.5625</v>
      </c>
      <c r="AY70" s="180">
        <v>0</v>
      </c>
      <c r="AZ70" s="180">
        <v>2934786.5625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3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3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3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3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3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3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38.9</v>
      </c>
      <c r="P76" s="168">
        <v>38.46</v>
      </c>
      <c r="Q76" s="168">
        <v>0.43999999999999773</v>
      </c>
      <c r="R76" s="169" t="s">
        <v>520</v>
      </c>
      <c r="S76" s="279">
        <v>1</v>
      </c>
      <c r="T76" s="169">
        <v>0</v>
      </c>
      <c r="U76" s="245">
        <v>128927826</v>
      </c>
      <c r="V76" s="166" t="s">
        <v>542</v>
      </c>
      <c r="W76" s="166">
        <v>79935252.120000005</v>
      </c>
      <c r="X76" s="166">
        <v>0</v>
      </c>
      <c r="Y76" s="166">
        <v>79935252.120000005</v>
      </c>
      <c r="Z76" s="166">
        <v>0</v>
      </c>
      <c r="AA76" s="166">
        <v>0</v>
      </c>
      <c r="AB76" s="166">
        <v>0</v>
      </c>
      <c r="AC76" s="245">
        <v>127469516.40000001</v>
      </c>
      <c r="AD76" s="166">
        <v>1458309.599999994</v>
      </c>
      <c r="AE76" s="166">
        <v>0</v>
      </c>
      <c r="AF76" s="166">
        <v>-1458309.599999994</v>
      </c>
      <c r="AG76" s="166">
        <v>0</v>
      </c>
      <c r="AH76" s="246">
        <v>-19803181.5</v>
      </c>
      <c r="AI76" s="166">
        <v>0</v>
      </c>
      <c r="AJ76" s="166">
        <v>19803181.5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128927826</v>
      </c>
      <c r="AS76" s="166">
        <v>38.9</v>
      </c>
      <c r="AT76" s="166">
        <v>1756600.2</v>
      </c>
      <c r="AU76" s="166">
        <v>0</v>
      </c>
      <c r="AV76" s="166">
        <v>-1756600.2</v>
      </c>
      <c r="AW76" s="166">
        <v>0</v>
      </c>
      <c r="AX76" s="166">
        <v>-19803181.5</v>
      </c>
      <c r="AY76" s="166">
        <v>0</v>
      </c>
      <c r="AZ76" s="166">
        <v>19803181.5</v>
      </c>
      <c r="BA76" s="166">
        <v>0</v>
      </c>
      <c r="BB76" s="166">
        <v>38.9</v>
      </c>
      <c r="BC76" s="166">
        <v>38.46</v>
      </c>
      <c r="BD76" s="166">
        <v>298290.60000000591</v>
      </c>
      <c r="BE76" s="166">
        <v>0</v>
      </c>
      <c r="BF76" s="166">
        <v>-298290.60000000591</v>
      </c>
      <c r="BG76" s="166">
        <v>0</v>
      </c>
      <c r="BH76" s="166">
        <v>-21261491.099999994</v>
      </c>
      <c r="BI76" s="166">
        <v>0</v>
      </c>
      <c r="BJ76" s="166">
        <v>21261491.099999994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21261491.099999994</v>
      </c>
      <c r="BQ76" s="168">
        <v>11.95</v>
      </c>
      <c r="BR76" s="167">
        <v>39606363</v>
      </c>
      <c r="BS76" s="173">
        <v>82</v>
      </c>
      <c r="BT76" s="167">
        <v>1458309.599999994</v>
      </c>
      <c r="BU76" s="231">
        <v>3314340</v>
      </c>
      <c r="BV76" s="167">
        <v>8</v>
      </c>
      <c r="BW76" s="174">
        <v>38.9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-21261491.099999994</v>
      </c>
      <c r="CH76" s="166">
        <v>0</v>
      </c>
      <c r="CI76" s="166">
        <v>21261491.099999994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3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128927826</v>
      </c>
      <c r="V77" s="180"/>
      <c r="W77" s="180">
        <v>79935252.120000005</v>
      </c>
      <c r="X77" s="180">
        <v>0</v>
      </c>
      <c r="Y77" s="180">
        <v>79935252.120000005</v>
      </c>
      <c r="Z77" s="180">
        <v>0</v>
      </c>
      <c r="AA77" s="180">
        <v>0</v>
      </c>
      <c r="AB77" s="180">
        <v>0</v>
      </c>
      <c r="AC77" s="248">
        <v>127469516.40000001</v>
      </c>
      <c r="AD77" s="180">
        <v>1458309.599999994</v>
      </c>
      <c r="AE77" s="180">
        <v>0</v>
      </c>
      <c r="AF77" s="180">
        <v>-1458309.599999994</v>
      </c>
      <c r="AG77" s="180">
        <v>0</v>
      </c>
      <c r="AH77" s="249">
        <v>-19803181.5</v>
      </c>
      <c r="AI77" s="180">
        <v>0</v>
      </c>
      <c r="AJ77" s="180">
        <v>19803181.5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1756600.2</v>
      </c>
      <c r="AU77" s="180">
        <v>0</v>
      </c>
      <c r="AV77" s="180">
        <v>-1756600.2</v>
      </c>
      <c r="AW77" s="180">
        <v>0</v>
      </c>
      <c r="AX77" s="180">
        <v>-19803181.5</v>
      </c>
      <c r="AY77" s="180">
        <v>0</v>
      </c>
      <c r="AZ77" s="180">
        <v>19803181.5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3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261750633.59748387</v>
      </c>
      <c r="V78" s="191"/>
      <c r="W78" s="191">
        <v>80537930.820000008</v>
      </c>
      <c r="X78" s="191">
        <v>0</v>
      </c>
      <c r="Y78" s="191">
        <v>80537930.820000008</v>
      </c>
      <c r="Z78" s="191">
        <v>0</v>
      </c>
      <c r="AA78" s="191">
        <v>0</v>
      </c>
      <c r="AB78" s="191">
        <v>0</v>
      </c>
      <c r="AC78" s="251">
        <v>260113683.68498391</v>
      </c>
      <c r="AD78" s="191">
        <v>1636949.912499994</v>
      </c>
      <c r="AE78" s="191">
        <v>0</v>
      </c>
      <c r="AF78" s="191">
        <v>-1636949.912499994</v>
      </c>
      <c r="AG78" s="191">
        <v>0</v>
      </c>
      <c r="AH78" s="252">
        <v>-22737968.0625</v>
      </c>
      <c r="AI78" s="191">
        <v>0</v>
      </c>
      <c r="AJ78" s="191">
        <v>22737968.0625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-371078.11250000005</v>
      </c>
      <c r="AU78" s="191">
        <v>0</v>
      </c>
      <c r="AV78" s="191">
        <v>371078.11250000005</v>
      </c>
      <c r="AW78" s="191">
        <v>0</v>
      </c>
      <c r="AX78" s="191">
        <v>-22737968.0625</v>
      </c>
      <c r="AY78" s="191">
        <v>0</v>
      </c>
      <c r="AZ78" s="191">
        <v>22737968.0625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3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475744605.49726975</v>
      </c>
      <c r="V79" s="180"/>
      <c r="W79" s="180">
        <v>80857215.897074282</v>
      </c>
      <c r="X79" s="180">
        <v>0</v>
      </c>
      <c r="Y79" s="180">
        <v>80857215.897074282</v>
      </c>
      <c r="Z79" s="180">
        <v>0</v>
      </c>
      <c r="AA79" s="180">
        <v>0</v>
      </c>
      <c r="AB79" s="180">
        <v>0</v>
      </c>
      <c r="AC79" s="248">
        <v>474961853.05644822</v>
      </c>
      <c r="AD79" s="180">
        <v>782752.44082160038</v>
      </c>
      <c r="AE79" s="180">
        <v>0</v>
      </c>
      <c r="AF79" s="180">
        <v>-782752.44082160038</v>
      </c>
      <c r="AG79" s="180">
        <v>0</v>
      </c>
      <c r="AH79" s="249">
        <v>-140987375.39342105</v>
      </c>
      <c r="AI79" s="180">
        <v>0</v>
      </c>
      <c r="AJ79" s="180">
        <v>140987375.39342105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-18185751.559464976</v>
      </c>
      <c r="AU79" s="180">
        <v>0</v>
      </c>
      <c r="AV79" s="180">
        <v>18185751.559464976</v>
      </c>
      <c r="AW79" s="180">
        <v>0</v>
      </c>
      <c r="AX79" s="180">
        <v>-140987375.39342105</v>
      </c>
      <c r="AY79" s="180">
        <v>0</v>
      </c>
      <c r="AZ79" s="180">
        <v>140987375.39342105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5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475744605.49726975</v>
      </c>
      <c r="V80" s="207"/>
      <c r="W80" s="207">
        <v>80857215.897074282</v>
      </c>
      <c r="X80" s="207">
        <v>0</v>
      </c>
      <c r="Y80" s="207">
        <v>80857215.897074282</v>
      </c>
      <c r="Z80" s="207">
        <v>0</v>
      </c>
      <c r="AA80" s="207">
        <v>0</v>
      </c>
      <c r="AB80" s="207">
        <v>0</v>
      </c>
      <c r="AC80" s="254">
        <v>474961853.05644822</v>
      </c>
      <c r="AD80" s="207">
        <v>782752.44082160038</v>
      </c>
      <c r="AE80" s="207">
        <v>0</v>
      </c>
      <c r="AF80" s="207">
        <v>-782752.44082160038</v>
      </c>
      <c r="AG80" s="207">
        <v>0</v>
      </c>
      <c r="AH80" s="255">
        <v>-140987375.39342105</v>
      </c>
      <c r="AI80" s="207">
        <v>0</v>
      </c>
      <c r="AJ80" s="207">
        <v>140987375.39342105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-18185751.559464976</v>
      </c>
      <c r="AU80" s="207">
        <v>0</v>
      </c>
      <c r="AV80" s="207">
        <v>18185751.559464976</v>
      </c>
      <c r="AW80" s="207">
        <v>0</v>
      </c>
      <c r="AX80" s="207">
        <v>-140987375.39342105</v>
      </c>
      <c r="AY80" s="207">
        <v>0</v>
      </c>
      <c r="AZ80" s="207">
        <v>140987375.39342105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2001-02-07T17:55:48Z</cp:lastPrinted>
  <dcterms:created xsi:type="dcterms:W3CDTF">2000-08-10T21:11:42Z</dcterms:created>
  <dcterms:modified xsi:type="dcterms:W3CDTF">2023-09-10T15:15:31Z</dcterms:modified>
</cp:coreProperties>
</file>