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 activeTab="1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50 NP" sheetId="4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<sst xmlns="http://schemas.openxmlformats.org/spreadsheetml/2006/main" count="373" uniqueCount="159">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</sst>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36934</v>
      </c>
      <c r="D5" s="82" t="s">
        <v>148</v>
      </c>
      <c r="E5" s="83">
        <f>+C5-1</f>
        <v>36933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-231149859</v>
      </c>
      <c r="D12" s="59">
        <v>0</v>
      </c>
      <c r="E12" s="59">
        <f>+C12-D12</f>
        <v>-231149859</v>
      </c>
      <c r="F12" s="70"/>
    </row>
    <row r="13" spans="1:6" x14ac:dyDescent="0.25">
      <c r="A13" s="68"/>
      <c r="B13" s="69" t="s">
        <v>155</v>
      </c>
      <c r="C13" s="86">
        <f>+C15-C12</f>
        <v>5404680</v>
      </c>
      <c r="D13" s="86">
        <f>+D15-D12</f>
        <v>0</v>
      </c>
      <c r="E13" s="86">
        <f>+E15-E12</f>
        <v>5404680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-225745179</v>
      </c>
      <c r="D15" s="87">
        <v>0</v>
      </c>
      <c r="E15" s="87">
        <f>+C15-D15</f>
        <v>-225745179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-38695592.790444463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36934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291986.13888888893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143</v>
      </c>
      <c r="K3" s="17">
        <f>K1+K2</f>
        <v>10792986.138888888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291986.13888888893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143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1489583.3333333333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143</v>
      </c>
      <c r="J3" s="17">
        <f>J1+J2</f>
        <v>51489583.333333336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1489583.3333333333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tabSelected="1" workbookViewId="0">
      <selection activeCell="B8" sqref="B8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36934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8.1999999999999993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36934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197765959.99999997</v>
      </c>
      <c r="D14" t="s">
        <v>6</v>
      </c>
      <c r="E14" s="27">
        <f>'50 NP'!J3</f>
        <v>51489583.333333336</v>
      </c>
    </row>
    <row r="15" spans="1:6" x14ac:dyDescent="0.25">
      <c r="A15" s="2" t="s">
        <v>8</v>
      </c>
      <c r="B15" s="27">
        <f>'50 NR'!K3</f>
        <v>10792986.138888888</v>
      </c>
      <c r="D15" t="s">
        <v>69</v>
      </c>
      <c r="E15" s="27">
        <f>'Hawaii Summary'!C18</f>
        <v>225745179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19776.595999999998</v>
      </c>
    </row>
    <row r="17" spans="1:6" x14ac:dyDescent="0.25">
      <c r="D17" t="s">
        <v>10</v>
      </c>
      <c r="E17" s="27">
        <f>IF(E21&gt;30000000,30000000,IF(E21&lt;0,0,+E21))</f>
        <v>0</v>
      </c>
    </row>
    <row r="18" spans="1:6" x14ac:dyDescent="0.25">
      <c r="D18" t="s">
        <v>11</v>
      </c>
      <c r="E18" s="27">
        <f>B19-SUM(E13:E17)</f>
        <v>-38695592.790444463</v>
      </c>
    </row>
    <row r="19" spans="1:6" ht="13.8" thickBot="1" x14ac:dyDescent="0.3">
      <c r="B19" s="13">
        <f>SUM(B13:B18)</f>
        <v>238558946.13888887</v>
      </c>
      <c r="E19" s="35">
        <f>SUM(E13:E18)</f>
        <v>238558946.13888887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E21" s="12">
        <f>+B19-E13-E14-E15-E16</f>
        <v>-38695592.790444478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-308707840</v>
      </c>
    </row>
    <row r="27" spans="1:6" x14ac:dyDescent="0.25">
      <c r="A27" t="s">
        <v>71</v>
      </c>
      <c r="C27" s="27">
        <f>IF(B16&lt;&gt;0,B16,-E15)</f>
        <v>-225745179</v>
      </c>
    </row>
    <row r="28" spans="1:6" x14ac:dyDescent="0.25">
      <c r="A28" t="s">
        <v>56</v>
      </c>
      <c r="C28" s="36">
        <f>'50 NR'!K4-'258 NP'!J4-'50 NP'!J4</f>
        <v>-1197597.1944444443</v>
      </c>
    </row>
    <row r="29" spans="1:6" x14ac:dyDescent="0.25">
      <c r="A29" t="s">
        <v>59</v>
      </c>
      <c r="C29" s="27">
        <f>C25+C26+C27+C28</f>
        <v>-38675816.194444448</v>
      </c>
    </row>
    <row r="30" spans="1:6" x14ac:dyDescent="0.25">
      <c r="A30" t="s">
        <v>57</v>
      </c>
      <c r="C30" s="27">
        <f>E18</f>
        <v>-38695592.790444463</v>
      </c>
    </row>
    <row r="31" spans="1:6" x14ac:dyDescent="0.25">
      <c r="A31" t="s">
        <v>61</v>
      </c>
      <c r="C31" s="27">
        <f>E17</f>
        <v>0</v>
      </c>
    </row>
    <row r="32" spans="1:6" x14ac:dyDescent="0.25">
      <c r="A32" t="s">
        <v>58</v>
      </c>
      <c r="C32" s="36">
        <f>E16</f>
        <v>19776.595999999998</v>
      </c>
    </row>
    <row r="33" spans="1:4" x14ac:dyDescent="0.25">
      <c r="A33" t="s">
        <v>62</v>
      </c>
      <c r="C33" s="27">
        <f>C29-C30-C31-C32</f>
        <v>1.573789631947875E-8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238558946.13888887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51489583.333333336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19776.595999999998</v>
      </c>
    </row>
    <row r="41" spans="1:4" x14ac:dyDescent="0.25">
      <c r="A41" t="s">
        <v>140</v>
      </c>
      <c r="C41" s="36">
        <f>E15-B16</f>
        <v>225745179</v>
      </c>
    </row>
    <row r="42" spans="1:4" ht="13.8" thickBot="1" x14ac:dyDescent="0.3">
      <c r="C42" s="35">
        <f>C36-SUM(C38:C41)</f>
        <v>-38695592.790444463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238558946.13888887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19776.595999999998</v>
      </c>
    </row>
    <row r="48" spans="1:4" x14ac:dyDescent="0.25">
      <c r="A48" t="s">
        <v>16</v>
      </c>
      <c r="C48" s="5">
        <f>C45+C46-C47</f>
        <v>239539169.54288888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7234082.9201952443</v>
      </c>
    </row>
    <row r="51" spans="1:3" x14ac:dyDescent="0.25">
      <c r="A51" t="s">
        <v>19</v>
      </c>
      <c r="C51" s="14">
        <f>+C47</f>
        <v>19776.595999999998</v>
      </c>
    </row>
    <row r="52" spans="1:3" x14ac:dyDescent="0.25">
      <c r="A52" t="s">
        <v>20</v>
      </c>
      <c r="C52" s="12">
        <f>C51-C50</f>
        <v>-7214306.3241952443</v>
      </c>
    </row>
    <row r="53" spans="1:3" x14ac:dyDescent="0.25">
      <c r="A53" s="9" t="s">
        <v>21</v>
      </c>
      <c r="B53" s="10"/>
      <c r="C53" s="11">
        <f>C52/C49</f>
        <v>-238884315.37070346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-617060715.37070346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36934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18071092.383333333</v>
      </c>
      <c r="H5" s="28">
        <v>1976250</v>
      </c>
      <c r="I5" s="45">
        <v>0.15</v>
      </c>
      <c r="J5" s="27">
        <f>B2-B5</f>
        <v>318</v>
      </c>
      <c r="K5">
        <f>'A Amort'!N5</f>
        <v>1986131.25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87238023.342257783</v>
      </c>
      <c r="H6" s="28">
        <v>3954146</v>
      </c>
      <c r="I6" s="45">
        <v>0.15</v>
      </c>
      <c r="J6" s="27">
        <f>B2-B6</f>
        <v>136</v>
      </c>
      <c r="K6" s="41">
        <f>'B_D Amort'!N5</f>
        <v>3977211.8516666666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29207077.741916668</v>
      </c>
      <c r="H7" s="28">
        <v>900355</v>
      </c>
      <c r="I7" s="45">
        <v>0.15</v>
      </c>
      <c r="J7" s="27">
        <f>B2-B7</f>
        <v>168</v>
      </c>
      <c r="K7" s="41">
        <f>'C Amort'!N5</f>
        <v>905982.21875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134516193.46750778</v>
      </c>
      <c r="H8" s="35">
        <f>SUM(H5:H7)</f>
        <v>6830751</v>
      </c>
      <c r="K8" s="35">
        <f>SUM(K5:K7)</f>
        <v>6869325.3204166666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8.1999999999999993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86609920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104310814</v>
      </c>
    </row>
    <row r="17" spans="1:3" x14ac:dyDescent="0.25">
      <c r="A17" t="s">
        <v>80</v>
      </c>
      <c r="B17" s="28">
        <f>'C TRS'!B19</f>
        <v>0</v>
      </c>
      <c r="C17" s="28">
        <f>'C TRS'!B20</f>
        <v>34824445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225745179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36934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12</v>
      </c>
      <c r="F2"/>
      <c r="G2" s="41" t="s">
        <v>99</v>
      </c>
      <c r="H2" s="25">
        <f>VLOOKUP(H1,A_Debt,1)</f>
        <v>36922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47342.383333333339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9881.25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18071092.383333333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1986131.25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18071092.383333333</v>
      </c>
      <c r="E4" s="28">
        <f>'Hawaii Summary'!H5</f>
        <v>1976250</v>
      </c>
      <c r="F4" s="45">
        <f>'Hawaii Summary'!I5</f>
        <v>0.15</v>
      </c>
      <c r="G4" s="28">
        <f>'Hawaii Summary'!J5</f>
        <v>318</v>
      </c>
      <c r="H4" s="28">
        <f>'Hawaii Summary'!K5</f>
        <v>1986131.25</v>
      </c>
      <c r="I4" s="41"/>
    </row>
    <row r="6" spans="1:9" x14ac:dyDescent="0.25">
      <c r="A6" t="s">
        <v>75</v>
      </c>
      <c r="B6" s="48">
        <f>'Hawaii Summary'!B11</f>
        <v>8.1999999999999993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55484479.999999993</v>
      </c>
      <c r="C10" s="28">
        <f>B4*B7*'Notional Analysis'!C8</f>
        <v>142094400</v>
      </c>
      <c r="E10" t="s">
        <v>122</v>
      </c>
      <c r="G10" s="20">
        <f>B4*B6*'Notional Analysis'!C8</f>
        <v>55484479.999999993</v>
      </c>
    </row>
    <row r="11" spans="1:9" x14ac:dyDescent="0.25">
      <c r="A11" t="s">
        <v>108</v>
      </c>
      <c r="B11" s="20">
        <f>D4+H4</f>
        <v>20057223.633333333</v>
      </c>
      <c r="C11" s="28">
        <f>B11</f>
        <v>20057223.633333333</v>
      </c>
      <c r="E11" t="s">
        <v>123</v>
      </c>
      <c r="G11" s="54">
        <f>D4+H4</f>
        <v>20057223.633333333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35427256.36666666</v>
      </c>
    </row>
    <row r="13" spans="1:9" x14ac:dyDescent="0.25">
      <c r="C13" s="28"/>
      <c r="E13" t="s">
        <v>75</v>
      </c>
      <c r="F13" s="20">
        <f>B4*B6*'Notional Analysis'!C8</f>
        <v>55484479.999999993</v>
      </c>
    </row>
    <row r="14" spans="1:9" x14ac:dyDescent="0.25">
      <c r="A14" t="s">
        <v>109</v>
      </c>
      <c r="B14" s="20">
        <f>D4</f>
        <v>18071092.383333333</v>
      </c>
      <c r="C14" s="28">
        <f>B14</f>
        <v>18071092.383333333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53508229.999999993</v>
      </c>
      <c r="C15" s="59">
        <f>C10-E4+C12</f>
        <v>140118150</v>
      </c>
      <c r="F15" s="20"/>
      <c r="G15" s="20">
        <f>-F14+F13</f>
        <v>-86609920</v>
      </c>
    </row>
    <row r="16" spans="1:9" ht="13.8" thickBot="1" x14ac:dyDescent="0.3">
      <c r="A16" t="s">
        <v>117</v>
      </c>
      <c r="B16" s="20">
        <f>B15-B14</f>
        <v>35437137.61666666</v>
      </c>
      <c r="C16" s="60">
        <f>C15-C14</f>
        <v>122047057.61666667</v>
      </c>
      <c r="D16" s="61" t="s">
        <v>115</v>
      </c>
      <c r="F16" s="20"/>
      <c r="G16" s="17">
        <f>G12-G15</f>
        <v>122037176.36666666</v>
      </c>
      <c r="H16" s="20">
        <f>C16-G16</f>
        <v>9881.2500000149012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86609920</v>
      </c>
      <c r="C20" s="28"/>
    </row>
    <row r="21" spans="1:3" x14ac:dyDescent="0.25">
      <c r="A21" t="s">
        <v>116</v>
      </c>
      <c r="B21" s="20">
        <f>B16-B19+B20</f>
        <v>122047057.61666666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36934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14</v>
      </c>
      <c r="F2"/>
      <c r="G2" s="41" t="s">
        <v>99</v>
      </c>
      <c r="H2" s="25">
        <f>VLOOKUP(H1,BD_Debt,1)</f>
        <v>36920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266519.34225777787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23065.851666666669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87238023.342257783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3977211.8516666666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87238023.342257783</v>
      </c>
      <c r="E4" s="28">
        <f>'Hawaii Summary'!H6</f>
        <v>3954146</v>
      </c>
      <c r="F4" s="45">
        <f>'Hawaii Summary'!I6</f>
        <v>0.15</v>
      </c>
      <c r="G4" s="27">
        <f>'Hawaii Summary'!J6</f>
        <v>136</v>
      </c>
      <c r="H4" s="41">
        <f>'Hawaii Summary'!K6</f>
        <v>3977211.8516666666</v>
      </c>
      <c r="I4" s="41"/>
    </row>
    <row r="6" spans="1:9" x14ac:dyDescent="0.25">
      <c r="A6" t="s">
        <v>75</v>
      </c>
      <c r="B6" s="48">
        <f>'Hawaii Summary'!B11</f>
        <v>8.1999999999999993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69357240</v>
      </c>
      <c r="C10" s="28">
        <f>B4*B7*'Notional Analysis'!C8</f>
        <v>177622200</v>
      </c>
      <c r="E10" t="s">
        <v>122</v>
      </c>
      <c r="G10" s="20">
        <f>B4*B6*'Notional Analysis'!C8</f>
        <v>69357239.999999985</v>
      </c>
    </row>
    <row r="11" spans="1:9" x14ac:dyDescent="0.25">
      <c r="A11" t="s">
        <v>108</v>
      </c>
      <c r="B11" s="20">
        <f>D4+H4</f>
        <v>91215235.193924457</v>
      </c>
      <c r="C11" s="28">
        <f>B11</f>
        <v>91215235.193924457</v>
      </c>
      <c r="E11" t="s">
        <v>123</v>
      </c>
      <c r="G11" s="54">
        <f>D4+H4</f>
        <v>91215235.193924457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-21857995.193924472</v>
      </c>
    </row>
    <row r="13" spans="1:9" x14ac:dyDescent="0.25">
      <c r="C13" s="28"/>
      <c r="E13" t="s">
        <v>75</v>
      </c>
      <c r="F13" s="20">
        <f>B4*B6*'Notional Analysis'!C8</f>
        <v>69357239.999999985</v>
      </c>
    </row>
    <row r="14" spans="1:9" x14ac:dyDescent="0.25">
      <c r="A14" t="s">
        <v>109</v>
      </c>
      <c r="B14" s="20">
        <f>D4</f>
        <v>87238023.342257783</v>
      </c>
      <c r="C14" s="28">
        <f>B14</f>
        <v>87238023.342257783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69357240</v>
      </c>
      <c r="C15" s="59">
        <f>C10-E4+C12</f>
        <v>173668054</v>
      </c>
      <c r="F15" s="20"/>
      <c r="G15" s="20">
        <f>-F14+F13</f>
        <v>-108264960.00000001</v>
      </c>
    </row>
    <row r="16" spans="1:9" ht="13.8" thickBot="1" x14ac:dyDescent="0.3">
      <c r="A16" t="s">
        <v>117</v>
      </c>
      <c r="B16" s="20">
        <f>B15-B14</f>
        <v>-17880783.342257783</v>
      </c>
      <c r="C16" s="60">
        <f>C15-C14</f>
        <v>86430030.657742217</v>
      </c>
      <c r="D16" s="61" t="s">
        <v>115</v>
      </c>
      <c r="F16" s="20"/>
      <c r="G16" s="17">
        <f>G12-G15</f>
        <v>86406964.806075543</v>
      </c>
      <c r="H16" s="20">
        <f>C16-G16</f>
        <v>23065.851666674018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104310814</v>
      </c>
      <c r="C20" s="28"/>
    </row>
    <row r="21" spans="1:3" x14ac:dyDescent="0.25">
      <c r="A21" t="s">
        <v>116</v>
      </c>
      <c r="B21" s="20">
        <f>-B14+B15-B19+B20</f>
        <v>86430030.657742217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36934</v>
      </c>
      <c r="J1" s="1" t="s">
        <v>86</v>
      </c>
    </row>
    <row r="2" spans="1:15" x14ac:dyDescent="0.25">
      <c r="D2" t="s">
        <v>87</v>
      </c>
      <c r="E2" s="27">
        <f>H1-H2</f>
        <v>15</v>
      </c>
      <c r="F2"/>
      <c r="G2" s="41" t="s">
        <v>99</v>
      </c>
      <c r="H2" s="25">
        <f>VLOOKUP(H1,C_Debt,1)</f>
        <v>36919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95582.74191666668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5627.21875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29207077.741916668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905982.21875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29207077.741916668</v>
      </c>
      <c r="E4" s="28">
        <f>'Hawaii Summary'!H7</f>
        <v>900355</v>
      </c>
      <c r="F4" s="45">
        <f>'Hawaii Summary'!I7</f>
        <v>0.15</v>
      </c>
      <c r="G4" s="27">
        <f>'Hawaii Summary'!J7</f>
        <v>168</v>
      </c>
      <c r="H4" s="28">
        <f>'Hawaii Summary'!K7</f>
        <v>905982.21875</v>
      </c>
      <c r="I4" s="41"/>
    </row>
    <row r="6" spans="1:9" x14ac:dyDescent="0.25">
      <c r="A6" t="s">
        <v>75</v>
      </c>
      <c r="B6" s="48">
        <f>'Hawaii Summary'!B11</f>
        <v>8.1999999999999993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22886199.999999996</v>
      </c>
      <c r="C10" s="28">
        <f>B4*B7*'Notional Analysis'!C8</f>
        <v>58611000</v>
      </c>
      <c r="E10" t="s">
        <v>122</v>
      </c>
      <c r="G10" s="20">
        <f>B4*B6*'Notional Analysis'!C8</f>
        <v>22886199.999999996</v>
      </c>
    </row>
    <row r="11" spans="1:9" x14ac:dyDescent="0.25">
      <c r="A11" t="s">
        <v>108</v>
      </c>
      <c r="B11" s="20">
        <f>D4+H4</f>
        <v>30113059.960666668</v>
      </c>
      <c r="C11" s="28">
        <f>B11</f>
        <v>30113059.960666668</v>
      </c>
      <c r="E11" t="s">
        <v>123</v>
      </c>
      <c r="G11" s="54">
        <f>D4+H4</f>
        <v>30113059.960666668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-7226859.9606666714</v>
      </c>
    </row>
    <row r="13" spans="1:9" x14ac:dyDescent="0.25">
      <c r="C13" s="28"/>
      <c r="E13" t="s">
        <v>75</v>
      </c>
      <c r="F13" s="20">
        <f>B4*B6*'Notional Analysis'!C8</f>
        <v>22886199.999999996</v>
      </c>
    </row>
    <row r="14" spans="1:9" x14ac:dyDescent="0.25">
      <c r="A14" t="s">
        <v>109</v>
      </c>
      <c r="B14" s="20">
        <f>D4</f>
        <v>29207077.741916668</v>
      </c>
      <c r="C14" s="28">
        <f>B14</f>
        <v>29207077.741916668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22886199.999999996</v>
      </c>
      <c r="C15" s="59">
        <f>C10-E4+C12</f>
        <v>57710645</v>
      </c>
      <c r="F15" s="20"/>
      <c r="G15" s="20">
        <f>-F14+F13</f>
        <v>-35724800</v>
      </c>
    </row>
    <row r="16" spans="1:9" ht="13.8" thickBot="1" x14ac:dyDescent="0.3">
      <c r="A16" t="s">
        <v>117</v>
      </c>
      <c r="B16" s="20">
        <f>B15-B14</f>
        <v>-6320877.7419166714</v>
      </c>
      <c r="C16" s="60">
        <f>C15-C14</f>
        <v>28503567.258083332</v>
      </c>
      <c r="D16" s="61" t="s">
        <v>115</v>
      </c>
      <c r="F16" s="20"/>
      <c r="G16" s="17">
        <f>G12-G15</f>
        <v>28497940.039333329</v>
      </c>
      <c r="H16" s="20">
        <f>C16-G16</f>
        <v>5627.2187500037253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34824445</v>
      </c>
      <c r="C20" s="28"/>
      <c r="F20" s="20"/>
    </row>
    <row r="21" spans="1:6" x14ac:dyDescent="0.25">
      <c r="A21" t="s">
        <v>116</v>
      </c>
      <c r="B21" s="20">
        <f>-B14+B15-B19+B20</f>
        <v>28503567.258083329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50 NP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2023-09-10T15:15:32Z</dcterms:modified>
</cp:coreProperties>
</file>