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PR Raptor" sheetId="7" r:id="rId9"/>
  </sheets>
  <definedNames>
    <definedName name="_xlnm._FilterDatabase" localSheetId="2" hidden="1">'Stock Prices'!#REF!</definedName>
    <definedName name="acpw">'Stock Prices'!$D$5:$D$375</definedName>
    <definedName name="Amort">Amort!$A$10:$G$20</definedName>
    <definedName name="avci">'Stock Prices'!$C$5:$C$375</definedName>
    <definedName name="cabau">'Stock Prices'!#REF!</definedName>
    <definedName name="cabou">'Stock Prices'!#REF!</definedName>
    <definedName name="cadex">'Stock Prices'!#REF!</definedName>
    <definedName name="caplg">'Stock Prices'!$E$5:$E$375</definedName>
    <definedName name="cesiv">'Stock Prices'!$L$5:$L$375</definedName>
    <definedName name="ene">'Stock Prices'!$A$5:$B$375</definedName>
    <definedName name="kwk">'Stock Prices'!$K$5:$K$375</definedName>
    <definedName name="Loan">Amort!$A$42:$I$52</definedName>
    <definedName name="LoanPeriod">Amort!$B$42:$I$52</definedName>
    <definedName name="LSIP">'Stock Prices'!#REF!</definedName>
    <definedName name="MPRR">'MPR Raptor'!$E$3:$CM$140</definedName>
    <definedName name="Note">Amort!$A$10:$I$20</definedName>
    <definedName name="NotePeriod">Amort!$B$10:$I$20</definedName>
    <definedName name="pgeo">'Stock Prices'!$J$5:$J$375</definedName>
    <definedName name="_xlnm.Print_Area" localSheetId="2">'Stock Prices'!$A$1:$L$4</definedName>
    <definedName name="_xlnm.Print_Area" localSheetId="0">Summary!$A$1:$F$25</definedName>
    <definedName name="Privates">'Private Values'!$A$4:$AH$374</definedName>
    <definedName name="prs">'Stock Prices'!$E$5:$E$375</definedName>
    <definedName name="qsri">'Stock Prices'!$F$5:$F$375</definedName>
    <definedName name="StkPrices">'Stock Prices'!$A$5:$L$375</definedName>
    <definedName name="ttene">'Stock Prices'!$I$5:$I$375</definedName>
    <definedName name="wcrzo">'Stock Prices'!$G$5:$G$375</definedName>
    <definedName name="wtten">'Stock Prices'!$H$5:$H$375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D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B70" i="5"/>
  <c r="E70" i="5"/>
  <c r="A71" i="5"/>
  <c r="B71" i="5"/>
  <c r="E71" i="5"/>
  <c r="A72" i="5"/>
  <c r="B72" i="5"/>
  <c r="E72" i="5"/>
  <c r="A73" i="5"/>
  <c r="B73" i="5"/>
  <c r="E73" i="5"/>
  <c r="A74" i="5"/>
  <c r="B74" i="5"/>
  <c r="E74" i="5"/>
  <c r="A75" i="5"/>
  <c r="B75" i="5"/>
  <c r="E75" i="5"/>
  <c r="A76" i="5"/>
  <c r="B76" i="5"/>
  <c r="E76" i="5"/>
  <c r="A77" i="5"/>
  <c r="B77" i="5"/>
  <c r="E77" i="5"/>
  <c r="A78" i="5"/>
  <c r="B78" i="5"/>
  <c r="E78" i="5"/>
  <c r="E79" i="5"/>
  <c r="E80" i="5"/>
  <c r="B4" i="6"/>
  <c r="B5" i="6"/>
  <c r="B7" i="6"/>
  <c r="B9" i="6"/>
  <c r="B10" i="6"/>
  <c r="D10" i="6"/>
  <c r="B12" i="6"/>
  <c r="B13" i="6"/>
  <c r="D13" i="6"/>
  <c r="B16" i="6"/>
  <c r="B17" i="6"/>
  <c r="B19" i="6"/>
  <c r="B20" i="6"/>
  <c r="D20" i="6"/>
  <c r="B24" i="6"/>
  <c r="D25" i="6"/>
  <c r="D26" i="6"/>
  <c r="B27" i="6"/>
  <c r="D27" i="6"/>
  <c r="D28" i="6"/>
  <c r="B32" i="6"/>
  <c r="B34" i="6"/>
  <c r="B35" i="6"/>
  <c r="A36" i="6"/>
  <c r="B36" i="6"/>
  <c r="B39" i="6"/>
  <c r="B40" i="6"/>
  <c r="B41" i="6"/>
  <c r="B42" i="6"/>
  <c r="B44" i="6"/>
  <c r="B45" i="6"/>
  <c r="B47" i="6"/>
  <c r="D47" i="6"/>
  <c r="B50" i="6"/>
  <c r="B54" i="6"/>
  <c r="B55" i="6"/>
  <c r="B56" i="6"/>
  <c r="F56" i="6"/>
  <c r="B58" i="6"/>
  <c r="B60" i="6"/>
  <c r="B61" i="6"/>
  <c r="F61" i="6"/>
  <c r="B62" i="6"/>
  <c r="B64" i="6"/>
  <c r="B66" i="6"/>
  <c r="B67" i="6"/>
  <c r="B68" i="6"/>
  <c r="F68" i="6"/>
  <c r="B71" i="6"/>
  <c r="B73" i="6"/>
  <c r="E76" i="6"/>
  <c r="B77" i="6"/>
  <c r="E77" i="6"/>
  <c r="A78" i="6"/>
  <c r="E78" i="6"/>
  <c r="B80" i="6"/>
  <c r="E80" i="6"/>
  <c r="B81" i="6"/>
  <c r="E81" i="6"/>
  <c r="A82" i="6"/>
  <c r="E82" i="6"/>
  <c r="B84" i="6"/>
  <c r="E84" i="6"/>
  <c r="B85" i="6"/>
  <c r="E85" i="6"/>
  <c r="B86" i="6"/>
  <c r="E86" i="6"/>
  <c r="E88" i="6"/>
  <c r="B89" i="6"/>
  <c r="E89" i="6"/>
  <c r="B90" i="6"/>
  <c r="E90" i="6"/>
  <c r="E92" i="6"/>
  <c r="B93" i="6"/>
  <c r="E93" i="6"/>
  <c r="B94" i="6"/>
  <c r="E94" i="6"/>
  <c r="E96" i="6"/>
  <c r="B97" i="6"/>
  <c r="E97" i="6"/>
  <c r="E98" i="6"/>
  <c r="E100" i="6"/>
  <c r="B101" i="6"/>
  <c r="E101" i="6"/>
  <c r="E102" i="6"/>
  <c r="E104" i="6"/>
  <c r="B105" i="6"/>
  <c r="E105" i="6"/>
  <c r="E106" i="6"/>
  <c r="E108" i="6"/>
  <c r="B109" i="6"/>
  <c r="E109" i="6"/>
  <c r="E110" i="6"/>
  <c r="E112" i="6"/>
  <c r="B113" i="6"/>
  <c r="E113" i="6"/>
  <c r="E114" i="6"/>
  <c r="E116" i="6"/>
  <c r="B117" i="6"/>
  <c r="E117" i="6"/>
  <c r="B118" i="6"/>
  <c r="E118" i="6"/>
  <c r="I4" i="3"/>
  <c r="N4" i="3"/>
  <c r="O4" i="3"/>
  <c r="P4" i="3"/>
  <c r="R4" i="3"/>
  <c r="T4" i="3"/>
  <c r="U4" i="3"/>
  <c r="W4" i="3"/>
  <c r="AB4" i="3"/>
  <c r="AC4" i="3"/>
  <c r="AD4" i="3"/>
  <c r="G5" i="3"/>
  <c r="I5" i="3"/>
  <c r="K5" i="3"/>
  <c r="N5" i="3"/>
  <c r="O5" i="3"/>
  <c r="P5" i="3"/>
  <c r="Q5" i="3"/>
  <c r="R5" i="3"/>
  <c r="S5" i="3"/>
  <c r="T5" i="3"/>
  <c r="U5" i="3"/>
  <c r="W5" i="3"/>
  <c r="AB5" i="3"/>
  <c r="AC5" i="3"/>
  <c r="AD5" i="3"/>
  <c r="I6" i="3"/>
  <c r="K6" i="3"/>
  <c r="N6" i="3"/>
  <c r="O6" i="3"/>
  <c r="P6" i="3"/>
  <c r="Q6" i="3"/>
  <c r="R6" i="3"/>
  <c r="S6" i="3"/>
  <c r="T6" i="3"/>
  <c r="U6" i="3"/>
  <c r="W6" i="3"/>
  <c r="AB6" i="3"/>
  <c r="AC6" i="3"/>
  <c r="AD6" i="3"/>
  <c r="I7" i="3"/>
  <c r="N7" i="3"/>
  <c r="O7" i="3"/>
  <c r="P7" i="3"/>
  <c r="R7" i="3"/>
  <c r="T7" i="3"/>
  <c r="U7" i="3"/>
  <c r="W7" i="3"/>
  <c r="AB7" i="3"/>
  <c r="AC7" i="3"/>
  <c r="AD7" i="3"/>
  <c r="I8" i="3"/>
  <c r="N8" i="3"/>
  <c r="O8" i="3"/>
  <c r="P8" i="3"/>
  <c r="R8" i="3"/>
  <c r="T8" i="3"/>
  <c r="U8" i="3"/>
  <c r="W8" i="3"/>
  <c r="AB8" i="3"/>
  <c r="AC8" i="3"/>
  <c r="AD8" i="3"/>
  <c r="I9" i="3"/>
  <c r="N9" i="3"/>
  <c r="O9" i="3"/>
  <c r="P9" i="3"/>
  <c r="R9" i="3"/>
  <c r="T9" i="3"/>
  <c r="U9" i="3"/>
  <c r="W9" i="3"/>
  <c r="AB9" i="3"/>
  <c r="AC9" i="3"/>
  <c r="AD9" i="3"/>
  <c r="I10" i="3"/>
  <c r="L10" i="3"/>
  <c r="M10" i="3"/>
  <c r="N10" i="3"/>
  <c r="O10" i="3"/>
  <c r="P10" i="3"/>
  <c r="Q10" i="3"/>
  <c r="R10" i="3"/>
  <c r="S10" i="3"/>
  <c r="T10" i="3"/>
  <c r="U10" i="3"/>
  <c r="AB10" i="3"/>
  <c r="AC10" i="3"/>
  <c r="AD10" i="3"/>
  <c r="G11" i="3"/>
  <c r="H11" i="3"/>
  <c r="I11" i="3"/>
  <c r="N11" i="3"/>
  <c r="O11" i="3"/>
  <c r="P11" i="3"/>
  <c r="Q11" i="3"/>
  <c r="R11" i="3"/>
  <c r="S11" i="3"/>
  <c r="T11" i="3"/>
  <c r="U11" i="3"/>
  <c r="W11" i="3"/>
  <c r="AB11" i="3"/>
  <c r="AC11" i="3"/>
  <c r="AD11" i="3"/>
  <c r="G12" i="3"/>
  <c r="H12" i="3"/>
  <c r="I12" i="3"/>
  <c r="K12" i="3"/>
  <c r="N12" i="3"/>
  <c r="O12" i="3"/>
  <c r="P12" i="3"/>
  <c r="Q12" i="3"/>
  <c r="R12" i="3"/>
  <c r="S12" i="3"/>
  <c r="T12" i="3"/>
  <c r="U12" i="3"/>
  <c r="AB12" i="3"/>
  <c r="AC12" i="3"/>
  <c r="AD12" i="3"/>
  <c r="I13" i="3"/>
  <c r="K13" i="3"/>
  <c r="L13" i="3"/>
  <c r="N13" i="3"/>
  <c r="O13" i="3"/>
  <c r="P13" i="3"/>
  <c r="Q13" i="3"/>
  <c r="R13" i="3"/>
  <c r="S13" i="3"/>
  <c r="T13" i="3"/>
  <c r="U13" i="3"/>
  <c r="AB13" i="3"/>
  <c r="AC13" i="3"/>
  <c r="AD13" i="3"/>
  <c r="N16" i="3"/>
  <c r="O16" i="3"/>
  <c r="P16" i="3"/>
  <c r="R16" i="3"/>
  <c r="T16" i="3"/>
  <c r="U16" i="3"/>
  <c r="W16" i="3"/>
  <c r="AB16" i="3"/>
  <c r="AC16" i="3"/>
  <c r="AD16" i="3"/>
  <c r="N17" i="3"/>
  <c r="O17" i="3"/>
  <c r="P17" i="3"/>
  <c r="R17" i="3"/>
  <c r="T17" i="3"/>
  <c r="U17" i="3"/>
  <c r="V17" i="3"/>
  <c r="W17" i="3"/>
  <c r="AB17" i="3"/>
  <c r="AC17" i="3"/>
  <c r="AD17" i="3"/>
  <c r="N18" i="3"/>
  <c r="O18" i="3"/>
  <c r="P18" i="3"/>
  <c r="R18" i="3"/>
  <c r="T18" i="3"/>
  <c r="U18" i="3"/>
  <c r="V18" i="3"/>
  <c r="W18" i="3"/>
  <c r="AB18" i="3"/>
  <c r="AC18" i="3"/>
  <c r="AD18" i="3"/>
  <c r="M19" i="3"/>
  <c r="N19" i="3"/>
  <c r="O19" i="3"/>
  <c r="P19" i="3"/>
  <c r="Q19" i="3"/>
  <c r="R19" i="3"/>
  <c r="S19" i="3"/>
  <c r="T19" i="3"/>
  <c r="U19" i="3"/>
  <c r="V19" i="3"/>
  <c r="AB19" i="3"/>
  <c r="AC19" i="3"/>
  <c r="AD19" i="3"/>
  <c r="I20" i="3"/>
  <c r="M20" i="3"/>
  <c r="N20" i="3"/>
  <c r="O20" i="3"/>
  <c r="P20" i="3"/>
  <c r="Q20" i="3"/>
  <c r="R20" i="3"/>
  <c r="S20" i="3"/>
  <c r="T20" i="3"/>
  <c r="U20" i="3"/>
  <c r="V20" i="3"/>
  <c r="AB20" i="3"/>
  <c r="AC20" i="3"/>
  <c r="AD20" i="3"/>
  <c r="G21" i="3"/>
  <c r="H21" i="3"/>
  <c r="I21" i="3"/>
  <c r="N21" i="3"/>
  <c r="O21" i="3"/>
  <c r="P21" i="3"/>
  <c r="R21" i="3"/>
  <c r="T21" i="3"/>
  <c r="U21" i="3"/>
  <c r="V21" i="3"/>
  <c r="AB21" i="3"/>
  <c r="AC21" i="3"/>
  <c r="AD21" i="3"/>
  <c r="N22" i="3"/>
  <c r="O22" i="3"/>
  <c r="P22" i="3"/>
  <c r="R22" i="3"/>
  <c r="T22" i="3"/>
  <c r="U22" i="3"/>
  <c r="V22" i="3"/>
  <c r="W22" i="3"/>
  <c r="AB22" i="3"/>
  <c r="AC22" i="3"/>
  <c r="AD22" i="3"/>
  <c r="I23" i="3"/>
  <c r="N23" i="3"/>
  <c r="O23" i="3"/>
  <c r="P23" i="3"/>
  <c r="R23" i="3"/>
  <c r="T23" i="3"/>
  <c r="U23" i="3"/>
  <c r="V23" i="3"/>
  <c r="W23" i="3"/>
  <c r="AB23" i="3"/>
  <c r="AC23" i="3"/>
  <c r="AD23" i="3"/>
  <c r="M24" i="3"/>
  <c r="N24" i="3"/>
  <c r="O24" i="3"/>
  <c r="P24" i="3"/>
  <c r="Q24" i="3"/>
  <c r="R24" i="3"/>
  <c r="S24" i="3"/>
  <c r="T24" i="3"/>
  <c r="U24" i="3"/>
  <c r="V24" i="3"/>
  <c r="AB24" i="3"/>
  <c r="AC24" i="3"/>
  <c r="AD24" i="3"/>
  <c r="I25" i="3"/>
  <c r="N25" i="3"/>
  <c r="O25" i="3"/>
  <c r="P25" i="3"/>
  <c r="R25" i="3"/>
  <c r="T25" i="3"/>
  <c r="U25" i="3"/>
  <c r="V25" i="3"/>
  <c r="W25" i="3"/>
  <c r="AB25" i="3"/>
  <c r="AC25" i="3"/>
  <c r="AD25" i="3"/>
  <c r="N26" i="3"/>
  <c r="O26" i="3"/>
  <c r="P26" i="3"/>
  <c r="R26" i="3"/>
  <c r="T26" i="3"/>
  <c r="U26" i="3"/>
  <c r="V26" i="3"/>
  <c r="W26" i="3"/>
  <c r="AB26" i="3"/>
  <c r="AC26" i="3"/>
  <c r="AD26" i="3"/>
  <c r="N27" i="3"/>
  <c r="O27" i="3"/>
  <c r="P27" i="3"/>
  <c r="R27" i="3"/>
  <c r="T27" i="3"/>
  <c r="U27" i="3"/>
  <c r="V27" i="3"/>
  <c r="W27" i="3"/>
  <c r="AB27" i="3"/>
  <c r="AC27" i="3"/>
  <c r="AD27" i="3"/>
  <c r="N28" i="3"/>
  <c r="O28" i="3"/>
  <c r="P28" i="3"/>
  <c r="R28" i="3"/>
  <c r="T28" i="3"/>
  <c r="U28" i="3"/>
  <c r="V28" i="3"/>
  <c r="W28" i="3"/>
  <c r="AB28" i="3"/>
  <c r="AC28" i="3"/>
  <c r="AD28" i="3"/>
  <c r="N29" i="3"/>
  <c r="O29" i="3"/>
  <c r="P29" i="3"/>
  <c r="R29" i="3"/>
  <c r="T29" i="3"/>
  <c r="U29" i="3"/>
  <c r="V29" i="3"/>
  <c r="W29" i="3"/>
  <c r="AB29" i="3"/>
  <c r="AC29" i="3"/>
  <c r="AD29" i="3"/>
  <c r="N30" i="3"/>
  <c r="O30" i="3"/>
  <c r="P30" i="3"/>
  <c r="R30" i="3"/>
  <c r="T30" i="3"/>
  <c r="U30" i="3"/>
  <c r="V30" i="3"/>
  <c r="W30" i="3"/>
  <c r="AB30" i="3"/>
  <c r="AC30" i="3"/>
  <c r="AD30" i="3"/>
  <c r="N31" i="3"/>
  <c r="O31" i="3"/>
  <c r="P31" i="3"/>
  <c r="R31" i="3"/>
  <c r="T31" i="3"/>
  <c r="U31" i="3"/>
  <c r="V31" i="3"/>
  <c r="W31" i="3"/>
  <c r="AB31" i="3"/>
  <c r="AC31" i="3"/>
  <c r="AD31" i="3"/>
  <c r="N32" i="3"/>
  <c r="O32" i="3"/>
  <c r="P32" i="3"/>
  <c r="R32" i="3"/>
  <c r="T32" i="3"/>
  <c r="U32" i="3"/>
  <c r="V32" i="3"/>
  <c r="W32" i="3"/>
  <c r="AB32" i="3"/>
  <c r="AC32" i="3"/>
  <c r="AD32" i="3"/>
  <c r="N33" i="3"/>
  <c r="O33" i="3"/>
  <c r="P33" i="3"/>
  <c r="R33" i="3"/>
  <c r="T33" i="3"/>
  <c r="U33" i="3"/>
  <c r="V33" i="3"/>
  <c r="W33" i="3"/>
  <c r="AB33" i="3"/>
  <c r="AC33" i="3"/>
  <c r="AD33" i="3"/>
  <c r="N34" i="3"/>
  <c r="O34" i="3"/>
  <c r="P34" i="3"/>
  <c r="R34" i="3"/>
  <c r="T34" i="3"/>
  <c r="U34" i="3"/>
  <c r="V34" i="3"/>
  <c r="W34" i="3"/>
  <c r="AB34" i="3"/>
  <c r="AC34" i="3"/>
  <c r="AD34" i="3"/>
  <c r="N35" i="3"/>
  <c r="O35" i="3"/>
  <c r="P35" i="3"/>
  <c r="R35" i="3"/>
  <c r="T35" i="3"/>
  <c r="U35" i="3"/>
  <c r="V35" i="3"/>
  <c r="W35" i="3"/>
  <c r="AB35" i="3"/>
  <c r="AC35" i="3"/>
  <c r="AD35" i="3"/>
  <c r="M36" i="3"/>
  <c r="N36" i="3"/>
  <c r="O36" i="3"/>
  <c r="P36" i="3"/>
  <c r="Q36" i="3"/>
  <c r="R36" i="3"/>
  <c r="S36" i="3"/>
  <c r="T36" i="3"/>
  <c r="U36" i="3"/>
  <c r="V36" i="3"/>
  <c r="AB36" i="3"/>
  <c r="AC36" i="3"/>
  <c r="AD36" i="3"/>
  <c r="N37" i="3"/>
  <c r="O37" i="3"/>
  <c r="P37" i="3"/>
  <c r="R37" i="3"/>
  <c r="T37" i="3"/>
  <c r="U37" i="3"/>
  <c r="V37" i="3"/>
  <c r="W37" i="3"/>
  <c r="AB37" i="3"/>
  <c r="AC37" i="3"/>
  <c r="AD37" i="3"/>
  <c r="N38" i="3"/>
  <c r="O38" i="3"/>
  <c r="P38" i="3"/>
  <c r="R38" i="3"/>
  <c r="T38" i="3"/>
  <c r="U38" i="3"/>
  <c r="V38" i="3"/>
  <c r="W38" i="3"/>
  <c r="AB38" i="3"/>
  <c r="AC38" i="3"/>
  <c r="AD38" i="3"/>
  <c r="N39" i="3"/>
  <c r="O39" i="3"/>
  <c r="P39" i="3"/>
  <c r="R39" i="3"/>
  <c r="T39" i="3"/>
  <c r="U39" i="3"/>
  <c r="V39" i="3"/>
  <c r="W39" i="3"/>
  <c r="AB39" i="3"/>
  <c r="AC39" i="3"/>
  <c r="AD39" i="3"/>
  <c r="N40" i="3"/>
  <c r="O40" i="3"/>
  <c r="P40" i="3"/>
  <c r="R40" i="3"/>
  <c r="T40" i="3"/>
  <c r="U40" i="3"/>
  <c r="V40" i="3"/>
  <c r="W40" i="3"/>
  <c r="AB40" i="3"/>
  <c r="AC40" i="3"/>
  <c r="AD40" i="3"/>
  <c r="N41" i="3"/>
  <c r="O41" i="3"/>
  <c r="P41" i="3"/>
  <c r="R41" i="3"/>
  <c r="T41" i="3"/>
  <c r="U41" i="3"/>
  <c r="V41" i="3"/>
  <c r="W41" i="3"/>
  <c r="AB41" i="3"/>
  <c r="AC41" i="3"/>
  <c r="AD41" i="3"/>
  <c r="N42" i="3"/>
  <c r="O42" i="3"/>
  <c r="P42" i="3"/>
  <c r="R42" i="3"/>
  <c r="T42" i="3"/>
  <c r="U42" i="3"/>
  <c r="V42" i="3"/>
  <c r="W42" i="3"/>
  <c r="AB42" i="3"/>
  <c r="AC42" i="3"/>
  <c r="AD42" i="3"/>
  <c r="N43" i="3"/>
  <c r="O43" i="3"/>
  <c r="P43" i="3"/>
  <c r="R43" i="3"/>
  <c r="T43" i="3"/>
  <c r="U43" i="3"/>
  <c r="V43" i="3"/>
  <c r="W43" i="3"/>
  <c r="AB43" i="3"/>
  <c r="AC43" i="3"/>
  <c r="AD43" i="3"/>
  <c r="N44" i="3"/>
  <c r="O44" i="3"/>
  <c r="P44" i="3"/>
  <c r="R44" i="3"/>
  <c r="T44" i="3"/>
  <c r="U44" i="3"/>
  <c r="V44" i="3"/>
  <c r="W44" i="3"/>
  <c r="AB44" i="3"/>
  <c r="AC44" i="3"/>
  <c r="AD44" i="3"/>
  <c r="I45" i="3"/>
  <c r="N45" i="3"/>
  <c r="O45" i="3"/>
  <c r="P45" i="3"/>
  <c r="R45" i="3"/>
  <c r="T45" i="3"/>
  <c r="U45" i="3"/>
  <c r="V45" i="3"/>
  <c r="W45" i="3"/>
  <c r="AB45" i="3"/>
  <c r="AC45" i="3"/>
  <c r="AD45" i="3"/>
  <c r="I46" i="3"/>
  <c r="N46" i="3"/>
  <c r="O46" i="3"/>
  <c r="P46" i="3"/>
  <c r="R46" i="3"/>
  <c r="T46" i="3"/>
  <c r="U46" i="3"/>
  <c r="V46" i="3"/>
  <c r="W46" i="3"/>
  <c r="AB46" i="3"/>
  <c r="AC46" i="3"/>
  <c r="AD46" i="3"/>
  <c r="N47" i="3"/>
  <c r="O47" i="3"/>
  <c r="P47" i="3"/>
  <c r="Q47" i="3"/>
  <c r="R47" i="3"/>
  <c r="S47" i="3"/>
  <c r="T47" i="3"/>
  <c r="U47" i="3"/>
  <c r="V47" i="3"/>
  <c r="W47" i="3"/>
  <c r="AB47" i="3"/>
  <c r="AC47" i="3"/>
  <c r="AD47" i="3"/>
  <c r="G50" i="3"/>
  <c r="H50" i="3"/>
  <c r="I50" i="3"/>
  <c r="M50" i="3"/>
  <c r="N50" i="3"/>
  <c r="O50" i="3"/>
  <c r="P50" i="3"/>
  <c r="R50" i="3"/>
  <c r="T50" i="3"/>
  <c r="U50" i="3"/>
  <c r="W50" i="3"/>
  <c r="AB50" i="3"/>
  <c r="AC50" i="3"/>
  <c r="AD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AB51" i="3"/>
  <c r="AC51" i="3"/>
  <c r="AD51" i="3"/>
  <c r="A52" i="3"/>
  <c r="G52" i="3"/>
  <c r="H52" i="3"/>
  <c r="I52" i="3"/>
  <c r="M52" i="3"/>
  <c r="N52" i="3"/>
  <c r="O52" i="3"/>
  <c r="P52" i="3"/>
  <c r="Q52" i="3"/>
  <c r="R52" i="3"/>
  <c r="S52" i="3"/>
  <c r="T52" i="3"/>
  <c r="U52" i="3"/>
  <c r="W52" i="3"/>
  <c r="AB52" i="3"/>
  <c r="AC52" i="3"/>
  <c r="AD52" i="3"/>
  <c r="A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AB53" i="3"/>
  <c r="AC53" i="3"/>
  <c r="AD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AB54" i="3"/>
  <c r="AC54" i="3"/>
  <c r="AD54" i="3"/>
  <c r="I55" i="3"/>
  <c r="M55" i="3"/>
  <c r="N55" i="3"/>
  <c r="O55" i="3"/>
  <c r="P55" i="3"/>
  <c r="R55" i="3"/>
  <c r="T55" i="3"/>
  <c r="U55" i="3"/>
  <c r="W55" i="3"/>
  <c r="AB55" i="3"/>
  <c r="AC55" i="3"/>
  <c r="AD55" i="3"/>
  <c r="I56" i="3"/>
  <c r="M56" i="3"/>
  <c r="N56" i="3"/>
  <c r="O56" i="3"/>
  <c r="P56" i="3"/>
  <c r="R56" i="3"/>
  <c r="T56" i="3"/>
  <c r="U56" i="3"/>
  <c r="W56" i="3"/>
  <c r="AB56" i="3"/>
  <c r="AC56" i="3"/>
  <c r="AD56" i="3"/>
  <c r="E59" i="3"/>
  <c r="I59" i="3"/>
  <c r="P59" i="3"/>
  <c r="Q59" i="3"/>
  <c r="R59" i="3"/>
  <c r="S59" i="3"/>
  <c r="T59" i="3"/>
  <c r="W59" i="3"/>
  <c r="Z59" i="3"/>
  <c r="AA59" i="3"/>
  <c r="AB59" i="3"/>
  <c r="AC59" i="3"/>
  <c r="AD59" i="3"/>
  <c r="Q61" i="3"/>
  <c r="AC61" i="3"/>
  <c r="I62" i="3"/>
  <c r="Q62" i="3"/>
  <c r="I63" i="3"/>
  <c r="Q63" i="3"/>
  <c r="I65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D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E25" i="4"/>
  <c r="P25" i="4"/>
  <c r="E26" i="4"/>
  <c r="I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P44" i="4"/>
  <c r="M45" i="4"/>
  <c r="O45" i="4"/>
  <c r="P45" i="4"/>
  <c r="M46" i="4"/>
  <c r="O46" i="4"/>
  <c r="P46" i="4"/>
  <c r="P47" i="4"/>
  <c r="P48" i="4"/>
  <c r="P49" i="4"/>
  <c r="P50" i="4"/>
  <c r="P51" i="4"/>
  <c r="P52" i="4"/>
  <c r="P53" i="4"/>
  <c r="AC37" i="9"/>
  <c r="F69" i="9"/>
  <c r="F70" i="9"/>
  <c r="D103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H377" i="9"/>
  <c r="I377" i="9"/>
  <c r="K377" i="9"/>
  <c r="L377" i="9"/>
  <c r="M377" i="9"/>
  <c r="N377" i="9"/>
  <c r="O377" i="9"/>
  <c r="P377" i="9"/>
  <c r="Q377" i="9"/>
  <c r="R377" i="9"/>
  <c r="S377" i="9"/>
  <c r="T377" i="9"/>
  <c r="U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H379" i="9"/>
  <c r="I379" i="9"/>
  <c r="K379" i="9"/>
  <c r="L379" i="9"/>
  <c r="M379" i="9"/>
  <c r="N379" i="9"/>
  <c r="O379" i="9"/>
  <c r="P379" i="9"/>
  <c r="Q379" i="9"/>
  <c r="R379" i="9"/>
  <c r="S379" i="9"/>
  <c r="T379" i="9"/>
  <c r="U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H380" i="9"/>
  <c r="I380" i="9"/>
  <c r="K380" i="9"/>
  <c r="L380" i="9"/>
  <c r="M380" i="9"/>
  <c r="N380" i="9"/>
  <c r="O380" i="9"/>
  <c r="P380" i="9"/>
  <c r="Q380" i="9"/>
  <c r="R380" i="9"/>
  <c r="S380" i="9"/>
  <c r="T380" i="9"/>
  <c r="U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H381" i="9"/>
  <c r="I381" i="9"/>
  <c r="K381" i="9"/>
  <c r="L381" i="9"/>
  <c r="M381" i="9"/>
  <c r="N381" i="9"/>
  <c r="O381" i="9"/>
  <c r="P381" i="9"/>
  <c r="Q381" i="9"/>
  <c r="R381" i="9"/>
  <c r="S381" i="9"/>
  <c r="T381" i="9"/>
  <c r="U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F69" i="8"/>
  <c r="A376" i="8"/>
  <c r="B376" i="8"/>
  <c r="C376" i="8"/>
  <c r="D376" i="8"/>
  <c r="H376" i="8"/>
  <c r="I376" i="8"/>
  <c r="K376" i="8"/>
  <c r="L376" i="8"/>
  <c r="M376" i="8"/>
  <c r="N376" i="8"/>
  <c r="O376" i="8"/>
  <c r="P376" i="8"/>
  <c r="Q376" i="8"/>
  <c r="R376" i="8"/>
  <c r="S376" i="8"/>
  <c r="T376" i="8"/>
  <c r="U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C2" i="2"/>
  <c r="D2" i="2"/>
  <c r="E2" i="2"/>
  <c r="F2" i="2"/>
  <c r="G2" i="2"/>
  <c r="H2" i="2"/>
  <c r="I2" i="2"/>
  <c r="J2" i="2"/>
  <c r="K2" i="2"/>
  <c r="L2" i="2"/>
  <c r="A50" i="2"/>
  <c r="C64" i="2"/>
  <c r="B77" i="2"/>
  <c r="E77" i="2"/>
  <c r="E78" i="2"/>
  <c r="A377" i="2"/>
  <c r="C377" i="2"/>
  <c r="D377" i="2"/>
  <c r="F377" i="2"/>
  <c r="G377" i="2"/>
  <c r="H377" i="2"/>
  <c r="I377" i="2"/>
  <c r="J377" i="2"/>
  <c r="L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51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9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<sst xmlns="http://schemas.openxmlformats.org/spreadsheetml/2006/main" count="1447" uniqueCount="556">
  <si>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</si>
  <si>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</si>
  <si>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</si>
  <si>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</si>
  <si>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</si>
  <si>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</si>
  <si>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</si>
  <si>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</si>
  <si>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</si>
  <si>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</si>
  <si>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</si>
  <si>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</si>
  <si>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</si>
  <si>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</si>
  <si>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</si>
  <si>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</si>
  <si>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</si>
  <si>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</si>
  <si>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</si>
  <si>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</si>
  <si>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</si>
  <si>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</si>
  <si>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</si>
  <si>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</si>
  <si>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</si>
  <si>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</si>
  <si>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</si>
  <si>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</si>
  <si>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</si>
  <si>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</si>
  <si>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</si>
  <si>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</si>
  <si>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</si>
  <si>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</si>
  <si>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</si>
  <si>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</si>
  <si>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</si>
  <si>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</si>
  <si>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</si>
  <si>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</si>
  <si>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</si>
  <si>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</si>
  <si>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</si>
  <si>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</si>
  <si>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</si>
  <si>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</si>
  <si>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</si>
  <si>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</si>
  <si>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</si>
  <si>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</si>
  <si>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</si>
  <si>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</si>
  <si>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</si>
  <si>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</si>
  <si>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</si>
  <si>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</si>
  <si>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</si>
  <si>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</si>
  <si>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</si>
  <si>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</si>
  <si>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</si>
  <si>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</si>
  <si>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</si>
  <si>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</si>
  <si>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</si>
  <si>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</si>
  <si>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</si>
  <si>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</si>
  <si>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</si>
  <si>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</si>
  <si>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</si>
  <si>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</si>
  <si>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</si>
  <si>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</si>
  <si>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</si>
  <si>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</si>
  <si>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</si>
  <si>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</si>
  <si>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</si>
  <si>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</si>
  <si>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</si>
  <si>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</si>
  <si>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</si>
  <si>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</si>
  <si>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</si>
  <si>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</si>
  <si>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</si>
  <si>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</si>
  <si>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</si>
  <si>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</si>
  <si>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</si>
  <si>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</si>
  <si>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</si>
  <si>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</si>
  <si>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</si>
  <si>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</si>
  <si>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</si>
  <si>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</si>
  <si>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</si>
  <si>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</si>
  <si>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</si>
  <si>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</si>
  <si>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</si>
  <si>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</si>
  <si>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</si>
  <si>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</si>
  <si>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</si>
  <si>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</si>
  <si>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</si>
  <si>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</si>
  <si>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</si>
  <si>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</si>
  <si>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</si>
  <si>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</si>
  <si>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</si>
  <si>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</si>
  <si>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</si>
  <si>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</si>
  <si>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</si>
  <si>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</si>
  <si>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</si>
  <si>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</si>
  <si>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</si>
  <si>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</si>
  <si>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</si>
  <si>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</si>
  <si>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</si>
  <si>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</si>
  <si>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</si>
  <si>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</si>
  <si>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</si>
  <si>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</si>
  <si>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</si>
  <si>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</si>
  <si>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</si>
  <si>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</si>
  <si>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</si>
  <si>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</si>
  <si>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</si>
  <si>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</si>
  <si>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</si>
  <si>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</si>
  <si>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</si>
  <si>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</si>
  <si>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</si>
  <si>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</si>
  <si>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</si>
  <si>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</si>
  <si>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</si>
  <si>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</si>
  <si>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</si>
  <si>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</si>
  <si>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</si>
  <si>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</si>
  <si>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</si>
  <si>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</si>
  <si>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</si>
  <si>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</si>
  <si>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</si>
  <si>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</si>
  <si>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</si>
  <si>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</si>
  <si>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</si>
  <si>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</si>
  <si>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</si>
  <si>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</si>
  <si>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</si>
  <si>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Carrizo Warrants</t>
  </si>
  <si>
    <t>3TEC Warrants</t>
  </si>
  <si>
    <t>Paradigm</t>
  </si>
  <si>
    <t>Quicksilver</t>
  </si>
  <si>
    <t>KWK</t>
  </si>
  <si>
    <t>ACPW</t>
  </si>
  <si>
    <t>CRZO</t>
  </si>
  <si>
    <t>TTEN</t>
  </si>
  <si>
    <t>Units</t>
  </si>
  <si>
    <t>PGEO</t>
  </si>
  <si>
    <t>End of Range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</si>
  <si>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</si>
  <si>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</si>
  <si>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</si>
  <si>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</si>
  <si>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</si>
  <si>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</si>
  <si>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</si>
  <si>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</si>
  <si>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</si>
  <si>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</si>
  <si>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</si>
  <si>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</si>
  <si>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</si>
  <si>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</si>
  <si>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</si>
  <si>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</si>
  <si>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</si>
  <si>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</si>
  <si>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</si>
  <si>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</si>
  <si>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</si>
  <si>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</si>
  <si>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</si>
  <si>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</si>
  <si>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</si>
  <si>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</si>
  <si>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Heartland Steel Common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</si>
  <si>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</si>
  <si>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</si>
  <si>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</si>
  <si>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</si>
  <si>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</si>
  <si>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</si>
  <si>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</si>
  <si>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Venoco Convertible Raptor I</t>
  </si>
  <si>
    <t>City Forest IPC Raptor I</t>
  </si>
  <si>
    <t>WB Oil &amp; Gas Raptor I</t>
  </si>
  <si>
    <t>Paradigm Common Raptor I</t>
  </si>
  <si>
    <t>LSI Preferred Raptor I</t>
  </si>
  <si>
    <t>LSI Warrants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</si>
  <si>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</si>
  <si>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</si>
  <si>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</si>
  <si>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</si>
  <si>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</si>
  <si>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</si>
  <si>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</si>
  <si>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</si>
  <si>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</si>
  <si>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</si>
  <si>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</si>
  <si>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</si>
  <si>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</si>
  <si>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</si>
  <si>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</si>
  <si>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</si>
  <si>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</si>
  <si>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</si>
  <si>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</si>
  <si>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</si>
  <si>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</si>
  <si>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</si>
  <si>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</si>
  <si>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</si>
  <si>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</si>
  <si>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</si>
  <si>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</si>
  <si>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</si>
  <si>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</si>
  <si>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</si>
  <si>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</si>
  <si>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</si>
  <si>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</si>
  <si>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</si>
  <si>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</si>
  <si>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</si>
  <si>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</si>
  <si>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</si>
  <si>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</si>
  <si>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</si>
  <si>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</si>
  <si>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</si>
  <si>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</si>
  <si>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</si>
  <si>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</si>
  <si>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</si>
  <si>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</si>
  <si>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</si>
  <si>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</si>
  <si>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</si>
  <si>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</si>
  <si>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</si>
  <si>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</si>
  <si>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</si>
  <si>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</si>
  <si>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</si>
  <si>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</si>
  <si>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</si>
  <si>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</si>
  <si>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</si>
  <si>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</si>
  <si>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</si>
  <si>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</si>
  <si>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</si>
  <si>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</si>
  <si>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</si>
  <si>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</si>
  <si>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</si>
  <si>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</si>
  <si>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</si>
  <si>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</si>
  <si>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</si>
  <si>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</si>
  <si>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</si>
  <si>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</si>
  <si>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</si>
  <si>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</si>
  <si>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</si>
  <si>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</si>
  <si>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</si>
  <si>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</si>
  <si>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</si>
  <si>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</si>
  <si>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</si>
  <si>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</si>
  <si>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</si>
  <si>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</si>
  <si>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</si>
  <si>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</si>
  <si>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</si>
  <si>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</si>
  <si>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</si>
  <si>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</si>
  <si>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</si>
  <si>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</si>
  <si>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</si>
  <si>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</si>
  <si>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</si>
  <si>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</si>
  <si>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</si>
  <si>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</si>
  <si>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</si>
  <si>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</si>
  <si>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</si>
  <si>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Public</t>
  </si>
  <si>
    <t>N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</si>
  <si>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</si>
  <si>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</si>
  <si>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</si>
  <si>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</si>
  <si>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</si>
  <si>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</si>
  <si>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</si>
  <si>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</si>
  <si>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</si>
  <si>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</si>
  <si>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</si>
  <si>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</si>
  <si>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</si>
  <si>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</si>
  <si>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</si>
  <si>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</si>
  <si>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</si>
  <si>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</si>
  <si>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</si>
  <si>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</si>
  <si>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</si>
  <si>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</si>
  <si>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</si>
  <si>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</si>
  <si>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</si>
  <si>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</si>
  <si>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</si>
  <si>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</si>
  <si>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</si>
  <si>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</si>
  <si>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</si>
  <si>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</si>
  <si>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</si>
  <si>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</si>
  <si>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</si>
  <si>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</si>
  <si>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</si>
  <si>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</si>
  <si>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</si>
  <si>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</si>
  <si>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</si>
  <si>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</si>
  <si>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</si>
  <si>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Producer EGF Raptor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</si>
  <si>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</si>
  <si>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</si>
  <si>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</si>
  <si>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</si>
  <si>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</si>
  <si>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</si>
  <si>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</si>
  <si>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</si>
  <si>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</si>
  <si>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</si>
  <si>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</si>
  <si>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</si>
  <si>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</si>
  <si>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</si>
  <si>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</si>
  <si>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</si>
  <si>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</si>
  <si>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</si>
  <si>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Enron Raptor I - Convertible - Private Total</t>
  </si>
  <si>
    <t>126-153</t>
  </si>
  <si>
    <t>82-847</t>
  </si>
  <si>
    <t>Enron Raptor I - US Structured Credit-Book RA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</si>
  <si>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</si>
  <si>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</si>
  <si>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</si>
  <si>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</si>
  <si>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</si>
  <si>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</si>
  <si>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</si>
  <si>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</si>
  <si>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</si>
  <si>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</si>
  <si>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</si>
  <si>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</si>
  <si>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</si>
  <si>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</si>
  <si>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</si>
  <si>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</si>
  <si>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</si>
  <si>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</si>
  <si>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</si>
  <si>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</si>
  <si>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</si>
  <si>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</si>
  <si>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21-2320</t>
  </si>
  <si>
    <t>588-639</t>
  </si>
  <si>
    <t>US;PGEO</t>
  </si>
  <si>
    <t>75-10364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</si>
  <si>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</si>
  <si>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</si>
  <si>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</si>
  <si>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</si>
  <si>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</si>
  <si>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</si>
  <si>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</si>
  <si>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</si>
  <si>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</si>
  <si>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</si>
  <si>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</si>
  <si>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CA:PLG</t>
  </si>
  <si>
    <t>Heartland Common (Condor)</t>
  </si>
  <si>
    <t>WB Oil &amp; Gas</t>
  </si>
  <si>
    <t>Venoco Convertible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</si>
  <si>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</si>
  <si>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</si>
  <si>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</si>
  <si>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</si>
  <si>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</si>
  <si>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</si>
  <si>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</si>
  <si>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</si>
  <si>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</si>
  <si>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Basic Energy Preferred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</si>
  <si>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</si>
  <si>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</si>
  <si>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</si>
  <si>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</si>
  <si>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</si>
  <si>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</si>
  <si>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</si>
  <si>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</si>
  <si>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</si>
  <si>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</si>
  <si>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</si>
  <si>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</si>
  <si>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</si>
  <si>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</si>
  <si>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</si>
  <si>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</si>
  <si>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</si>
  <si>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</si>
  <si>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</si>
  <si>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</si>
  <si>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</si>
  <si>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</si>
  <si>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</si>
  <si>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</si>
  <si>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</si>
  <si>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</si>
  <si>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</si>
  <si>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</si>
  <si>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</si>
  <si>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</si>
  <si>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</si>
  <si>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</si>
  <si>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</si>
  <si>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</si>
  <si>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</si>
  <si>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</si>
  <si>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</si>
  <si>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</si>
  <si>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</si>
  <si>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</si>
  <si>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</si>
  <si>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</si>
  <si>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</si>
  <si>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</si>
  <si>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</si>
  <si>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</si>
  <si>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</si>
  <si>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</si>
  <si>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</si>
  <si>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</si>
  <si>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</si>
  <si>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</si>
  <si>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</si>
  <si>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</si>
  <si>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</si>
  <si>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</si>
  <si>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</si>
  <si>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</si>
  <si>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</si>
  <si>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</si>
  <si>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</si>
  <si>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</si>
  <si>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</si>
  <si>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</si>
  <si>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</si>
  <si>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</si>
  <si>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</si>
  <si>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</si>
  <si>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</si>
  <si>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</si>
  <si>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</si>
  <si>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</si>
  <si>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</si>
  <si>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</si>
  <si>
    <t>Catalytica Common TRS Raptor I</t>
  </si>
  <si>
    <t>12/29/00</t>
  </si>
  <si>
    <t>Byargeon</t>
  </si>
  <si>
    <t>713-853-0650</t>
  </si>
  <si>
    <t>US;HC</t>
  </si>
  <si>
    <t>53-64</t>
  </si>
  <si>
    <t>Place Resources US$</t>
  </si>
  <si>
    <t>Realized Losses</t>
  </si>
  <si>
    <t>Realized Gains</t>
  </si>
  <si>
    <t>check</t>
  </si>
  <si>
    <t>Total Exposure</t>
  </si>
  <si>
    <t>Third Party</t>
  </si>
  <si>
    <t>Original Balance Sheet</t>
  </si>
  <si>
    <t>Original Notional</t>
  </si>
  <si>
    <t>Existing Notional</t>
  </si>
  <si>
    <t>Remaining Notional</t>
  </si>
  <si>
    <t>Short</t>
  </si>
  <si>
    <t>DEVX</t>
  </si>
  <si>
    <t>Place Termination</t>
  </si>
  <si>
    <t>Quicksilver Termination</t>
  </si>
  <si>
    <t>DEVX Pref Termination</t>
  </si>
  <si>
    <t>Black Bay and Keathley Termination</t>
  </si>
  <si>
    <t>Geo. Pursuit Termination</t>
  </si>
  <si>
    <t>Avici Termination</t>
  </si>
  <si>
    <t>Active Power Termination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</si>
  <si>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</si>
  <si>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</si>
  <si>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</si>
  <si>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</si>
  <si>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</si>
  <si>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</si>
  <si>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</si>
  <si>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</si>
  <si>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Current QTR</t>
  </si>
  <si>
    <t>Prior YTD</t>
  </si>
  <si>
    <t>Basic Energy Preferred Raptor I</t>
  </si>
  <si>
    <t>partial</t>
  </si>
  <si>
    <t xml:space="preserve">Merlin </t>
  </si>
  <si>
    <t>Merlin</t>
  </si>
  <si>
    <t>Brigham Debt</t>
  </si>
  <si>
    <t>Hornbeck-Leevac Warrants Raptor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</si>
</sst>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8" fontId="0" fillId="0" borderId="0" xfId="0" applyNumberFormat="1"/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79" fontId="21" fillId="0" borderId="0" xfId="2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/>
    <xf numFmtId="39" fontId="4" fillId="0" borderId="33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3" xfId="1" applyNumberFormat="1" applyFont="1" applyFill="1" applyBorder="1" applyAlignment="1">
      <alignment vertical="center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0" fontId="21" fillId="0" borderId="6" xfId="0" applyFont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  <xf numFmtId="44" fontId="27" fillId="2" borderId="11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86" t="s">
        <v>128</v>
      </c>
      <c r="C2" s="286"/>
      <c r="D2" s="286"/>
      <c r="E2" s="286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6" t="s">
        <v>0</v>
      </c>
      <c r="C4" s="66"/>
      <c r="D4" s="64"/>
      <c r="E4" s="64"/>
      <c r="F4" s="63"/>
    </row>
    <row r="5" spans="1:6" x14ac:dyDescent="0.3">
      <c r="A5" s="62"/>
      <c r="B5" s="64" t="s">
        <v>15</v>
      </c>
      <c r="C5" s="66">
        <f>+'MPR Raptor'!U3</f>
        <v>36934</v>
      </c>
      <c r="D5" s="67" t="s">
        <v>20</v>
      </c>
      <c r="E5" s="68">
        <f>+C5-1</f>
        <v>36933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215"/>
      <c r="D7" s="64"/>
      <c r="E7" s="64"/>
      <c r="F7" s="63"/>
    </row>
    <row r="8" spans="1:6" x14ac:dyDescent="0.3">
      <c r="A8" s="62"/>
      <c r="B8" s="76" t="s">
        <v>122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70"/>
      <c r="D11" s="70"/>
      <c r="E11" s="70"/>
      <c r="F11" s="63"/>
    </row>
    <row r="12" spans="1:6" x14ac:dyDescent="0.3">
      <c r="A12" s="62"/>
      <c r="B12" s="64" t="s">
        <v>9</v>
      </c>
      <c r="C12" s="71">
        <f>+'Daily Position'!T59</f>
        <v>-408758021.5488866</v>
      </c>
      <c r="D12" s="71">
        <f>+'Daily Position'!S59</f>
        <v>-73827735.572398722</v>
      </c>
      <c r="E12" s="71">
        <f>+C12-D12</f>
        <v>-334930285.97648787</v>
      </c>
      <c r="F12" s="63"/>
    </row>
    <row r="13" spans="1:6" x14ac:dyDescent="0.3">
      <c r="A13" s="62"/>
      <c r="B13" s="64" t="s">
        <v>10</v>
      </c>
      <c r="C13" s="56">
        <f>+C15-C12</f>
        <v>-2972871.7670499682</v>
      </c>
      <c r="D13" s="56">
        <f>+D15-D12</f>
        <v>0</v>
      </c>
      <c r="E13" s="56">
        <f>+E15-E12</f>
        <v>-2972871.7670499682</v>
      </c>
      <c r="F13" s="63"/>
    </row>
    <row r="14" spans="1:6" x14ac:dyDescent="0.3">
      <c r="A14" s="62"/>
      <c r="B14" s="64"/>
      <c r="C14" s="71"/>
      <c r="D14" s="71"/>
      <c r="E14" s="71"/>
      <c r="F14" s="63"/>
    </row>
    <row r="15" spans="1:6" ht="16.2" thickBot="1" x14ac:dyDescent="0.35">
      <c r="A15" s="62"/>
      <c r="B15" s="64" t="s">
        <v>11</v>
      </c>
      <c r="C15" s="57">
        <f>+'Daily Position'!R59</f>
        <v>-411730893.31593657</v>
      </c>
      <c r="D15" s="57">
        <f>+'Daily Position'!Q59</f>
        <v>-73827735.572398722</v>
      </c>
      <c r="E15" s="57">
        <f>+C15-D15</f>
        <v>-337903157.74353784</v>
      </c>
      <c r="F15" s="63"/>
    </row>
    <row r="16" spans="1:6" ht="16.2" thickTop="1" x14ac:dyDescent="0.3">
      <c r="A16" s="62"/>
      <c r="B16" s="64"/>
      <c r="C16" s="71"/>
      <c r="D16" s="71"/>
      <c r="E16" s="71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1">
        <f>IF(+Financials!P25&lt;0,"No Capacity Available",+Financials!P25)</f>
        <v>20734509.754150212</v>
      </c>
      <c r="D18" s="64"/>
      <c r="E18" s="64"/>
      <c r="F18" s="63"/>
    </row>
    <row r="19" spans="1:6" x14ac:dyDescent="0.3">
      <c r="A19" s="62"/>
      <c r="B19" s="64"/>
      <c r="C19" s="71"/>
      <c r="D19" s="64"/>
      <c r="E19" s="64"/>
      <c r="F19" s="63"/>
    </row>
    <row r="20" spans="1:6" x14ac:dyDescent="0.3">
      <c r="A20" s="62"/>
      <c r="B20" s="64"/>
      <c r="C20" s="71"/>
      <c r="D20" s="64"/>
      <c r="E20" s="64"/>
      <c r="F20" s="63"/>
    </row>
    <row r="21" spans="1:6" x14ac:dyDescent="0.3">
      <c r="A21" s="62"/>
      <c r="B21" s="64" t="s">
        <v>2</v>
      </c>
      <c r="C21" s="71">
        <f>ROUND(+Financials!I36,2)</f>
        <v>-124091193.8</v>
      </c>
      <c r="D21" s="64"/>
      <c r="E21" s="64"/>
      <c r="F21" s="63"/>
    </row>
    <row r="22" spans="1:6" x14ac:dyDescent="0.3">
      <c r="A22" s="62"/>
      <c r="B22" s="64"/>
      <c r="C22" s="71"/>
      <c r="D22" s="215"/>
      <c r="E22" s="64"/>
      <c r="F22" s="63"/>
    </row>
    <row r="23" spans="1:6" x14ac:dyDescent="0.3">
      <c r="A23" s="62"/>
      <c r="B23" s="64"/>
      <c r="C23" s="71"/>
      <c r="D23" s="64"/>
      <c r="E23" s="64"/>
      <c r="F23" s="63"/>
    </row>
    <row r="24" spans="1:6" x14ac:dyDescent="0.3">
      <c r="A24" s="62"/>
      <c r="B24" s="72" t="s">
        <v>127</v>
      </c>
      <c r="C24" s="71">
        <f>1500000000-'Daily Position'!I59</f>
        <v>766318270.92999995</v>
      </c>
      <c r="D24" s="64"/>
      <c r="E24" s="64"/>
      <c r="F24" s="63"/>
    </row>
    <row r="25" spans="1:6" ht="16.2" thickBot="1" x14ac:dyDescent="0.35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6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.6" x14ac:dyDescent="0.3"/>
  <cols>
    <col min="1" max="1" width="23.09765625" customWidth="1"/>
    <col min="2" max="2" width="7.8984375" style="266" customWidth="1"/>
    <col min="3" max="3" width="10.8984375" style="266" customWidth="1"/>
    <col min="4" max="4" width="6.5" style="77" customWidth="1"/>
    <col min="5" max="5" width="12.09765625" style="4" bestFit="1" customWidth="1"/>
    <col min="6" max="6" width="5.8984375" style="77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8.59765625" style="4" bestFit="1" customWidth="1"/>
    <col min="11" max="11" width="13.09765625" style="4" customWidth="1"/>
    <col min="12" max="12" width="10.69921875" style="4" customWidth="1"/>
    <col min="13" max="13" width="13.3984375" style="4" customWidth="1"/>
    <col min="14" max="14" width="13.09765625" customWidth="1"/>
    <col min="15" max="15" width="7.8984375" style="260" customWidth="1"/>
    <col min="16" max="16" width="14.09765625" customWidth="1"/>
    <col min="17" max="17" width="16" customWidth="1"/>
    <col min="18" max="18" width="14.5" customWidth="1"/>
    <col min="19" max="19" width="12.59765625" style="4" customWidth="1"/>
    <col min="20" max="20" width="14.3984375" customWidth="1"/>
    <col min="21" max="21" width="13.3984375" customWidth="1"/>
    <col min="22" max="22" width="7.19921875" customWidth="1"/>
    <col min="23" max="23" width="14.59765625" bestFit="1" customWidth="1"/>
    <col min="24" max="24" width="9.8984375" customWidth="1"/>
    <col min="25" max="25" width="19.3984375" customWidth="1"/>
    <col min="26" max="26" width="12.59765625" style="4" customWidth="1"/>
    <col min="27" max="27" width="14.3984375" customWidth="1"/>
    <col min="28" max="28" width="12.59765625" style="4" customWidth="1"/>
    <col min="29" max="29" width="14.3984375" customWidth="1"/>
    <col min="30" max="30" width="12.59765625" bestFit="1" customWidth="1"/>
  </cols>
  <sheetData>
    <row r="1" spans="1:30" s="79" customFormat="1" x14ac:dyDescent="0.3">
      <c r="A1" s="79" t="s">
        <v>130</v>
      </c>
      <c r="B1" s="263" t="s">
        <v>131</v>
      </c>
      <c r="C1" s="263" t="s">
        <v>132</v>
      </c>
      <c r="D1" s="79" t="s">
        <v>134</v>
      </c>
      <c r="E1" s="81"/>
      <c r="F1" s="79" t="s">
        <v>136</v>
      </c>
      <c r="G1" s="82" t="s">
        <v>137</v>
      </c>
      <c r="H1" s="289" t="s">
        <v>138</v>
      </c>
      <c r="I1" s="290"/>
      <c r="J1" s="291" t="s">
        <v>507</v>
      </c>
      <c r="K1" s="292"/>
      <c r="L1" s="292"/>
      <c r="M1" s="293"/>
      <c r="N1" s="79" t="s">
        <v>139</v>
      </c>
      <c r="O1" s="263"/>
      <c r="P1" s="86" t="s">
        <v>141</v>
      </c>
      <c r="Q1" s="90" t="s">
        <v>142</v>
      </c>
      <c r="R1" s="87" t="s">
        <v>143</v>
      </c>
      <c r="S1" s="287" t="s">
        <v>144</v>
      </c>
      <c r="T1" s="288"/>
      <c r="U1" s="86" t="s">
        <v>144</v>
      </c>
      <c r="V1" s="90"/>
      <c r="W1" s="87"/>
      <c r="Z1" s="287" t="s">
        <v>549</v>
      </c>
      <c r="AA1" s="288"/>
      <c r="AB1" s="287" t="s">
        <v>548</v>
      </c>
      <c r="AC1" s="288"/>
    </row>
    <row r="2" spans="1:30" s="80" customFormat="1" ht="15" customHeight="1" thickBot="1" x14ac:dyDescent="0.35">
      <c r="A2" s="83" t="s">
        <v>145</v>
      </c>
      <c r="B2" s="264" t="s">
        <v>1</v>
      </c>
      <c r="C2" s="264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175</v>
      </c>
      <c r="I2" s="238" t="s">
        <v>140</v>
      </c>
      <c r="J2" s="272" t="s">
        <v>1</v>
      </c>
      <c r="K2" s="85" t="s">
        <v>48</v>
      </c>
      <c r="L2" s="271" t="s">
        <v>175</v>
      </c>
      <c r="M2" s="238" t="s">
        <v>140</v>
      </c>
      <c r="N2" s="83" t="s">
        <v>232</v>
      </c>
      <c r="O2" s="264" t="s">
        <v>129</v>
      </c>
      <c r="P2" s="88" t="s">
        <v>146</v>
      </c>
      <c r="Q2" s="83" t="s">
        <v>146</v>
      </c>
      <c r="R2" s="89" t="s">
        <v>146</v>
      </c>
      <c r="S2" s="272" t="s">
        <v>5</v>
      </c>
      <c r="T2" s="89" t="s">
        <v>7</v>
      </c>
      <c r="U2" s="83" t="s">
        <v>232</v>
      </c>
      <c r="V2" s="83" t="s">
        <v>473</v>
      </c>
      <c r="W2" s="89" t="s">
        <v>184</v>
      </c>
      <c r="Z2" s="272" t="s">
        <v>5</v>
      </c>
      <c r="AA2" s="89" t="s">
        <v>7</v>
      </c>
      <c r="AB2" s="272" t="s">
        <v>5</v>
      </c>
      <c r="AC2" s="89" t="s">
        <v>7</v>
      </c>
    </row>
    <row r="3" spans="1:30" s="80" customFormat="1" ht="15" customHeight="1" x14ac:dyDescent="0.3">
      <c r="A3" s="135" t="s">
        <v>178</v>
      </c>
      <c r="B3" s="265"/>
      <c r="C3" s="265"/>
      <c r="E3" s="132"/>
      <c r="G3" s="133"/>
      <c r="H3" s="134"/>
      <c r="I3" s="132"/>
      <c r="J3" s="132"/>
      <c r="K3" s="132"/>
      <c r="L3" s="132"/>
      <c r="M3" s="132"/>
      <c r="O3" s="265"/>
      <c r="S3" s="132"/>
      <c r="Z3" s="132"/>
      <c r="AB3" s="132"/>
    </row>
    <row r="4" spans="1:30" x14ac:dyDescent="0.3">
      <c r="A4" t="s">
        <v>168</v>
      </c>
      <c r="B4" s="266">
        <v>36741</v>
      </c>
      <c r="C4" s="266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VLOOKUP(+O4,StkPrices,+'Stock Prices'!H$2)</f>
        <v>2.6458290838380072</v>
      </c>
      <c r="O4" s="260">
        <f>+Summary!$C$5</f>
        <v>36934</v>
      </c>
      <c r="P4" s="4">
        <f>IF(O4&lt;B4,0,ROUND((+N4*(H4-IF(J4&gt;O4-1,0,L4))),2)-ROUND(((H4-IF(J4&gt;O4-1,0,L4))*G4),2))</f>
        <v>114437.33000000002</v>
      </c>
      <c r="Q4" s="4">
        <v>0</v>
      </c>
      <c r="R4" s="5">
        <f t="shared" ref="R4:R13" si="1">+P4+Q4</f>
        <v>114437.33000000002</v>
      </c>
      <c r="S4" s="4">
        <v>0</v>
      </c>
      <c r="T4" s="4">
        <f>IF(Summary!$E$5&lt;'Daily Position'!B4,0,ROUND(+U4*(H4-L4),2)+M4-I4)</f>
        <v>114961.73000000001</v>
      </c>
      <c r="U4" s="2">
        <f>+VLOOKUP(+Summary!$E$5,StkPrices,+'Stock Prices'!H$2)</f>
        <v>2.65255223406644</v>
      </c>
      <c r="V4" s="2"/>
      <c r="W4" s="140">
        <f>+N4*H4-'MPR Raptor'!U58</f>
        <v>0</v>
      </c>
      <c r="Z4" s="4">
        <v>0</v>
      </c>
      <c r="AA4" s="5">
        <v>119827.52</v>
      </c>
      <c r="AB4" s="4">
        <f>+Q4-Z4</f>
        <v>0</v>
      </c>
      <c r="AC4" s="4">
        <f>ROUND(+R4-AA4,2)</f>
        <v>-5390.19</v>
      </c>
      <c r="AD4" s="140">
        <f>-AC4+'MPR Raptor'!AH58</f>
        <v>-4.5382975395114045E-3</v>
      </c>
    </row>
    <row r="5" spans="1:30" x14ac:dyDescent="0.3">
      <c r="A5" t="s">
        <v>166</v>
      </c>
      <c r="B5" s="266">
        <v>36741</v>
      </c>
      <c r="C5" s="266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37">
        <v>1276383</v>
      </c>
      <c r="I5" s="4">
        <f t="shared" si="0"/>
        <v>67648299.25</v>
      </c>
      <c r="J5" s="260">
        <v>36907</v>
      </c>
      <c r="K5" s="69">
        <f>+M5/L5</f>
        <v>25.265857777464394</v>
      </c>
      <c r="L5" s="3">
        <v>255276</v>
      </c>
      <c r="M5" s="4">
        <v>6449767.1100000003</v>
      </c>
      <c r="N5" s="69">
        <f>VLOOKUP(+O5,StkPrices,+'Stock Prices'!D$2)</f>
        <v>19.4375</v>
      </c>
      <c r="O5" s="260">
        <f>+Summary!$C$5</f>
        <v>36934</v>
      </c>
      <c r="P5" s="4">
        <f>IF(O5&lt;B5,0,ROUND((+N5*(H5-IF(J5&gt;O5-1,0,L5))),2)-ROUND(((H5-IF(J5&gt;O5-1,0,L5))*G5),2))</f>
        <v>-34270903.890000001</v>
      </c>
      <c r="Q5" s="4">
        <f>IF(J5&lt;(O5+1),(+K5-G5)*L5,0)</f>
        <v>-7079860.9399998812</v>
      </c>
      <c r="R5" s="5">
        <f>+P5+Q5</f>
        <v>-41350764.829999879</v>
      </c>
      <c r="S5" s="4">
        <f>IF(J5&lt;O5,+Q5,0)</f>
        <v>-7079860.9399998812</v>
      </c>
      <c r="T5" s="4">
        <f>IF(Summary!$E$5&lt;'Daily Position'!B5,0,ROUND(+U5*(H5-L5),2)+M5-I5)</f>
        <v>-40776392.140000001</v>
      </c>
      <c r="U5" s="2">
        <f>+VLOOKUP(+Summary!$E$5,StkPrices,+'Stock Prices'!D$2)</f>
        <v>20</v>
      </c>
      <c r="V5" s="2"/>
      <c r="W5" s="140">
        <f>+N5*(H5-L5)-'MPR Raptor'!U29</f>
        <v>0</v>
      </c>
      <c r="X5" s="213"/>
      <c r="Z5" s="4">
        <v>0</v>
      </c>
      <c r="AA5" s="5">
        <v>-39647647.189999998</v>
      </c>
      <c r="AB5" s="4">
        <f t="shared" ref="AB5:AB13" si="2">+Q5-Z5</f>
        <v>-7079860.9399998812</v>
      </c>
      <c r="AC5" s="4">
        <f t="shared" ref="AC5:AC13" si="3">ROUND(+R5-AA5,2)</f>
        <v>-1703117.64</v>
      </c>
      <c r="AD5" s="140">
        <f>'MPR Raptor'!AH29-AC5</f>
        <v>0</v>
      </c>
    </row>
    <row r="6" spans="1:30" x14ac:dyDescent="0.3">
      <c r="A6" t="s">
        <v>13</v>
      </c>
      <c r="B6" s="266">
        <v>36741</v>
      </c>
      <c r="C6" s="266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260">
        <v>36902</v>
      </c>
      <c r="K6" s="69">
        <f>+M6/L6</f>
        <v>30.438980000000001</v>
      </c>
      <c r="L6" s="3">
        <v>1000</v>
      </c>
      <c r="M6" s="4">
        <v>30438.98</v>
      </c>
      <c r="N6" s="69">
        <f>VLOOKUP(+O6,StkPrices,+'Stock Prices'!C$2)</f>
        <v>23.875</v>
      </c>
      <c r="O6" s="260">
        <f>+Summary!$C$5</f>
        <v>36934</v>
      </c>
      <c r="P6" s="4">
        <f>IF(O6&lt;B6,0,ROUND((+N6*(H6-IF(J6&gt;O6-1,0,L6))),2)-ROUND(((H6-IF(J6&gt;O6-1,0,L6))*G6),2))</f>
        <v>-151437554.25</v>
      </c>
      <c r="Q6" s="4">
        <f>IF(J6&lt;(O6+1),(+K6-G6)*L6,0)</f>
        <v>-132061.01999999999</v>
      </c>
      <c r="R6" s="5">
        <f>+P6+Q6</f>
        <v>-151569615.27000001</v>
      </c>
      <c r="S6" s="4">
        <f>IF(J6&lt;O6,+Q6,0)</f>
        <v>-132061.01999999999</v>
      </c>
      <c r="T6" s="4">
        <f>IF(Summary!$E$5&lt;'Daily Position'!B6,0,ROUND(+U6*(H6-L6),2)+M6-I6)</f>
        <v>-150272359.38999999</v>
      </c>
      <c r="U6" s="2">
        <f>+VLOOKUP(+Summary!$E$5,StkPrices,+'Stock Prices'!C$2)</f>
        <v>25.0625</v>
      </c>
      <c r="V6" s="2"/>
      <c r="W6" s="140">
        <f>+N6*(H6-L6)-'MPR Raptor'!U7</f>
        <v>0</v>
      </c>
      <c r="X6" s="213"/>
      <c r="Z6" s="4">
        <v>0</v>
      </c>
      <c r="AA6" s="5">
        <v>-150756109.75</v>
      </c>
      <c r="AB6" s="4">
        <f t="shared" si="2"/>
        <v>-132061.01999999999</v>
      </c>
      <c r="AC6" s="4">
        <f t="shared" si="3"/>
        <v>-813505.52</v>
      </c>
      <c r="AD6" s="140">
        <f>'MPR Raptor'!AH7-AC6</f>
        <v>3.3333343453705311E-3</v>
      </c>
    </row>
    <row r="7" spans="1:30" x14ac:dyDescent="0.3">
      <c r="A7" t="s">
        <v>167</v>
      </c>
      <c r="B7" s="266">
        <v>36741</v>
      </c>
      <c r="C7" s="266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VLOOKUP(+O7,StkPrices,+'Stock Prices'!G$2)</f>
        <v>5.5439673718800018</v>
      </c>
      <c r="O7" s="260">
        <f>+Summary!$C$5</f>
        <v>36934</v>
      </c>
      <c r="P7" s="4">
        <f t="shared" ref="P7:P13" si="4">IF(O7&lt;B7,0,ROUND((+N7*(H7-IF(J7&gt;O7-1,0,L7))),2)-ROUND(((H7-IF(J7&gt;O7-1,0,L7))*G7),2))</f>
        <v>210713.26</v>
      </c>
      <c r="Q7" s="4">
        <v>0</v>
      </c>
      <c r="R7" s="5">
        <f t="shared" si="1"/>
        <v>210713.26</v>
      </c>
      <c r="S7" s="4">
        <v>0</v>
      </c>
      <c r="T7" s="4">
        <f>IF(Summary!$E$5&lt;'Daily Position'!B7,0,ROUND(+U7*(H7-L7),2)+M7-I7)</f>
        <v>236205.52000000002</v>
      </c>
      <c r="U7" s="2">
        <f>+VLOOKUP(+Summary!$E$5,StkPrices,+'Stock Prices'!G$2)</f>
        <v>5.7071178057666909</v>
      </c>
      <c r="V7" s="2"/>
      <c r="W7" s="140">
        <f>+N7*H7-'MPR Raptor'!U57</f>
        <v>0</v>
      </c>
      <c r="X7" s="213"/>
      <c r="Z7" s="4">
        <v>0</v>
      </c>
      <c r="AA7" s="5">
        <v>289157.77</v>
      </c>
      <c r="AB7" s="4">
        <f t="shared" si="2"/>
        <v>0</v>
      </c>
      <c r="AC7" s="4">
        <f t="shared" si="3"/>
        <v>-78444.509999999995</v>
      </c>
      <c r="AD7" s="140">
        <f>-AC7+'MPR Raptor'!AH57</f>
        <v>4.4743873731931672E-3</v>
      </c>
    </row>
    <row r="8" spans="1:30" x14ac:dyDescent="0.3">
      <c r="A8" s="137" t="s">
        <v>505</v>
      </c>
      <c r="B8" s="266">
        <v>36741</v>
      </c>
      <c r="C8" s="266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IF(O8&gt;(X8-1),116115000,0)</f>
        <v>116115000</v>
      </c>
      <c r="N8" s="69">
        <f>VLOOKUP(+O8,StkPrices,+'Stock Prices'!L$2)</f>
        <v>14.875</v>
      </c>
      <c r="O8" s="260">
        <f>+Summary!$C$5</f>
        <v>36934</v>
      </c>
      <c r="P8" s="4">
        <f>IF(O8&lt;B8,0,ROUND((+N8*H8),2)-I8-Q8)</f>
        <v>-96193120.75</v>
      </c>
      <c r="Q8" s="4">
        <v>0</v>
      </c>
      <c r="R8" s="5">
        <f>+P8+Q8</f>
        <v>-96193120.75</v>
      </c>
      <c r="S8" s="4">
        <v>0</v>
      </c>
      <c r="T8" s="4">
        <f>IF(Summary!$E$5&lt;'Daily Position'!B8,0,ROUND(+U8*(H8-L8),2)+M8-I8)</f>
        <v>-95104950.870000005</v>
      </c>
      <c r="U8" s="2">
        <f>IF(O8&gt;X8-1,+VLOOKUP(+Summary!$E$5,StkPrices,'Stock Prices'!L2),0)</f>
        <v>15.6875</v>
      </c>
      <c r="V8" s="2"/>
      <c r="W8" s="140">
        <f>+N8*H8-'MPR Raptor'!U69</f>
        <v>0</v>
      </c>
      <c r="X8" s="1">
        <v>36874</v>
      </c>
      <c r="Y8" t="s">
        <v>506</v>
      </c>
      <c r="Z8" s="4">
        <v>0</v>
      </c>
      <c r="AA8" s="5">
        <v>-93012316.5</v>
      </c>
      <c r="AB8" s="4">
        <f t="shared" si="2"/>
        <v>0</v>
      </c>
      <c r="AC8" s="4">
        <f t="shared" si="3"/>
        <v>-3180804.25</v>
      </c>
      <c r="AD8" s="140">
        <f>-AC8+'MPR Raptor'!AH69</f>
        <v>0</v>
      </c>
    </row>
    <row r="9" spans="1:30" x14ac:dyDescent="0.3">
      <c r="A9" t="s">
        <v>169</v>
      </c>
      <c r="B9" s="266">
        <v>36741</v>
      </c>
      <c r="C9" s="266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VLOOKUP(+O9,StkPrices,+'Stock Prices'!J$2)</f>
        <v>5.625</v>
      </c>
      <c r="O9" s="260">
        <f>+Summary!$C$5</f>
        <v>36934</v>
      </c>
      <c r="P9" s="4">
        <f t="shared" si="4"/>
        <v>-14972.75</v>
      </c>
      <c r="Q9" s="4">
        <v>0</v>
      </c>
      <c r="R9" s="5">
        <f t="shared" si="1"/>
        <v>-14972.75</v>
      </c>
      <c r="S9" s="4">
        <v>0</v>
      </c>
      <c r="T9" s="4">
        <f>IF(Summary!$E$5&lt;'Daily Position'!B9,0,ROUND(+U9*(H9-L9),2)+M9-I9)</f>
        <v>-26202.320000000007</v>
      </c>
      <c r="U9" s="2">
        <f>+VLOOKUP(+Summary!$E$5,StkPrices,+'Stock Prices'!J$2)</f>
        <v>5.4375</v>
      </c>
      <c r="V9" s="2"/>
      <c r="W9" s="140">
        <f>+N9*H9-'MPR Raptor'!U68</f>
        <v>0</v>
      </c>
      <c r="X9" s="213"/>
      <c r="Z9" s="4">
        <v>0</v>
      </c>
      <c r="AA9" s="5">
        <v>-82350.13</v>
      </c>
      <c r="AB9" s="4">
        <f t="shared" si="2"/>
        <v>0</v>
      </c>
      <c r="AC9" s="4">
        <f t="shared" si="3"/>
        <v>67377.38</v>
      </c>
      <c r="AD9" s="140">
        <f>-AC9+'MPR Raptor'!AH68</f>
        <v>-5.0000000046566129E-3</v>
      </c>
    </row>
    <row r="10" spans="1:30" x14ac:dyDescent="0.3">
      <c r="A10" t="s">
        <v>426</v>
      </c>
      <c r="B10" s="266">
        <v>36741</v>
      </c>
      <c r="C10" s="266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0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VLOOKUP(+O10,StkPrices,+'Stock Prices'!E$2)</f>
        <v>0</v>
      </c>
      <c r="O10" s="260">
        <f>+Summary!$C$5</f>
        <v>36934</v>
      </c>
      <c r="P10" s="4">
        <f t="shared" si="4"/>
        <v>0</v>
      </c>
      <c r="Q10" s="4">
        <f>IF(J10&lt;(O10+1),(+K10-G10)*L10,0)</f>
        <v>186715.35465116202</v>
      </c>
      <c r="R10" s="5">
        <f t="shared" si="1"/>
        <v>186715.35465116202</v>
      </c>
      <c r="S10" s="4">
        <f>IF(J10&lt;O10,+Q10,0)</f>
        <v>186715.35465116202</v>
      </c>
      <c r="T10" s="4">
        <f>IF(Summary!$E$5&lt;'Daily Position'!B10,0,ROUND(+U10*(H10-L10),2)+M10-I10)</f>
        <v>186715.35465116217</v>
      </c>
      <c r="U10" s="2">
        <f>IF(X10&gt;O9,+VLOOKUP(+Summary!$E$5,StkPrices,'Stock Prices'!E2),+'Stock Prices'!E76)</f>
        <v>1.9379844961240309</v>
      </c>
      <c r="V10" s="2"/>
      <c r="W10" s="140"/>
      <c r="X10" s="270"/>
      <c r="Z10" s="4">
        <v>186715.35465116202</v>
      </c>
      <c r="AA10" s="5">
        <v>186715.35465116217</v>
      </c>
      <c r="AB10" s="4">
        <f t="shared" si="2"/>
        <v>0</v>
      </c>
      <c r="AC10" s="4">
        <f t="shared" si="3"/>
        <v>0</v>
      </c>
      <c r="AD10" s="140">
        <f>-AC10</f>
        <v>0</v>
      </c>
    </row>
    <row r="11" spans="1:30" x14ac:dyDescent="0.3">
      <c r="A11" t="s">
        <v>511</v>
      </c>
      <c r="B11" s="266">
        <v>36741</v>
      </c>
      <c r="C11" s="266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0"/>
      <c r="K11" s="69"/>
      <c r="L11" s="3"/>
      <c r="N11" s="69">
        <f>VLOOKUP(+O11,StkPrices,+'Stock Prices'!F$2)</f>
        <v>8.375</v>
      </c>
      <c r="O11" s="260">
        <f>+Summary!$C$5</f>
        <v>36934</v>
      </c>
      <c r="P11" s="4">
        <f t="shared" si="4"/>
        <v>-57410.130000000005</v>
      </c>
      <c r="Q11" s="4">
        <f>IF(J11&lt;(O11+1),(+K11-G11)*L11,0)</f>
        <v>0</v>
      </c>
      <c r="R11" s="5">
        <f t="shared" si="1"/>
        <v>-57410.130000000005</v>
      </c>
      <c r="S11" s="4">
        <f>IF(J11&lt;O11,+Q11,0)</f>
        <v>0</v>
      </c>
      <c r="T11" s="4">
        <f>IF(Summary!$E$5&lt;'Daily Position'!B11,0,ROUND(+U11*(H11-L11),2)+M11-I11)</f>
        <v>-58676.960000000006</v>
      </c>
      <c r="U11" s="2">
        <f>IF(O11=(X11+1),+'Stock Prices'!F65/(229391/12234952),+VLOOKUP(+Summary!$E$5,StkPrices,'Stock Prices'!F2))</f>
        <v>8.25</v>
      </c>
      <c r="V11" s="2"/>
      <c r="W11" s="140">
        <f>+N11*(H11+H12-L11-L12)-'MPR Raptor'!U46</f>
        <v>0</v>
      </c>
      <c r="X11" s="270">
        <v>36824</v>
      </c>
      <c r="Y11" s="3" t="s">
        <v>510</v>
      </c>
      <c r="Z11" s="4">
        <v>0</v>
      </c>
      <c r="AA11" s="5">
        <v>-62477.43</v>
      </c>
      <c r="AB11" s="4">
        <f t="shared" si="2"/>
        <v>0</v>
      </c>
      <c r="AC11" s="4">
        <f t="shared" si="3"/>
        <v>5067.3</v>
      </c>
      <c r="AD11" s="140">
        <f>-AC11+'MPR Raptor'!AH46</f>
        <v>2.382876118645072E-10</v>
      </c>
    </row>
    <row r="12" spans="1:30" x14ac:dyDescent="0.3">
      <c r="A12" t="s">
        <v>512</v>
      </c>
      <c r="B12" s="266">
        <v>36741</v>
      </c>
      <c r="C12" s="266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0">
        <v>36874</v>
      </c>
      <c r="K12" s="69">
        <f>+M12/L12</f>
        <v>6.9997647058823533</v>
      </c>
      <c r="L12" s="3">
        <v>127500</v>
      </c>
      <c r="M12" s="4">
        <v>892470</v>
      </c>
      <c r="N12" s="69">
        <f>VLOOKUP(+O12,StkPrices,+'Stock Prices'!F$2)</f>
        <v>8.375</v>
      </c>
      <c r="O12" s="260">
        <f>+Summary!$C$5</f>
        <v>36934</v>
      </c>
      <c r="P12" s="4">
        <f t="shared" si="4"/>
        <v>0</v>
      </c>
      <c r="Q12" s="4">
        <f>IF(J12&lt;(O12+1),(+K12-G12)*L12,0)</f>
        <v>374070.00000000012</v>
      </c>
      <c r="R12" s="5">
        <f>+P12+Q12</f>
        <v>374070.00000000012</v>
      </c>
      <c r="S12" s="4">
        <f>IF(J12&lt;O12,+Q12,0)</f>
        <v>374070.00000000012</v>
      </c>
      <c r="T12" s="4">
        <f>IF(Summary!$E$5&lt;'Daily Position'!B12,0,ROUND(+U12*(H12-L12),2)+M12-I12)</f>
        <v>374070</v>
      </c>
      <c r="U12" s="2">
        <f>IF(O12=(X12+1),+'Stock Prices'!F66/(229391/12234952),+VLOOKUP(+Summary!$E$5,StkPrices,'Stock Prices'!F2))</f>
        <v>8.25</v>
      </c>
      <c r="V12" s="2"/>
      <c r="W12" s="140"/>
      <c r="X12" s="270">
        <v>36824</v>
      </c>
      <c r="Y12" s="3" t="s">
        <v>510</v>
      </c>
      <c r="Z12" s="4">
        <v>374070</v>
      </c>
      <c r="AA12" s="5">
        <v>374070</v>
      </c>
      <c r="AB12" s="4">
        <f t="shared" si="2"/>
        <v>0</v>
      </c>
      <c r="AC12" s="4">
        <f t="shared" si="3"/>
        <v>0</v>
      </c>
      <c r="AD12" s="140">
        <f>-AC12</f>
        <v>0</v>
      </c>
    </row>
    <row r="13" spans="1:30" x14ac:dyDescent="0.3">
      <c r="A13" t="s">
        <v>170</v>
      </c>
      <c r="B13" s="266">
        <v>36741</v>
      </c>
      <c r="C13" s="266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0">
        <v>36868</v>
      </c>
      <c r="K13" s="69">
        <f>+M13/L13</f>
        <v>6.7199995523740954</v>
      </c>
      <c r="L13" s="3">
        <f>+H13</f>
        <v>804243</v>
      </c>
      <c r="M13" s="4">
        <v>5404512.5999999996</v>
      </c>
      <c r="N13" s="69">
        <f>VLOOKUP(+O13,StkPrices,+'Stock Prices'!K$2)</f>
        <v>0</v>
      </c>
      <c r="O13" s="260">
        <f>+Summary!$C$5</f>
        <v>36934</v>
      </c>
      <c r="P13" s="4">
        <f t="shared" si="4"/>
        <v>0</v>
      </c>
      <c r="Q13" s="4">
        <f>IF(J13&lt;(O13+1),(+K13-G13)*L13,0)</f>
        <v>-727840.27500000037</v>
      </c>
      <c r="R13" s="5">
        <f t="shared" si="1"/>
        <v>-727840.27500000037</v>
      </c>
      <c r="S13" s="4">
        <f>IF(J13&lt;O13,+Q13,0)</f>
        <v>-727840.27500000037</v>
      </c>
      <c r="T13" s="4">
        <f>IF(Summary!$E$5&lt;'Daily Position'!B13,0,ROUND(+U13*(H13-L13),2)+M13-I13)</f>
        <v>-727840.28000000026</v>
      </c>
      <c r="U13" s="2">
        <f>+VLOOKUP(+Summary!$E$5,StkPrices,+'Stock Prices'!K$2)</f>
        <v>0</v>
      </c>
      <c r="V13" s="2"/>
      <c r="W13" s="140"/>
      <c r="X13" s="270"/>
      <c r="Z13" s="4">
        <v>-727840.27500000037</v>
      </c>
      <c r="AA13" s="5">
        <v>-727840.28</v>
      </c>
      <c r="AB13" s="4">
        <f t="shared" si="2"/>
        <v>0</v>
      </c>
      <c r="AC13" s="4">
        <f t="shared" si="3"/>
        <v>0</v>
      </c>
      <c r="AD13" s="140">
        <f>-AC13</f>
        <v>0</v>
      </c>
    </row>
    <row r="14" spans="1:30" x14ac:dyDescent="0.3">
      <c r="N14" s="2"/>
      <c r="P14" s="4"/>
      <c r="Q14" s="4"/>
      <c r="R14" s="5"/>
      <c r="T14" s="4"/>
      <c r="U14" s="4"/>
      <c r="V14" s="4"/>
      <c r="AA14" s="5"/>
      <c r="AC14" s="4"/>
    </row>
    <row r="15" spans="1:30" x14ac:dyDescent="0.3">
      <c r="A15" s="135" t="s">
        <v>179</v>
      </c>
      <c r="N15" s="2"/>
      <c r="P15" s="4"/>
      <c r="Q15" s="4"/>
      <c r="R15" s="5"/>
      <c r="T15" s="4"/>
      <c r="U15" s="4"/>
      <c r="V15" s="4"/>
      <c r="AA15" s="5"/>
      <c r="AC15" s="4"/>
    </row>
    <row r="16" spans="1:30" x14ac:dyDescent="0.3">
      <c r="A16" s="214" t="s">
        <v>469</v>
      </c>
      <c r="B16" s="266">
        <v>36741</v>
      </c>
      <c r="C16" s="266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0">
        <f>+Summary!$C$5</f>
        <v>36934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2">
        <v>2</v>
      </c>
      <c r="W16" s="140">
        <f>+N16-'MPR Raptor'!U63+'Private Cash'!B375</f>
        <v>0</v>
      </c>
      <c r="Z16" s="4">
        <v>0</v>
      </c>
      <c r="AA16" s="5">
        <v>0</v>
      </c>
      <c r="AB16" s="4">
        <f>+Q16-Z16</f>
        <v>0</v>
      </c>
      <c r="AC16" s="4">
        <f>ROUND(+R16-AA16,2)</f>
        <v>0</v>
      </c>
      <c r="AD16" s="140">
        <f>-AC16+'MPR Raptor'!AH63</f>
        <v>0</v>
      </c>
    </row>
    <row r="17" spans="1:30" x14ac:dyDescent="0.3">
      <c r="A17" s="137" t="s">
        <v>218</v>
      </c>
      <c r="B17" s="266">
        <v>36741</v>
      </c>
      <c r="C17" s="266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5">VLOOKUP(+O17,Privates,V17)</f>
        <v>4375178.6900000004</v>
      </c>
      <c r="O17" s="260">
        <f>+Summary!$C$5</f>
        <v>36934</v>
      </c>
      <c r="P17" s="4">
        <f t="shared" ref="P17:P47" si="6">IF(O17&lt;B17,0,(+N17-I17-Q17))</f>
        <v>-188421.30999999959</v>
      </c>
      <c r="Q17" s="4">
        <v>0</v>
      </c>
      <c r="R17" s="5">
        <f t="shared" ref="R17:R46" si="7">+P17+Q17</f>
        <v>-188421.30999999959</v>
      </c>
      <c r="S17" s="4">
        <v>0</v>
      </c>
      <c r="T17" s="4">
        <f>+U17-I17</f>
        <v>-188421.30999999959</v>
      </c>
      <c r="U17" s="4">
        <f>VLOOKUP(+Summary!$E$5,Privates,V17)</f>
        <v>4375178.6900000004</v>
      </c>
      <c r="V17" s="232">
        <f>+V16+1</f>
        <v>3</v>
      </c>
      <c r="W17" s="140">
        <f>+N17-'MPR Raptor'!U10+'Private Cash'!C375</f>
        <v>0</v>
      </c>
      <c r="Z17" s="4">
        <v>0</v>
      </c>
      <c r="AA17" s="5">
        <v>-188421.31</v>
      </c>
      <c r="AB17" s="4">
        <f t="shared" ref="AB17:AB47" si="8">+Q17-Z17</f>
        <v>0</v>
      </c>
      <c r="AC17" s="4">
        <f t="shared" ref="AC17:AC47" si="9">ROUND(+R17-AA17,2)</f>
        <v>0</v>
      </c>
      <c r="AD17" s="140">
        <f>'MPR Raptor'!AH10-AC17</f>
        <v>0</v>
      </c>
    </row>
    <row r="18" spans="1:30" x14ac:dyDescent="0.3">
      <c r="A18" s="137" t="s">
        <v>440</v>
      </c>
      <c r="B18" s="266">
        <v>36741</v>
      </c>
      <c r="C18" s="266">
        <v>37836</v>
      </c>
      <c r="D18" s="77" t="s">
        <v>17</v>
      </c>
      <c r="E18" s="4">
        <v>0</v>
      </c>
      <c r="F18" s="77" t="s">
        <v>18</v>
      </c>
      <c r="I18" s="4">
        <v>2136334</v>
      </c>
      <c r="J18" s="260"/>
      <c r="K18" s="69"/>
      <c r="L18" s="3"/>
      <c r="N18" s="4">
        <f t="shared" si="5"/>
        <v>1247943.5</v>
      </c>
      <c r="O18" s="260">
        <f>+Summary!$C$5</f>
        <v>36934</v>
      </c>
      <c r="P18" s="4">
        <f t="shared" si="6"/>
        <v>-888390.5</v>
      </c>
      <c r="Q18" s="4">
        <v>0</v>
      </c>
      <c r="R18" s="5">
        <f>+P18+Q18</f>
        <v>-888390.5</v>
      </c>
      <c r="S18" s="4">
        <v>0</v>
      </c>
      <c r="T18" s="4">
        <f>+U18-I18</f>
        <v>-888390.5</v>
      </c>
      <c r="U18" s="4">
        <f>VLOOKUP(+Summary!$E$5,Privates,V18)-'Private Cash'!D375</f>
        <v>1247943.5</v>
      </c>
      <c r="V18" s="232">
        <f t="shared" ref="V18:V47" si="10">+V17+1</f>
        <v>4</v>
      </c>
      <c r="W18" s="140">
        <f>+N18-'MPR Raptor'!U41-'MPR Raptor'!U42+'Private Cash'!D375</f>
        <v>0</v>
      </c>
      <c r="Z18" s="4">
        <v>0</v>
      </c>
      <c r="AA18" s="5">
        <v>-713159.63</v>
      </c>
      <c r="AB18" s="4">
        <f t="shared" si="8"/>
        <v>0</v>
      </c>
      <c r="AC18" s="4">
        <f t="shared" si="9"/>
        <v>-175230.87</v>
      </c>
      <c r="AD18" s="140">
        <f>-AC18+'MPR Raptor'!AH41+'MPR Raptor'!AH42</f>
        <v>0.29999999998835847</v>
      </c>
    </row>
    <row r="19" spans="1:30" x14ac:dyDescent="0.3">
      <c r="A19" s="137" t="s">
        <v>219</v>
      </c>
      <c r="B19" s="266">
        <v>36741</v>
      </c>
      <c r="C19" s="266">
        <v>37836</v>
      </c>
      <c r="D19" s="77" t="s">
        <v>17</v>
      </c>
      <c r="E19" s="4">
        <v>0</v>
      </c>
      <c r="F19" s="77" t="s">
        <v>18</v>
      </c>
      <c r="I19" s="4">
        <v>429975</v>
      </c>
      <c r="J19" s="260">
        <v>36888</v>
      </c>
      <c r="K19" s="69" t="s">
        <v>508</v>
      </c>
      <c r="L19" s="3"/>
      <c r="M19" s="4">
        <f>-'Private Cash'!E375</f>
        <v>372147.13</v>
      </c>
      <c r="N19" s="4">
        <f t="shared" si="5"/>
        <v>0</v>
      </c>
      <c r="O19" s="260">
        <f>+Summary!$C$5</f>
        <v>36934</v>
      </c>
      <c r="P19" s="4">
        <f>IF(O19&lt;B19,0,IF(O19+1&gt;J19,0,(+N19-I19-Q19)))</f>
        <v>0</v>
      </c>
      <c r="Q19" s="4">
        <f>IF(O19+1&gt;J19,+M19-I19,0)</f>
        <v>-57827.869999999995</v>
      </c>
      <c r="R19" s="5">
        <f t="shared" si="7"/>
        <v>-57827.869999999995</v>
      </c>
      <c r="S19" s="4">
        <f>IF(O19&gt;J19,+Q19,0)</f>
        <v>-57827.869999999995</v>
      </c>
      <c r="T19" s="4">
        <f>+U19-I19</f>
        <v>-57827.869999999995</v>
      </c>
      <c r="U19" s="4">
        <f>VLOOKUP(+Summary!$E$5,Privates,V19)-'Private Cash'!E375</f>
        <v>372147.13</v>
      </c>
      <c r="V19" s="232">
        <f t="shared" si="10"/>
        <v>5</v>
      </c>
      <c r="W19" s="140"/>
      <c r="Z19" s="4">
        <v>-57827.87</v>
      </c>
      <c r="AA19" s="5">
        <v>-57827.87</v>
      </c>
      <c r="AB19" s="4">
        <f t="shared" si="8"/>
        <v>0</v>
      </c>
      <c r="AC19" s="4">
        <f t="shared" si="9"/>
        <v>0</v>
      </c>
      <c r="AD19" s="140">
        <f>-AC19</f>
        <v>0</v>
      </c>
    </row>
    <row r="20" spans="1:30" x14ac:dyDescent="0.3">
      <c r="A20" s="137" t="s">
        <v>220</v>
      </c>
      <c r="B20" s="266">
        <v>36741</v>
      </c>
      <c r="C20" s="266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0">
        <v>36831</v>
      </c>
      <c r="K20" s="69" t="s">
        <v>508</v>
      </c>
      <c r="L20" s="3"/>
      <c r="M20" s="4">
        <f>12500000+65507.43+3.57</f>
        <v>12565511</v>
      </c>
      <c r="N20" s="4">
        <f t="shared" si="5"/>
        <v>0</v>
      </c>
      <c r="O20" s="260">
        <f>+Summary!$C$5</f>
        <v>36934</v>
      </c>
      <c r="P20" s="4">
        <f>IF(O20&lt;B20,0,IF(O20+1&gt;J20,0,(+N20-I20-Q20)))</f>
        <v>0</v>
      </c>
      <c r="Q20" s="4">
        <f>IF(O20+1&gt;J20,+M20-I20,0)</f>
        <v>65511</v>
      </c>
      <c r="R20" s="5">
        <f t="shared" si="7"/>
        <v>65511</v>
      </c>
      <c r="S20" s="4">
        <f>IF(O20&gt;J20,+Q20,0)</f>
        <v>65511</v>
      </c>
      <c r="T20" s="4">
        <f>+U20-I20</f>
        <v>65511</v>
      </c>
      <c r="U20" s="4">
        <f>VLOOKUP(+Summary!$E$5,Privates,V20)-'Private Cash'!F375</f>
        <v>12565511</v>
      </c>
      <c r="V20" s="232">
        <f t="shared" si="10"/>
        <v>6</v>
      </c>
      <c r="W20" s="140"/>
      <c r="X20" s="1"/>
      <c r="Z20" s="4">
        <v>65511</v>
      </c>
      <c r="AA20" s="5">
        <v>65511</v>
      </c>
      <c r="AB20" s="4">
        <f t="shared" si="8"/>
        <v>0</v>
      </c>
      <c r="AC20" s="4">
        <f t="shared" si="9"/>
        <v>0</v>
      </c>
      <c r="AD20" s="140">
        <f>-AC20</f>
        <v>0</v>
      </c>
    </row>
    <row r="21" spans="1:30" x14ac:dyDescent="0.3">
      <c r="A21" s="137" t="s">
        <v>504</v>
      </c>
      <c r="B21" s="266">
        <v>36741</v>
      </c>
      <c r="C21" s="266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5"/>
        <v>0</v>
      </c>
      <c r="O21" s="260">
        <f>+Summary!$C$5</f>
        <v>36934</v>
      </c>
      <c r="P21" s="4">
        <f t="shared" si="6"/>
        <v>0</v>
      </c>
      <c r="Q21" s="4">
        <v>0</v>
      </c>
      <c r="R21" s="5">
        <f t="shared" si="7"/>
        <v>0</v>
      </c>
      <c r="S21" s="4">
        <v>0</v>
      </c>
      <c r="T21" s="4">
        <f t="shared" ref="T21:T47" si="11">+U21-I21</f>
        <v>0</v>
      </c>
      <c r="U21" s="4">
        <f>VLOOKUP(+Summary!$E$5,Privates,V21)</f>
        <v>0</v>
      </c>
      <c r="V21" s="232">
        <f t="shared" si="10"/>
        <v>7</v>
      </c>
      <c r="W21" s="140"/>
      <c r="X21" s="1">
        <v>36874</v>
      </c>
      <c r="Y21" t="s">
        <v>506</v>
      </c>
      <c r="Z21" s="4">
        <v>0</v>
      </c>
      <c r="AA21" s="5">
        <v>0</v>
      </c>
      <c r="AB21" s="4">
        <f t="shared" si="8"/>
        <v>0</v>
      </c>
      <c r="AC21" s="4">
        <f t="shared" si="9"/>
        <v>0</v>
      </c>
      <c r="AD21" s="140">
        <f>-AC21</f>
        <v>0</v>
      </c>
    </row>
    <row r="22" spans="1:30" x14ac:dyDescent="0.3">
      <c r="A22" s="137" t="s">
        <v>221</v>
      </c>
      <c r="B22" s="266">
        <v>36741</v>
      </c>
      <c r="C22" s="266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5"/>
        <v>1663000</v>
      </c>
      <c r="O22" s="260">
        <f>+Summary!$C$5</f>
        <v>36934</v>
      </c>
      <c r="P22" s="4">
        <f t="shared" si="6"/>
        <v>0</v>
      </c>
      <c r="Q22" s="4">
        <v>0</v>
      </c>
      <c r="R22" s="5">
        <f t="shared" si="7"/>
        <v>0</v>
      </c>
      <c r="S22" s="4">
        <v>0</v>
      </c>
      <c r="T22" s="4">
        <f t="shared" si="11"/>
        <v>0</v>
      </c>
      <c r="U22" s="4">
        <f>VLOOKUP(+Summary!$E$5,Privates,V22)</f>
        <v>1663000</v>
      </c>
      <c r="V22" s="232">
        <f t="shared" si="10"/>
        <v>8</v>
      </c>
      <c r="W22" s="140">
        <f>+N22-'MPR Raptor'!U64+'Private Cash'!H375</f>
        <v>0</v>
      </c>
      <c r="Z22" s="4">
        <v>0</v>
      </c>
      <c r="AA22" s="5">
        <v>0</v>
      </c>
      <c r="AB22" s="4">
        <f t="shared" si="8"/>
        <v>0</v>
      </c>
      <c r="AC22" s="4">
        <f t="shared" si="9"/>
        <v>0</v>
      </c>
      <c r="AD22" s="140">
        <f>-AC22+'MPR Raptor'!AH64</f>
        <v>0</v>
      </c>
    </row>
    <row r="23" spans="1:30" x14ac:dyDescent="0.3">
      <c r="A23" t="s">
        <v>465</v>
      </c>
      <c r="B23" s="266">
        <v>36741</v>
      </c>
      <c r="C23" s="266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5"/>
        <v>0</v>
      </c>
      <c r="O23" s="260">
        <f>+Summary!$C$5</f>
        <v>36934</v>
      </c>
      <c r="P23" s="4">
        <f t="shared" si="6"/>
        <v>-12878050</v>
      </c>
      <c r="Q23" s="4">
        <v>0</v>
      </c>
      <c r="R23" s="5">
        <f t="shared" si="7"/>
        <v>-12878050</v>
      </c>
      <c r="S23" s="4">
        <v>0</v>
      </c>
      <c r="T23" s="4">
        <f t="shared" si="11"/>
        <v>-12878050</v>
      </c>
      <c r="U23" s="4">
        <f>VLOOKUP(+Summary!$E$5,Privates,V23)</f>
        <v>0</v>
      </c>
      <c r="V23" s="232">
        <f t="shared" si="10"/>
        <v>9</v>
      </c>
      <c r="W23" s="140">
        <f>+N23-'MPR Raptor'!U48+'Private Cash'!I375</f>
        <v>0</v>
      </c>
      <c r="Z23" s="4">
        <v>0</v>
      </c>
      <c r="AA23" s="5">
        <v>-12878050</v>
      </c>
      <c r="AB23" s="4">
        <f t="shared" si="8"/>
        <v>0</v>
      </c>
      <c r="AC23" s="4">
        <f t="shared" si="9"/>
        <v>0</v>
      </c>
      <c r="AD23" s="140">
        <f>-AC23+'MPR Raptor'!AH48</f>
        <v>0</v>
      </c>
    </row>
    <row r="24" spans="1:30" x14ac:dyDescent="0.3">
      <c r="A24" s="137" t="s">
        <v>222</v>
      </c>
      <c r="B24" s="266">
        <v>36741</v>
      </c>
      <c r="C24" s="266">
        <v>37836</v>
      </c>
      <c r="D24" s="77" t="s">
        <v>17</v>
      </c>
      <c r="E24" s="4">
        <v>0</v>
      </c>
      <c r="F24" s="77" t="s">
        <v>18</v>
      </c>
      <c r="I24" s="4">
        <v>1012500</v>
      </c>
      <c r="J24" s="260">
        <v>36889</v>
      </c>
      <c r="K24" s="69" t="s">
        <v>508</v>
      </c>
      <c r="L24" s="3"/>
      <c r="M24" s="4">
        <f>-'Private Cash'!J375</f>
        <v>125000</v>
      </c>
      <c r="N24" s="4">
        <f t="shared" si="5"/>
        <v>0</v>
      </c>
      <c r="O24" s="260">
        <f>+Summary!$C$5</f>
        <v>36934</v>
      </c>
      <c r="P24" s="4">
        <f>IF(O24&lt;B24,0,IF(O24+1&gt;J24,0,(+N24-I24-Q24)))</f>
        <v>0</v>
      </c>
      <c r="Q24" s="4">
        <f>IF(O24+1&gt;J24,+M24-I24,0)</f>
        <v>-887500</v>
      </c>
      <c r="R24" s="5">
        <f t="shared" si="7"/>
        <v>-887500</v>
      </c>
      <c r="S24" s="4">
        <f>IF(O24&gt;J24,+Q24,0)</f>
        <v>-887500</v>
      </c>
      <c r="T24" s="4">
        <f t="shared" si="11"/>
        <v>-887500</v>
      </c>
      <c r="U24" s="4">
        <f>VLOOKUP(+Summary!$E$5,Privates,V24)-'Private Cash'!J375</f>
        <v>125000</v>
      </c>
      <c r="V24" s="232">
        <f t="shared" si="10"/>
        <v>10</v>
      </c>
      <c r="W24" s="140"/>
      <c r="Z24" s="4">
        <v>-887500</v>
      </c>
      <c r="AA24" s="5">
        <v>-887500</v>
      </c>
      <c r="AB24" s="4">
        <f t="shared" si="8"/>
        <v>0</v>
      </c>
      <c r="AC24" s="4">
        <f t="shared" si="9"/>
        <v>0</v>
      </c>
      <c r="AD24" s="140">
        <f>+AC24</f>
        <v>0</v>
      </c>
    </row>
    <row r="25" spans="1:30" x14ac:dyDescent="0.3">
      <c r="A25" s="137" t="s">
        <v>455</v>
      </c>
      <c r="B25" s="266">
        <v>36741</v>
      </c>
      <c r="C25" s="266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5"/>
        <v>2.8312206268310547E-7</v>
      </c>
      <c r="O25" s="260">
        <f>+Summary!$C$5</f>
        <v>36934</v>
      </c>
      <c r="P25" s="4">
        <f t="shared" si="6"/>
        <v>-23507914.999999717</v>
      </c>
      <c r="Q25" s="4">
        <v>0</v>
      </c>
      <c r="R25" s="5">
        <f t="shared" si="7"/>
        <v>-23507914.999999717</v>
      </c>
      <c r="S25" s="4">
        <v>0</v>
      </c>
      <c r="T25" s="4">
        <f t="shared" si="11"/>
        <v>-23507914.999999717</v>
      </c>
      <c r="U25" s="4">
        <f>VLOOKUP(+Summary!$E$5,Privates,V25)</f>
        <v>2.8312206268310547E-7</v>
      </c>
      <c r="V25" s="232">
        <f t="shared" si="10"/>
        <v>11</v>
      </c>
      <c r="W25" s="140">
        <f>+N25-'MPR Raptor'!U43+'Private Cash'!K375</f>
        <v>0</v>
      </c>
      <c r="Z25" s="4">
        <v>0</v>
      </c>
      <c r="AA25" s="5">
        <v>2.123415470123291E-7</v>
      </c>
      <c r="AB25" s="4">
        <f t="shared" si="8"/>
        <v>0</v>
      </c>
      <c r="AC25" s="4">
        <f t="shared" si="9"/>
        <v>-23507915</v>
      </c>
      <c r="AD25" s="140">
        <f>-AC25+'MPR Raptor'!AH43</f>
        <v>0</v>
      </c>
    </row>
    <row r="26" spans="1:30" x14ac:dyDescent="0.3">
      <c r="A26" s="137" t="s">
        <v>428</v>
      </c>
      <c r="B26" s="266">
        <v>36741</v>
      </c>
      <c r="C26" s="266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5"/>
        <v>0</v>
      </c>
      <c r="O26" s="260">
        <f>+Summary!$C$5</f>
        <v>36934</v>
      </c>
      <c r="P26" s="4">
        <f t="shared" si="6"/>
        <v>-10372212</v>
      </c>
      <c r="Q26" s="4">
        <v>0</v>
      </c>
      <c r="R26" s="5">
        <f>+P26+Q26</f>
        <v>-10372212</v>
      </c>
      <c r="S26" s="4">
        <v>0</v>
      </c>
      <c r="T26" s="4">
        <f t="shared" si="11"/>
        <v>-10372212</v>
      </c>
      <c r="U26" s="4">
        <f>VLOOKUP(+Summary!$E$5,Privates,V26)</f>
        <v>0</v>
      </c>
      <c r="V26" s="232">
        <f t="shared" si="10"/>
        <v>12</v>
      </c>
      <c r="W26" s="140">
        <f>+N26-'MPR Raptor'!U44+'Private Cash'!L375</f>
        <v>0</v>
      </c>
      <c r="Z26" s="4">
        <v>0</v>
      </c>
      <c r="AA26" s="5">
        <v>0</v>
      </c>
      <c r="AB26" s="4">
        <f t="shared" si="8"/>
        <v>0</v>
      </c>
      <c r="AC26" s="4">
        <f t="shared" si="9"/>
        <v>-10372212</v>
      </c>
      <c r="AD26" s="140">
        <f>-AC26+'MPR Raptor'!AH44</f>
        <v>0</v>
      </c>
    </row>
    <row r="27" spans="1:30" x14ac:dyDescent="0.3">
      <c r="A27" s="137" t="s">
        <v>456</v>
      </c>
      <c r="B27" s="266">
        <v>36741</v>
      </c>
      <c r="C27" s="266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5"/>
        <v>137317.57</v>
      </c>
      <c r="O27" s="260">
        <f>+Summary!$C$5</f>
        <v>36934</v>
      </c>
      <c r="P27" s="4">
        <f t="shared" si="6"/>
        <v>-1165662.43</v>
      </c>
      <c r="Q27" s="4">
        <v>0</v>
      </c>
      <c r="R27" s="5">
        <f t="shared" si="7"/>
        <v>-1165662.43</v>
      </c>
      <c r="S27" s="4">
        <v>0</v>
      </c>
      <c r="T27" s="4">
        <f t="shared" si="11"/>
        <v>-1165662.43</v>
      </c>
      <c r="U27" s="4">
        <f>VLOOKUP(+Summary!$E$5,Privates,V27)</f>
        <v>137317.57</v>
      </c>
      <c r="V27" s="232">
        <f t="shared" si="10"/>
        <v>13</v>
      </c>
      <c r="W27" s="140">
        <f>+N27-'MPR Raptor'!U50+'Private Cash'!M375</f>
        <v>0</v>
      </c>
      <c r="Z27" s="4">
        <v>0</v>
      </c>
      <c r="AA27" s="5">
        <v>0</v>
      </c>
      <c r="AB27" s="4">
        <f t="shared" si="8"/>
        <v>0</v>
      </c>
      <c r="AC27" s="4">
        <f t="shared" si="9"/>
        <v>-1165662.43</v>
      </c>
      <c r="AD27" s="140">
        <f>-AC27+'MPR Raptor'!AH50</f>
        <v>0</v>
      </c>
    </row>
    <row r="28" spans="1:30" x14ac:dyDescent="0.3">
      <c r="A28" s="137" t="s">
        <v>457</v>
      </c>
      <c r="B28" s="266">
        <v>36741</v>
      </c>
      <c r="C28" s="266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5"/>
        <v>0</v>
      </c>
      <c r="O28" s="260">
        <f>+Summary!$C$5</f>
        <v>36934</v>
      </c>
      <c r="P28" s="4">
        <f t="shared" si="6"/>
        <v>-3486752</v>
      </c>
      <c r="Q28" s="4">
        <v>0</v>
      </c>
      <c r="R28" s="5">
        <f t="shared" si="7"/>
        <v>-3486752</v>
      </c>
      <c r="S28" s="4">
        <v>0</v>
      </c>
      <c r="T28" s="4">
        <f t="shared" si="11"/>
        <v>-3486752</v>
      </c>
      <c r="U28" s="4">
        <f>VLOOKUP(+Summary!$E$5,Privates,V28)</f>
        <v>0</v>
      </c>
      <c r="V28" s="232">
        <f t="shared" si="10"/>
        <v>14</v>
      </c>
      <c r="W28" s="140">
        <f>+N28-'MPR Raptor'!U55+'Private Cash'!N375</f>
        <v>0</v>
      </c>
      <c r="Z28" s="4">
        <v>0</v>
      </c>
      <c r="AA28" s="5">
        <v>0</v>
      </c>
      <c r="AB28" s="4">
        <f t="shared" si="8"/>
        <v>0</v>
      </c>
      <c r="AC28" s="4">
        <f t="shared" si="9"/>
        <v>-3486752</v>
      </c>
      <c r="AD28" s="140">
        <f>-AC28+'MPR Raptor'!AH55</f>
        <v>0</v>
      </c>
    </row>
    <row r="29" spans="1:30" x14ac:dyDescent="0.3">
      <c r="A29" s="137" t="s">
        <v>223</v>
      </c>
      <c r="B29" s="266">
        <v>36741</v>
      </c>
      <c r="C29" s="266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5"/>
        <v>1000000</v>
      </c>
      <c r="O29" s="260">
        <f>+Summary!$C$5</f>
        <v>36934</v>
      </c>
      <c r="P29" s="4">
        <f t="shared" si="6"/>
        <v>570790</v>
      </c>
      <c r="Q29" s="4">
        <v>0</v>
      </c>
      <c r="R29" s="5">
        <f t="shared" si="7"/>
        <v>570790</v>
      </c>
      <c r="S29" s="4">
        <v>0</v>
      </c>
      <c r="T29" s="4">
        <f t="shared" si="11"/>
        <v>570790</v>
      </c>
      <c r="U29" s="4">
        <f>VLOOKUP(+Summary!$E$5,Privates,V29)</f>
        <v>1000000</v>
      </c>
      <c r="V29" s="232">
        <f t="shared" si="10"/>
        <v>15</v>
      </c>
      <c r="W29" s="140">
        <f>+N29-'MPR Raptor'!U51+'Private Cash'!O375</f>
        <v>0</v>
      </c>
      <c r="Z29" s="4">
        <v>0</v>
      </c>
      <c r="AA29" s="5">
        <v>0</v>
      </c>
      <c r="AB29" s="4">
        <f t="shared" si="8"/>
        <v>0</v>
      </c>
      <c r="AC29" s="4">
        <f t="shared" si="9"/>
        <v>570790</v>
      </c>
      <c r="AD29" s="140">
        <f>-AC29+'MPR Raptor'!AH51</f>
        <v>0</v>
      </c>
    </row>
    <row r="30" spans="1:30" x14ac:dyDescent="0.3">
      <c r="A30" s="137" t="s">
        <v>224</v>
      </c>
      <c r="B30" s="266">
        <v>36741</v>
      </c>
      <c r="C30" s="266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5"/>
        <v>0</v>
      </c>
      <c r="O30" s="260">
        <f>+Summary!$C$5</f>
        <v>36934</v>
      </c>
      <c r="P30" s="4">
        <f t="shared" si="6"/>
        <v>-470790</v>
      </c>
      <c r="Q30" s="4">
        <v>0</v>
      </c>
      <c r="R30" s="5">
        <f t="shared" si="7"/>
        <v>-470790</v>
      </c>
      <c r="S30" s="4">
        <v>0</v>
      </c>
      <c r="T30" s="4">
        <f t="shared" si="11"/>
        <v>-470790</v>
      </c>
      <c r="U30" s="4">
        <f>VLOOKUP(+Summary!$E$5,Privates,V30)</f>
        <v>0</v>
      </c>
      <c r="V30" s="232">
        <f t="shared" si="10"/>
        <v>16</v>
      </c>
      <c r="W30" s="140">
        <f>+N30-'MPR Raptor'!U52+'Private Cash'!P375</f>
        <v>0</v>
      </c>
      <c r="Z30" s="4">
        <v>0</v>
      </c>
      <c r="AA30" s="5">
        <v>0</v>
      </c>
      <c r="AB30" s="4">
        <f t="shared" si="8"/>
        <v>0</v>
      </c>
      <c r="AC30" s="4">
        <f t="shared" si="9"/>
        <v>-470790</v>
      </c>
      <c r="AD30" s="140">
        <f>-AC30+'MPR Raptor'!AH52</f>
        <v>0</v>
      </c>
    </row>
    <row r="31" spans="1:30" x14ac:dyDescent="0.3">
      <c r="A31" s="137" t="s">
        <v>182</v>
      </c>
      <c r="B31" s="266">
        <v>36741</v>
      </c>
      <c r="C31" s="266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5"/>
        <v>23513434.5</v>
      </c>
      <c r="O31" s="260">
        <f>+Summary!$C$5</f>
        <v>36934</v>
      </c>
      <c r="P31" s="4">
        <f t="shared" si="6"/>
        <v>-3569065.5</v>
      </c>
      <c r="Q31" s="4">
        <v>0</v>
      </c>
      <c r="R31" s="5">
        <f t="shared" si="7"/>
        <v>-3569065.5</v>
      </c>
      <c r="S31" s="4">
        <v>0</v>
      </c>
      <c r="T31" s="4">
        <f t="shared" si="11"/>
        <v>-3569065.5</v>
      </c>
      <c r="U31" s="4">
        <f>VLOOKUP(+Summary!$E$5,Privates,V31)</f>
        <v>23513434.5</v>
      </c>
      <c r="V31" s="232">
        <f t="shared" si="10"/>
        <v>17</v>
      </c>
      <c r="W31" s="140">
        <f>+N31-'MPR Raptor'!U73+'Private Cash'!Q375</f>
        <v>0</v>
      </c>
      <c r="X31" s="5"/>
      <c r="Z31" s="4">
        <v>0</v>
      </c>
      <c r="AA31" s="5">
        <v>-3569065.5</v>
      </c>
      <c r="AB31" s="4">
        <f t="shared" si="8"/>
        <v>0</v>
      </c>
      <c r="AC31" s="4">
        <f t="shared" si="9"/>
        <v>0</v>
      </c>
      <c r="AD31" s="140">
        <f>-AC31+'MPR Raptor'!AH73</f>
        <v>0</v>
      </c>
    </row>
    <row r="32" spans="1:30" x14ac:dyDescent="0.3">
      <c r="A32" s="137" t="s">
        <v>225</v>
      </c>
      <c r="B32" s="266">
        <v>36741</v>
      </c>
      <c r="C32" s="266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5"/>
        <v>7121810</v>
      </c>
      <c r="O32" s="260">
        <f>+Summary!$C$5</f>
        <v>36934</v>
      </c>
      <c r="P32" s="4">
        <f t="shared" si="6"/>
        <v>0</v>
      </c>
      <c r="Q32" s="4">
        <v>0</v>
      </c>
      <c r="R32" s="5">
        <f t="shared" si="7"/>
        <v>0</v>
      </c>
      <c r="S32" s="4">
        <v>0</v>
      </c>
      <c r="T32" s="4">
        <f t="shared" si="11"/>
        <v>0</v>
      </c>
      <c r="U32" s="4">
        <f>VLOOKUP(+Summary!$E$5,Privates,V32)</f>
        <v>7121810</v>
      </c>
      <c r="V32" s="232">
        <f t="shared" si="10"/>
        <v>18</v>
      </c>
      <c r="W32" s="140">
        <f>+N32-'MPR Raptor'!U53+'Private Cash'!R375</f>
        <v>0</v>
      </c>
      <c r="Z32" s="4">
        <v>0</v>
      </c>
      <c r="AA32" s="5">
        <v>0</v>
      </c>
      <c r="AB32" s="4">
        <f t="shared" si="8"/>
        <v>0</v>
      </c>
      <c r="AC32" s="4">
        <f t="shared" si="9"/>
        <v>0</v>
      </c>
      <c r="AD32" s="140">
        <f>-AC32+'MPR Raptor'!AH53</f>
        <v>0</v>
      </c>
    </row>
    <row r="33" spans="1:30" x14ac:dyDescent="0.3">
      <c r="A33" s="137" t="s">
        <v>181</v>
      </c>
      <c r="B33" s="266">
        <v>36741</v>
      </c>
      <c r="C33" s="266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5"/>
        <v>5644007</v>
      </c>
      <c r="O33" s="260">
        <f>+Summary!$C$5</f>
        <v>36934</v>
      </c>
      <c r="P33" s="4">
        <f t="shared" si="6"/>
        <v>0</v>
      </c>
      <c r="Q33" s="4">
        <v>0</v>
      </c>
      <c r="R33" s="5">
        <f t="shared" si="7"/>
        <v>0</v>
      </c>
      <c r="S33" s="4">
        <v>0</v>
      </c>
      <c r="T33" s="4">
        <f t="shared" si="11"/>
        <v>0</v>
      </c>
      <c r="U33" s="4">
        <f>VLOOKUP(+Summary!$E$5,Privates,V33)</f>
        <v>5644007</v>
      </c>
      <c r="V33" s="232">
        <f t="shared" si="10"/>
        <v>19</v>
      </c>
      <c r="W33" s="140">
        <f>+N33-'MPR Raptor'!U4+'Private Cash'!S375</f>
        <v>3.4924596548080444E-10</v>
      </c>
      <c r="Z33" s="4">
        <v>0</v>
      </c>
      <c r="AA33" s="5">
        <v>0</v>
      </c>
      <c r="AB33" s="4">
        <f t="shared" si="8"/>
        <v>0</v>
      </c>
      <c r="AC33" s="4">
        <f t="shared" si="9"/>
        <v>0</v>
      </c>
      <c r="AD33" s="140">
        <f>'MPR Raptor'!AH4-AC33</f>
        <v>0</v>
      </c>
    </row>
    <row r="34" spans="1:30" x14ac:dyDescent="0.3">
      <c r="A34" s="137" t="s">
        <v>226</v>
      </c>
      <c r="B34" s="266">
        <v>36741</v>
      </c>
      <c r="C34" s="266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5"/>
        <v>20999559.859999999</v>
      </c>
      <c r="O34" s="260">
        <f>+Summary!$C$5</f>
        <v>36934</v>
      </c>
      <c r="P34" s="4">
        <f t="shared" si="6"/>
        <v>82684.859999999404</v>
      </c>
      <c r="Q34" s="4">
        <v>0</v>
      </c>
      <c r="R34" s="5">
        <f t="shared" si="7"/>
        <v>82684.859999999404</v>
      </c>
      <c r="S34" s="4">
        <v>0</v>
      </c>
      <c r="T34" s="4">
        <f t="shared" si="11"/>
        <v>82684.859999999404</v>
      </c>
      <c r="U34" s="4">
        <f>VLOOKUP(+Summary!$E$5,Privates,V34)</f>
        <v>20999559.859999999</v>
      </c>
      <c r="V34" s="232">
        <f t="shared" si="10"/>
        <v>20</v>
      </c>
      <c r="W34" s="140">
        <f>+N34-'MPR Raptor'!U11+'Private Cash'!T375</f>
        <v>0</v>
      </c>
      <c r="Z34" s="4">
        <v>0</v>
      </c>
      <c r="AA34" s="5">
        <v>82684.859999999404</v>
      </c>
      <c r="AB34" s="4">
        <f t="shared" si="8"/>
        <v>0</v>
      </c>
      <c r="AC34" s="4">
        <f t="shared" si="9"/>
        <v>0</v>
      </c>
      <c r="AD34" s="140">
        <f>'MPR Raptor'!AH11-AC34</f>
        <v>0</v>
      </c>
    </row>
    <row r="35" spans="1:30" x14ac:dyDescent="0.3">
      <c r="A35" s="137" t="s">
        <v>233</v>
      </c>
      <c r="B35" s="266">
        <v>36741</v>
      </c>
      <c r="C35" s="266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5"/>
        <v>2560525</v>
      </c>
      <c r="O35" s="260">
        <f>+Summary!$C$5</f>
        <v>36934</v>
      </c>
      <c r="P35" s="4">
        <f t="shared" si="6"/>
        <v>0</v>
      </c>
      <c r="Q35" s="4">
        <v>0</v>
      </c>
      <c r="R35" s="5">
        <f>+P35+Q35</f>
        <v>0</v>
      </c>
      <c r="S35" s="4">
        <v>0</v>
      </c>
      <c r="T35" s="4">
        <f t="shared" si="11"/>
        <v>0</v>
      </c>
      <c r="U35" s="4">
        <f>VLOOKUP(+Summary!$E$5,Privates,V35)</f>
        <v>2560525</v>
      </c>
      <c r="V35" s="232">
        <f t="shared" si="10"/>
        <v>21</v>
      </c>
      <c r="W35" s="140">
        <f>+N35-'MPR Raptor'!U12+'Private Cash'!U375</f>
        <v>0</v>
      </c>
      <c r="Z35" s="4">
        <v>0</v>
      </c>
      <c r="AA35" s="5">
        <v>0</v>
      </c>
      <c r="AB35" s="4">
        <f t="shared" si="8"/>
        <v>0</v>
      </c>
      <c r="AC35" s="4">
        <f t="shared" si="9"/>
        <v>0</v>
      </c>
      <c r="AD35" s="140">
        <f>'MPR Raptor'!AH12-AC35</f>
        <v>0</v>
      </c>
    </row>
    <row r="36" spans="1:30" x14ac:dyDescent="0.3">
      <c r="A36" s="137" t="s">
        <v>227</v>
      </c>
      <c r="B36" s="266">
        <v>36741</v>
      </c>
      <c r="C36" s="266">
        <v>37836</v>
      </c>
      <c r="D36" s="77" t="s">
        <v>17</v>
      </c>
      <c r="E36" s="4">
        <v>0</v>
      </c>
      <c r="F36" s="77" t="s">
        <v>18</v>
      </c>
      <c r="I36" s="4">
        <v>4774950</v>
      </c>
      <c r="J36" s="260">
        <v>36888</v>
      </c>
      <c r="K36" s="69" t="s">
        <v>508</v>
      </c>
      <c r="L36" s="3"/>
      <c r="M36" s="4">
        <f>-'Private Cash'!V375</f>
        <v>2415598.88</v>
      </c>
      <c r="N36" s="4">
        <f t="shared" si="5"/>
        <v>0</v>
      </c>
      <c r="O36" s="260">
        <f>+Summary!$C$5</f>
        <v>36934</v>
      </c>
      <c r="P36" s="4">
        <f>IF(O36&lt;B36,0,IF(O36+1&gt;J36,0,(+N36-I36-Q36)))</f>
        <v>0</v>
      </c>
      <c r="Q36" s="4">
        <f>IF(O36+1&gt;J36,+M36-I36,0)</f>
        <v>-2359351.12</v>
      </c>
      <c r="R36" s="5">
        <f t="shared" si="7"/>
        <v>-2359351.12</v>
      </c>
      <c r="S36" s="4">
        <f>IF(O36&gt;J36,+Q36,0)</f>
        <v>-2359351.12</v>
      </c>
      <c r="T36" s="4">
        <f t="shared" si="11"/>
        <v>-2359351.12</v>
      </c>
      <c r="U36" s="4">
        <f>VLOOKUP(+Summary!$E$5,Privates,V36)-'Private Cash'!V375</f>
        <v>2415598.88</v>
      </c>
      <c r="V36" s="232">
        <f t="shared" si="10"/>
        <v>22</v>
      </c>
      <c r="W36" s="140"/>
      <c r="X36" s="5"/>
      <c r="Z36" s="4">
        <v>-2359351.12</v>
      </c>
      <c r="AA36" s="5">
        <v>-2359351.12</v>
      </c>
      <c r="AB36" s="4">
        <f t="shared" si="8"/>
        <v>0</v>
      </c>
      <c r="AC36" s="4">
        <f t="shared" si="9"/>
        <v>0</v>
      </c>
      <c r="AD36" s="140">
        <f>+AC36</f>
        <v>0</v>
      </c>
    </row>
    <row r="37" spans="1:30" x14ac:dyDescent="0.3">
      <c r="A37" s="137" t="s">
        <v>228</v>
      </c>
      <c r="B37" s="266">
        <v>36741</v>
      </c>
      <c r="C37" s="266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5"/>
        <v>2013591.6599838899</v>
      </c>
      <c r="O37" s="260">
        <f>+Summary!$C$5</f>
        <v>36934</v>
      </c>
      <c r="P37" s="4">
        <f t="shared" si="6"/>
        <v>191228.6599838899</v>
      </c>
      <c r="Q37" s="4">
        <v>0</v>
      </c>
      <c r="R37" s="5">
        <f t="shared" si="7"/>
        <v>191228.6599838899</v>
      </c>
      <c r="S37" s="4">
        <v>0</v>
      </c>
      <c r="T37" s="4">
        <f t="shared" si="11"/>
        <v>191228.6599838899</v>
      </c>
      <c r="U37" s="4">
        <f>VLOOKUP(+Summary!$E$5,Privates,V37)</f>
        <v>2013591.6599838899</v>
      </c>
      <c r="V37" s="232">
        <f t="shared" si="10"/>
        <v>23</v>
      </c>
      <c r="W37" s="140">
        <f>+N37-'MPR Raptor'!U71+'Private Cash'!W375</f>
        <v>0</v>
      </c>
      <c r="Z37" s="4">
        <v>0</v>
      </c>
      <c r="AA37" s="5">
        <v>191228.6599838899</v>
      </c>
      <c r="AB37" s="4">
        <f t="shared" si="8"/>
        <v>0</v>
      </c>
      <c r="AC37" s="4">
        <f t="shared" si="9"/>
        <v>0</v>
      </c>
      <c r="AD37" s="140">
        <f>-AC37+'MPR Raptor'!AH71</f>
        <v>0</v>
      </c>
    </row>
    <row r="38" spans="1:30" x14ac:dyDescent="0.3">
      <c r="A38" s="137" t="s">
        <v>229</v>
      </c>
      <c r="B38" s="266">
        <v>36741</v>
      </c>
      <c r="C38" s="266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5"/>
        <v>1374750</v>
      </c>
      <c r="O38" s="260">
        <f>+Summary!$C$5</f>
        <v>36934</v>
      </c>
      <c r="P38" s="4">
        <f t="shared" si="6"/>
        <v>0</v>
      </c>
      <c r="Q38" s="4">
        <v>0</v>
      </c>
      <c r="R38" s="5">
        <f t="shared" si="7"/>
        <v>0</v>
      </c>
      <c r="S38" s="4">
        <v>0</v>
      </c>
      <c r="T38" s="4">
        <f t="shared" si="11"/>
        <v>0</v>
      </c>
      <c r="U38" s="4">
        <f>VLOOKUP(+Summary!$E$5,Privates,V38)</f>
        <v>1374750</v>
      </c>
      <c r="V38" s="232">
        <f t="shared" si="10"/>
        <v>24</v>
      </c>
      <c r="W38" s="140">
        <f>+N38-'MPR Raptor'!U74+'Private Cash'!X375</f>
        <v>0</v>
      </c>
      <c r="Z38" s="4">
        <v>0</v>
      </c>
      <c r="AA38" s="5">
        <v>0</v>
      </c>
      <c r="AB38" s="4">
        <f t="shared" si="8"/>
        <v>0</v>
      </c>
      <c r="AC38" s="4">
        <f t="shared" si="9"/>
        <v>0</v>
      </c>
      <c r="AD38" s="140">
        <f>-AC38+'MPR Raptor'!AH74</f>
        <v>0</v>
      </c>
    </row>
    <row r="39" spans="1:30" x14ac:dyDescent="0.3">
      <c r="A39" s="137" t="s">
        <v>230</v>
      </c>
      <c r="B39" s="266">
        <v>36741</v>
      </c>
      <c r="C39" s="266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5"/>
        <v>1803840</v>
      </c>
      <c r="O39" s="260">
        <f>+Summary!$C$5</f>
        <v>36934</v>
      </c>
      <c r="P39" s="4">
        <f t="shared" si="6"/>
        <v>0</v>
      </c>
      <c r="Q39" s="4">
        <v>0</v>
      </c>
      <c r="R39" s="5">
        <f t="shared" si="7"/>
        <v>0</v>
      </c>
      <c r="S39" s="4">
        <v>0</v>
      </c>
      <c r="T39" s="4">
        <f t="shared" si="11"/>
        <v>0</v>
      </c>
      <c r="U39" s="4">
        <f>VLOOKUP(+Summary!$E$5,Privates,V39)</f>
        <v>1803840</v>
      </c>
      <c r="V39" s="232">
        <f t="shared" si="10"/>
        <v>25</v>
      </c>
      <c r="W39" s="140">
        <f>+N39-'MPR Raptor'!U22+'Private Cash'!Y375</f>
        <v>0</v>
      </c>
      <c r="Z39" s="4">
        <v>0</v>
      </c>
      <c r="AA39" s="5">
        <v>0</v>
      </c>
      <c r="AB39" s="4">
        <f t="shared" si="8"/>
        <v>0</v>
      </c>
      <c r="AC39" s="4">
        <f t="shared" si="9"/>
        <v>0</v>
      </c>
      <c r="AD39" s="140">
        <f>'MPR Raptor'!AH22-AC39</f>
        <v>0</v>
      </c>
    </row>
    <row r="40" spans="1:30" x14ac:dyDescent="0.3">
      <c r="A40" s="137" t="s">
        <v>466</v>
      </c>
      <c r="B40" s="266">
        <v>36741</v>
      </c>
      <c r="C40" s="266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5"/>
        <v>2300803</v>
      </c>
      <c r="O40" s="260">
        <f>+Summary!$C$5</f>
        <v>36934</v>
      </c>
      <c r="P40" s="4">
        <f t="shared" si="6"/>
        <v>0</v>
      </c>
      <c r="Q40" s="4">
        <v>0</v>
      </c>
      <c r="R40" s="5">
        <f>+P40+Q40</f>
        <v>0</v>
      </c>
      <c r="S40" s="4">
        <v>0</v>
      </c>
      <c r="T40" s="4">
        <f t="shared" si="11"/>
        <v>0</v>
      </c>
      <c r="U40" s="4">
        <f>VLOOKUP(+Summary!$E$5,Privates,V40)</f>
        <v>2300803</v>
      </c>
      <c r="V40" s="232">
        <f t="shared" si="10"/>
        <v>26</v>
      </c>
      <c r="W40" s="140">
        <f>+N40-'MPR Raptor'!U23+'Private Cash'!Z375</f>
        <v>0</v>
      </c>
      <c r="Z40" s="4">
        <v>0</v>
      </c>
      <c r="AA40" s="5">
        <v>0</v>
      </c>
      <c r="AB40" s="4">
        <f t="shared" si="8"/>
        <v>0</v>
      </c>
      <c r="AC40" s="4">
        <f t="shared" si="9"/>
        <v>0</v>
      </c>
      <c r="AD40" s="140">
        <f>'MPR Raptor'!AH23-AC40</f>
        <v>0</v>
      </c>
    </row>
    <row r="41" spans="1:30" x14ac:dyDescent="0.3">
      <c r="A41" s="137" t="s">
        <v>231</v>
      </c>
      <c r="B41" s="266">
        <v>36741</v>
      </c>
      <c r="C41" s="266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5"/>
        <v>8551988.3399999999</v>
      </c>
      <c r="O41" s="260">
        <f>+Summary!$C$5</f>
        <v>36934</v>
      </c>
      <c r="P41" s="4">
        <f t="shared" si="6"/>
        <v>1068238.3399999999</v>
      </c>
      <c r="Q41" s="4">
        <v>0</v>
      </c>
      <c r="R41" s="5">
        <f t="shared" si="7"/>
        <v>1068238.3399999999</v>
      </c>
      <c r="S41" s="4">
        <v>0</v>
      </c>
      <c r="T41" s="4">
        <f t="shared" si="11"/>
        <v>1068238.3399999999</v>
      </c>
      <c r="U41" s="4">
        <f>VLOOKUP(+Summary!$E$5,Privates,V41)</f>
        <v>8551988.3399999999</v>
      </c>
      <c r="V41" s="232">
        <f t="shared" si="10"/>
        <v>27</v>
      </c>
      <c r="W41" s="140">
        <f>+N41-'MPR Raptor'!U13+'Private Cash'!AA375</f>
        <v>0</v>
      </c>
      <c r="Z41" s="4">
        <v>0</v>
      </c>
      <c r="AA41" s="5">
        <v>1068238.3400000001</v>
      </c>
      <c r="AB41" s="4">
        <f t="shared" si="8"/>
        <v>0</v>
      </c>
      <c r="AC41" s="4">
        <f t="shared" si="9"/>
        <v>0</v>
      </c>
      <c r="AD41" s="140">
        <f>'MPR Raptor'!AH13-AC41</f>
        <v>0</v>
      </c>
    </row>
    <row r="42" spans="1:30" x14ac:dyDescent="0.3">
      <c r="A42" s="137" t="s">
        <v>234</v>
      </c>
      <c r="B42" s="266">
        <v>36741</v>
      </c>
      <c r="C42" s="266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5"/>
        <v>2343750</v>
      </c>
      <c r="O42" s="260">
        <f>+Summary!$C$5</f>
        <v>36934</v>
      </c>
      <c r="P42" s="4">
        <f t="shared" si="6"/>
        <v>0</v>
      </c>
      <c r="Q42" s="4">
        <v>0</v>
      </c>
      <c r="R42" s="5">
        <f>+P42+Q42</f>
        <v>0</v>
      </c>
      <c r="S42" s="4">
        <v>0</v>
      </c>
      <c r="T42" s="4">
        <f t="shared" si="11"/>
        <v>0</v>
      </c>
      <c r="U42" s="4">
        <f>VLOOKUP(+Summary!$E$5,Privates,V42)</f>
        <v>2343750</v>
      </c>
      <c r="V42" s="232">
        <f t="shared" si="10"/>
        <v>28</v>
      </c>
      <c r="W42" s="140">
        <f>+N42-'MPR Raptor'!U14+'Private Cash'!AB375</f>
        <v>0</v>
      </c>
      <c r="Z42" s="4">
        <v>0</v>
      </c>
      <c r="AA42" s="5">
        <v>0</v>
      </c>
      <c r="AB42" s="4">
        <f t="shared" si="8"/>
        <v>0</v>
      </c>
      <c r="AC42" s="4">
        <f t="shared" si="9"/>
        <v>0</v>
      </c>
      <c r="AD42" s="140">
        <f>'MPR Raptor'!AH14-AC42</f>
        <v>0</v>
      </c>
    </row>
    <row r="43" spans="1:30" x14ac:dyDescent="0.3">
      <c r="A43" t="s">
        <v>458</v>
      </c>
      <c r="B43" s="266">
        <v>36741</v>
      </c>
      <c r="C43" s="266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5"/>
        <v>16316247</v>
      </c>
      <c r="O43" s="260">
        <f>+Summary!$C$5</f>
        <v>36934</v>
      </c>
      <c r="P43" s="4">
        <f t="shared" si="6"/>
        <v>0</v>
      </c>
      <c r="Q43" s="4">
        <v>0</v>
      </c>
      <c r="R43" s="5">
        <f>+P43+Q43</f>
        <v>0</v>
      </c>
      <c r="S43" s="4">
        <v>0</v>
      </c>
      <c r="T43" s="4">
        <f t="shared" si="11"/>
        <v>0</v>
      </c>
      <c r="U43" s="4">
        <f>VLOOKUP(+Summary!$E$5,Privates,V43)</f>
        <v>16316247</v>
      </c>
      <c r="V43" s="232">
        <f t="shared" si="10"/>
        <v>29</v>
      </c>
      <c r="W43" s="140">
        <f>+N43-'MPR Raptor'!U15+'Private Cash'!AC375</f>
        <v>0</v>
      </c>
      <c r="Z43" s="4">
        <v>0</v>
      </c>
      <c r="AA43" s="5">
        <v>0</v>
      </c>
      <c r="AB43" s="4">
        <f t="shared" si="8"/>
        <v>0</v>
      </c>
      <c r="AC43" s="4">
        <f t="shared" si="9"/>
        <v>0</v>
      </c>
      <c r="AD43" s="140">
        <f>'MPR Raptor'!AH15-AC43</f>
        <v>0</v>
      </c>
    </row>
    <row r="44" spans="1:30" x14ac:dyDescent="0.3">
      <c r="A44" t="s">
        <v>459</v>
      </c>
      <c r="B44" s="266">
        <v>36741</v>
      </c>
      <c r="C44" s="266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5"/>
        <v>1050000</v>
      </c>
      <c r="O44" s="260">
        <f>+Summary!$C$5</f>
        <v>36934</v>
      </c>
      <c r="P44" s="4">
        <f t="shared" si="6"/>
        <v>0</v>
      </c>
      <c r="Q44" s="4">
        <v>0</v>
      </c>
      <c r="R44" s="5">
        <f>+P44+Q44</f>
        <v>0</v>
      </c>
      <c r="S44" s="4">
        <v>0</v>
      </c>
      <c r="T44" s="4">
        <f t="shared" si="11"/>
        <v>0</v>
      </c>
      <c r="U44" s="4">
        <f>VLOOKUP(+Summary!$E$5,Privates,V44)</f>
        <v>1050000</v>
      </c>
      <c r="V44" s="232">
        <f t="shared" si="10"/>
        <v>30</v>
      </c>
      <c r="W44" s="140">
        <f>+N44-'MPR Raptor'!U16+'Private Cash'!AD375</f>
        <v>0</v>
      </c>
      <c r="Z44" s="4">
        <v>0</v>
      </c>
      <c r="AA44" s="5">
        <v>0</v>
      </c>
      <c r="AB44" s="4">
        <f t="shared" si="8"/>
        <v>0</v>
      </c>
      <c r="AC44" s="4">
        <f t="shared" si="9"/>
        <v>0</v>
      </c>
      <c r="AD44" s="140">
        <f>'MPR Raptor'!AH16-AC44</f>
        <v>0</v>
      </c>
    </row>
    <row r="45" spans="1:30" x14ac:dyDescent="0.3">
      <c r="A45" s="137" t="s">
        <v>430</v>
      </c>
      <c r="B45" s="266">
        <v>36741</v>
      </c>
      <c r="C45" s="266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5"/>
        <v>80202486.480000004</v>
      </c>
      <c r="O45" s="260">
        <f>+Summary!$C$5</f>
        <v>36934</v>
      </c>
      <c r="P45" s="4">
        <f t="shared" si="6"/>
        <v>-1277513.5199999958</v>
      </c>
      <c r="Q45" s="4">
        <v>0</v>
      </c>
      <c r="R45" s="5">
        <f t="shared" si="7"/>
        <v>-1277513.5199999958</v>
      </c>
      <c r="S45" s="4">
        <v>0</v>
      </c>
      <c r="T45" s="4">
        <f t="shared" si="11"/>
        <v>-1277513.5199999958</v>
      </c>
      <c r="U45" s="4">
        <f>VLOOKUP(+Summary!$E$5,Privates,V45)</f>
        <v>80202486.480000004</v>
      </c>
      <c r="V45" s="232">
        <f t="shared" si="10"/>
        <v>31</v>
      </c>
      <c r="W45" s="140">
        <f>+N45-'MPR Raptor'!U61+'Private Cash'!AE375</f>
        <v>4.1909515857696533E-9</v>
      </c>
      <c r="X45" s="5"/>
      <c r="Z45" s="4">
        <v>0</v>
      </c>
      <c r="AA45" s="5">
        <v>-1277513.52</v>
      </c>
      <c r="AB45" s="4">
        <f t="shared" si="8"/>
        <v>0</v>
      </c>
      <c r="AC45" s="4">
        <f t="shared" si="9"/>
        <v>0</v>
      </c>
      <c r="AD45" s="140">
        <f>-AC45+'MPR Raptor'!AH61</f>
        <v>0</v>
      </c>
    </row>
    <row r="46" spans="1:30" x14ac:dyDescent="0.3">
      <c r="A46" s="137" t="s">
        <v>429</v>
      </c>
      <c r="B46" s="266">
        <v>36741</v>
      </c>
      <c r="C46" s="266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5"/>
        <v>1360000</v>
      </c>
      <c r="O46" s="260">
        <f>+Summary!$C$5</f>
        <v>36934</v>
      </c>
      <c r="P46" s="4">
        <f t="shared" si="6"/>
        <v>0</v>
      </c>
      <c r="Q46" s="4">
        <v>0</v>
      </c>
      <c r="R46" s="5">
        <f t="shared" si="7"/>
        <v>0</v>
      </c>
      <c r="S46" s="4">
        <v>0</v>
      </c>
      <c r="T46" s="4">
        <f t="shared" si="11"/>
        <v>0</v>
      </c>
      <c r="U46" s="4">
        <f>VLOOKUP(+Summary!$E$5,Privates,V46)</f>
        <v>1360000</v>
      </c>
      <c r="V46" s="232">
        <f t="shared" si="10"/>
        <v>32</v>
      </c>
      <c r="W46" s="140">
        <f>+N46-'MPR Raptor'!U66+'Private Cash'!AF375</f>
        <v>0</v>
      </c>
      <c r="Z46" s="4">
        <v>0</v>
      </c>
      <c r="AA46" s="5">
        <v>0</v>
      </c>
      <c r="AB46" s="4">
        <f t="shared" si="8"/>
        <v>0</v>
      </c>
      <c r="AC46" s="4">
        <f t="shared" si="9"/>
        <v>0</v>
      </c>
      <c r="AD46" s="140">
        <f>-AC46+'MPR Raptor'!AH66</f>
        <v>0</v>
      </c>
    </row>
    <row r="47" spans="1:30" x14ac:dyDescent="0.3">
      <c r="A47" s="137" t="s">
        <v>183</v>
      </c>
      <c r="B47" s="266">
        <v>36741</v>
      </c>
      <c r="C47" s="266">
        <v>37836</v>
      </c>
      <c r="D47" s="77" t="s">
        <v>474</v>
      </c>
      <c r="E47" s="4">
        <v>36066314</v>
      </c>
      <c r="F47" s="77" t="s">
        <v>531</v>
      </c>
      <c r="I47" s="4">
        <v>93746590</v>
      </c>
      <c r="J47" s="260">
        <v>36910</v>
      </c>
      <c r="K47" s="69" t="s">
        <v>551</v>
      </c>
      <c r="L47" s="3"/>
      <c r="M47" s="4">
        <v>63109023.640000001</v>
      </c>
      <c r="N47" s="4">
        <f t="shared" si="5"/>
        <v>30637565.036477998</v>
      </c>
      <c r="O47" s="260">
        <f>+Summary!$C$5</f>
        <v>36934</v>
      </c>
      <c r="P47" s="4">
        <f t="shared" si="6"/>
        <v>-1.3235220015048981</v>
      </c>
      <c r="Q47" s="4">
        <f>IF(O47&gt;(J47-1),-M47,0)</f>
        <v>-63109023.640000001</v>
      </c>
      <c r="R47" s="5">
        <f>+P47+Q47</f>
        <v>-63109024.963522002</v>
      </c>
      <c r="S47" s="4">
        <f>IF((O47-1)&gt;(J47-1),-M47,0)</f>
        <v>-63109023.640000001</v>
      </c>
      <c r="T47" s="4">
        <f t="shared" si="11"/>
        <v>-63109024.963522002</v>
      </c>
      <c r="U47" s="4">
        <f>VLOOKUP(+Summary!$E$5,Privates,V47)</f>
        <v>30637565.036477998</v>
      </c>
      <c r="V47" s="232">
        <f t="shared" si="10"/>
        <v>33</v>
      </c>
      <c r="W47" s="140">
        <f>+N47-'MPR Raptor'!U26+'Private Cash'!AG375</f>
        <v>0</v>
      </c>
      <c r="Z47" s="4">
        <v>0</v>
      </c>
      <c r="AA47" s="5">
        <v>-1.3235220015048981</v>
      </c>
      <c r="AB47" s="4">
        <f t="shared" si="8"/>
        <v>-63109023.640000001</v>
      </c>
      <c r="AC47" s="4">
        <f t="shared" si="9"/>
        <v>-63109023.640000001</v>
      </c>
      <c r="AD47" s="140">
        <f>'MPR Raptor'!AH26-AC47</f>
        <v>0</v>
      </c>
    </row>
    <row r="48" spans="1:30" x14ac:dyDescent="0.3">
      <c r="A48" s="137"/>
      <c r="N48" s="4"/>
      <c r="P48" s="4"/>
      <c r="Q48" s="4"/>
      <c r="R48" s="5"/>
      <c r="T48" s="4"/>
      <c r="U48" s="4"/>
      <c r="V48" s="232"/>
      <c r="W48" s="140"/>
      <c r="AA48" s="5"/>
      <c r="AC48" s="4"/>
      <c r="AD48" s="140"/>
    </row>
    <row r="49" spans="1:30" x14ac:dyDescent="0.3">
      <c r="A49" s="137" t="s">
        <v>235</v>
      </c>
      <c r="N49" s="4"/>
      <c r="P49" s="4"/>
      <c r="Q49" s="4"/>
      <c r="R49" s="5"/>
      <c r="T49" s="4"/>
      <c r="U49" s="4"/>
      <c r="V49" s="232"/>
      <c r="W49" s="140"/>
      <c r="AA49" s="5"/>
      <c r="AC49" s="4"/>
      <c r="AD49" s="140"/>
    </row>
    <row r="50" spans="1:30" x14ac:dyDescent="0.3">
      <c r="A50" t="s">
        <v>168</v>
      </c>
      <c r="B50" s="266">
        <v>36741</v>
      </c>
      <c r="C50" s="266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0"/>
      <c r="K50" s="2"/>
      <c r="L50" s="3"/>
      <c r="M50" s="4">
        <f>ROUND(+K50*L50,2)</f>
        <v>0</v>
      </c>
      <c r="N50" s="69">
        <f>+N4</f>
        <v>2.6458290838380072</v>
      </c>
      <c r="O50" s="260">
        <f>+Summary!$C$5</f>
        <v>36934</v>
      </c>
      <c r="P50" s="4">
        <f>IF(O50&lt;B50,0,ROUND((+N50*H50),2)-I50-Q50)</f>
        <v>68891.27</v>
      </c>
      <c r="Q50" s="4">
        <v>0</v>
      </c>
      <c r="R50" s="5">
        <f t="shared" ref="R50:R56" si="12">+P50+Q50</f>
        <v>68891.27</v>
      </c>
      <c r="S50" s="4">
        <v>0</v>
      </c>
      <c r="T50" s="4">
        <f>IF(Summary!$E$5&lt;'Daily Position'!B50,0,ROUND(+U50*(H50-L50),2)+M50-I50)</f>
        <v>69206.960000000006</v>
      </c>
      <c r="U50" s="69">
        <f>+U4</f>
        <v>2.65255223406644</v>
      </c>
      <c r="V50" s="2"/>
      <c r="W50" s="140">
        <f>+N50*H50-'MPR Raptor'!U19</f>
        <v>0</v>
      </c>
      <c r="Z50" s="4">
        <v>0</v>
      </c>
      <c r="AA50" s="5">
        <v>72136.17</v>
      </c>
      <c r="AB50" s="4">
        <f>+Q50-Z50</f>
        <v>0</v>
      </c>
      <c r="AC50" s="4">
        <f>ROUND(+R50-AA50,2)</f>
        <v>-3244.9</v>
      </c>
      <c r="AD50" s="140">
        <f>'MPR Raptor'!AH19-AC50</f>
        <v>2.8879448714178579E-3</v>
      </c>
    </row>
    <row r="51" spans="1:30" x14ac:dyDescent="0.3">
      <c r="A51" t="s">
        <v>426</v>
      </c>
      <c r="B51" s="266">
        <v>36741</v>
      </c>
      <c r="C51" s="266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0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0</v>
      </c>
      <c r="O51" s="260">
        <f>+Summary!$C$5</f>
        <v>36934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12"/>
        <v>112402.64349999953</v>
      </c>
      <c r="S51" s="4">
        <f>IF(J51&lt;O51,+Q51,0)</f>
        <v>112402.64349999953</v>
      </c>
      <c r="T51" s="4">
        <f>IF(Summary!$E$5&lt;'Daily Position'!B51,0,ROUND(+U51*(H51-L51),2)+M51-I51)</f>
        <v>112402.64000000001</v>
      </c>
      <c r="U51" s="69">
        <f>+U10</f>
        <v>1.9379844961240309</v>
      </c>
      <c r="V51" s="2"/>
      <c r="W51" s="140"/>
      <c r="X51" s="213"/>
      <c r="Z51" s="4">
        <v>112402.64349999953</v>
      </c>
      <c r="AA51" s="5">
        <v>112402.64349999953</v>
      </c>
      <c r="AB51" s="4">
        <f t="shared" ref="AB51:AB56" si="13">+Q51-Z51</f>
        <v>0</v>
      </c>
      <c r="AC51" s="4">
        <f t="shared" ref="AC51:AC56" si="14">ROUND(+R51-AA51,2)</f>
        <v>0</v>
      </c>
      <c r="AD51" s="140">
        <f>+AC51</f>
        <v>0</v>
      </c>
    </row>
    <row r="52" spans="1:30" x14ac:dyDescent="0.3">
      <c r="A52" t="str">
        <f>+A11</f>
        <v>DevX Energy Common</v>
      </c>
      <c r="B52" s="266">
        <v>36741</v>
      </c>
      <c r="C52" s="266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0"/>
      <c r="K52" s="2"/>
      <c r="L52" s="3"/>
      <c r="M52" s="4">
        <f>ROUND(+K52*L52,2)</f>
        <v>0</v>
      </c>
      <c r="N52" s="69">
        <f>+N11</f>
        <v>8.375</v>
      </c>
      <c r="O52" s="260">
        <f>+Summary!$C$5</f>
        <v>36934</v>
      </c>
      <c r="P52" s="4">
        <f>IF(O52&lt;B52,0,ROUND((+N52*(H52-L52)),2)-ROUND(((H52-L52)*G52),2))</f>
        <v>-34560.9</v>
      </c>
      <c r="Q52" s="4">
        <f>IF(J52&lt;(O52+1),(+K52-G52)*L52,0)</f>
        <v>0</v>
      </c>
      <c r="R52" s="5">
        <f t="shared" si="12"/>
        <v>-34560.9</v>
      </c>
      <c r="S52" s="4">
        <f>IF(J52&lt;O52,+Q52,0)</f>
        <v>0</v>
      </c>
      <c r="T52" s="4">
        <f>IF(Summary!$E$5&lt;'Daily Position'!B52,0,ROUND(+U52*(H52-L52),2)+M52-I52)</f>
        <v>-35323.530000000006</v>
      </c>
      <c r="U52" s="69">
        <f>+U11</f>
        <v>8.25</v>
      </c>
      <c r="V52" s="2"/>
      <c r="W52" s="140">
        <f>+N52*(H52+H53-L52-L53)-'MPR Raptor'!U34</f>
        <v>0</v>
      </c>
      <c r="X52" s="213"/>
      <c r="Z52" s="4">
        <v>0</v>
      </c>
      <c r="AA52" s="5">
        <v>-37611.42</v>
      </c>
      <c r="AB52" s="4">
        <f t="shared" si="13"/>
        <v>0</v>
      </c>
      <c r="AC52" s="4">
        <f t="shared" si="14"/>
        <v>3050.52</v>
      </c>
      <c r="AD52" s="140">
        <f>'MPR Raptor'!AH34-AC52</f>
        <v>-5.3999999977349944E-3</v>
      </c>
    </row>
    <row r="53" spans="1:30" x14ac:dyDescent="0.3">
      <c r="A53" t="str">
        <f>+A12</f>
        <v>DevX Energy Pref</v>
      </c>
      <c r="B53" s="266">
        <v>36741</v>
      </c>
      <c r="C53" s="266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0">
        <f>+J12</f>
        <v>36874</v>
      </c>
      <c r="K53" s="2">
        <f>+K12</f>
        <v>6.9997647058823533</v>
      </c>
      <c r="L53" s="3">
        <f>ROUND(+L12/0.6*0.3612,4)</f>
        <v>76755</v>
      </c>
      <c r="M53" s="4">
        <f>ROUND(+K53*L53,2)</f>
        <v>537266.93999999994</v>
      </c>
      <c r="N53" s="69">
        <f>+N12</f>
        <v>8.375</v>
      </c>
      <c r="O53" s="260">
        <f>+Summary!$C$5</f>
        <v>36934</v>
      </c>
      <c r="P53" s="4">
        <f>IF(O53&lt;B53,0,ROUND((+N53*(H53-L53)),2)-ROUND(((H53-L53)*G53),2))</f>
        <v>0</v>
      </c>
      <c r="Q53" s="4">
        <f>IF(J53&lt;(O53+1),(+K53-G53)*L53,0)</f>
        <v>225190.14000000007</v>
      </c>
      <c r="R53" s="5">
        <f>+P53+Q53</f>
        <v>225190.14000000007</v>
      </c>
      <c r="S53" s="4">
        <f>IF(J53&lt;O53,+Q53,0)</f>
        <v>225190.14000000007</v>
      </c>
      <c r="T53" s="4">
        <f>IF(Summary!$E$5&lt;'Daily Position'!B53,0,ROUND(+U53*(H53-L53),2)+M53-I53)</f>
        <v>225190.13999999996</v>
      </c>
      <c r="U53" s="69">
        <f>+U12</f>
        <v>8.25</v>
      </c>
      <c r="V53" s="2"/>
      <c r="W53" s="140"/>
      <c r="X53" s="213"/>
      <c r="Z53" s="4">
        <v>225190.14</v>
      </c>
      <c r="AA53" s="5">
        <v>225190.14</v>
      </c>
      <c r="AB53" s="4">
        <f t="shared" si="13"/>
        <v>0</v>
      </c>
      <c r="AC53" s="4">
        <f t="shared" si="14"/>
        <v>0</v>
      </c>
      <c r="AD53" s="140">
        <f>+AC53</f>
        <v>0</v>
      </c>
    </row>
    <row r="54" spans="1:30" x14ac:dyDescent="0.3">
      <c r="A54" t="s">
        <v>170</v>
      </c>
      <c r="B54" s="266">
        <v>36741</v>
      </c>
      <c r="C54" s="266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0">
        <f>+J13</f>
        <v>36868</v>
      </c>
      <c r="K54" s="2">
        <f>+K13</f>
        <v>6.7199995523740954</v>
      </c>
      <c r="L54" s="3">
        <f>ROUND(+L13/0.6*0.3612,3)</f>
        <v>484154.28600000002</v>
      </c>
      <c r="M54" s="4">
        <f>ROUND(+K54*L54,2)</f>
        <v>3253516.59</v>
      </c>
      <c r="N54" s="69">
        <f>+N13</f>
        <v>0</v>
      </c>
      <c r="O54" s="260">
        <f>+Summary!$C$5</f>
        <v>36934</v>
      </c>
      <c r="P54" s="4">
        <f>IF(O54&lt;B54,0,ROUND((+N54*(H54-L54)),2)-ROUND(((H54-L54)*G54),2))</f>
        <v>0</v>
      </c>
      <c r="Q54" s="4">
        <f>IF(J54&lt;(O54+1),(+K54-G54)*L54,0)</f>
        <v>-438159.84555000026</v>
      </c>
      <c r="R54" s="5">
        <f t="shared" si="12"/>
        <v>-438159.84555000026</v>
      </c>
      <c r="S54" s="4">
        <f>IF(J54&lt;O54,+Q54,0)</f>
        <v>-438159.84555000026</v>
      </c>
      <c r="T54" s="4">
        <f>IF(Summary!$E$5&lt;'Daily Position'!B54,0,ROUND(+U54*(H54-L54),2)+M54-I54)</f>
        <v>-438159.84000000032</v>
      </c>
      <c r="U54" s="69">
        <f>+U13</f>
        <v>0</v>
      </c>
      <c r="V54" s="2"/>
      <c r="W54" s="140"/>
      <c r="X54" s="213"/>
      <c r="Z54" s="4">
        <v>-438159.84555000026</v>
      </c>
      <c r="AA54" s="5">
        <v>-438159.84555000026</v>
      </c>
      <c r="AB54" s="4">
        <f t="shared" si="13"/>
        <v>0</v>
      </c>
      <c r="AC54" s="4">
        <f t="shared" si="14"/>
        <v>0</v>
      </c>
      <c r="AD54" s="140">
        <f>+AC54</f>
        <v>0</v>
      </c>
    </row>
    <row r="55" spans="1:30" x14ac:dyDescent="0.3">
      <c r="A55" s="137" t="s">
        <v>218</v>
      </c>
      <c r="B55" s="266">
        <v>36741</v>
      </c>
      <c r="C55" s="266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2633857.5699999998</v>
      </c>
      <c r="O55" s="260">
        <f>+Summary!$C$5</f>
        <v>36934</v>
      </c>
      <c r="P55" s="4">
        <f>IF(O55&lt;B55,0,(+N55-I55-Q55))</f>
        <v>-113429.63000000035</v>
      </c>
      <c r="Q55" s="4">
        <v>0</v>
      </c>
      <c r="R55" s="5">
        <f t="shared" si="12"/>
        <v>-113429.63000000035</v>
      </c>
      <c r="S55" s="4">
        <v>0</v>
      </c>
      <c r="T55" s="4">
        <f>+U55-I55</f>
        <v>-113429.63000000035</v>
      </c>
      <c r="U55" s="4">
        <f>ROUND(+U17/0.6*0.3612,2)</f>
        <v>2633857.5699999998</v>
      </c>
      <c r="V55" s="232"/>
      <c r="W55" s="140">
        <f>+N55-'MPR Raptor'!U32+'Private Cash'!C375/0.6*0.3612</f>
        <v>-0.12338000044110231</v>
      </c>
      <c r="Z55" s="4">
        <v>0</v>
      </c>
      <c r="AA55" s="5">
        <v>-113429.63</v>
      </c>
      <c r="AB55" s="4">
        <f t="shared" si="13"/>
        <v>0</v>
      </c>
      <c r="AC55" s="4">
        <f t="shared" si="14"/>
        <v>0</v>
      </c>
      <c r="AD55" s="140">
        <f>'MPR Raptor'!AH32-AC55</f>
        <v>0</v>
      </c>
    </row>
    <row r="56" spans="1:30" x14ac:dyDescent="0.3">
      <c r="A56" s="137" t="s">
        <v>224</v>
      </c>
      <c r="B56" s="266">
        <v>36741</v>
      </c>
      <c r="C56" s="266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0</v>
      </c>
      <c r="O56" s="260">
        <f>+Summary!$C$5</f>
        <v>36934</v>
      </c>
      <c r="P56" s="4">
        <f>IF(O56&lt;B56,0,(+N56-I56-Q56))</f>
        <v>-283415.58</v>
      </c>
      <c r="Q56" s="4">
        <v>0</v>
      </c>
      <c r="R56" s="5">
        <f t="shared" si="12"/>
        <v>-283415.58</v>
      </c>
      <c r="S56" s="4">
        <v>0</v>
      </c>
      <c r="T56" s="4">
        <f>+U56-I56</f>
        <v>-283415.58</v>
      </c>
      <c r="U56" s="4">
        <f>ROUND(+U30/0.6*0.3612,2)</f>
        <v>0</v>
      </c>
      <c r="V56" s="232"/>
      <c r="W56" s="140">
        <f>+N56-'MPR Raptor'!U36+'Private Cash'!P375/0.6*0.3612</f>
        <v>0</v>
      </c>
      <c r="Z56" s="4">
        <v>0</v>
      </c>
      <c r="AA56" s="5">
        <v>0</v>
      </c>
      <c r="AB56" s="4">
        <f t="shared" si="13"/>
        <v>0</v>
      </c>
      <c r="AC56" s="4">
        <f t="shared" si="14"/>
        <v>-283415.58</v>
      </c>
      <c r="AD56" s="140">
        <f>'MPR Raptor'!AH36-AC56</f>
        <v>-0.41999999998370185</v>
      </c>
    </row>
    <row r="57" spans="1:30" x14ac:dyDescent="0.3">
      <c r="A57" s="137"/>
      <c r="N57" s="4"/>
      <c r="P57" s="4"/>
      <c r="Q57" s="4"/>
      <c r="R57" s="5"/>
      <c r="T57" s="4"/>
      <c r="U57" s="4"/>
      <c r="V57" s="232"/>
      <c r="W57" s="140"/>
      <c r="AA57" s="4"/>
      <c r="AC57" s="4"/>
    </row>
    <row r="59" spans="1:30" ht="16.2" thickBot="1" x14ac:dyDescent="0.35">
      <c r="B59" s="267" t="s">
        <v>19</v>
      </c>
      <c r="E59" s="78">
        <f>SUM(E4:E58)</f>
        <v>36066314</v>
      </c>
      <c r="I59" s="239">
        <f>SUM(I3:I58)</f>
        <v>733681729.07000005</v>
      </c>
      <c r="J59" s="71"/>
      <c r="K59" s="71"/>
      <c r="L59" s="71"/>
      <c r="M59" s="71"/>
      <c r="P59" s="78">
        <f>SUM(P3:P58)</f>
        <v>-337903157.74353784</v>
      </c>
      <c r="Q59" s="78">
        <f>SUM(Q3:Q58)</f>
        <v>-73827735.572398722</v>
      </c>
      <c r="R59" s="78">
        <f>SUM(R3:R58)</f>
        <v>-411730893.31593657</v>
      </c>
      <c r="S59" s="239">
        <f>SUM(S3:S58)</f>
        <v>-73827735.572398722</v>
      </c>
      <c r="T59" s="78">
        <f>SUM(T3:T58)</f>
        <v>-408758021.5488866</v>
      </c>
      <c r="U59" s="215"/>
      <c r="V59" s="215"/>
      <c r="W59" s="78">
        <f>SUM(W3:W58)</f>
        <v>-0.12337999590090476</v>
      </c>
      <c r="Z59" s="239">
        <f>SUM(Z3:Z58)</f>
        <v>-3506789.972398839</v>
      </c>
      <c r="AA59" s="78">
        <f>SUM(AA3:AA58)</f>
        <v>-304021669.9909367</v>
      </c>
      <c r="AB59" s="239">
        <f>SUM(AB3:AB58)</f>
        <v>-70320945.599999875</v>
      </c>
      <c r="AC59" s="78">
        <f>SUM(AC3:AC58)</f>
        <v>-107709223.33000001</v>
      </c>
      <c r="AD59" s="78">
        <f>SUM(AD3:AD58)</f>
        <v>-0.12424263070897723</v>
      </c>
    </row>
    <row r="60" spans="1:30" ht="16.2" thickTop="1" x14ac:dyDescent="0.3"/>
    <row r="61" spans="1:30" x14ac:dyDescent="0.3">
      <c r="G61" s="2" t="s">
        <v>507</v>
      </c>
      <c r="Q61" s="2">
        <f>SUMIF(Q3:Q58,"&lt;0",Q3:Q58)</f>
        <v>-74791624.710549891</v>
      </c>
      <c r="R61" t="s">
        <v>522</v>
      </c>
      <c r="W61" s="5"/>
      <c r="AA61" s="5"/>
      <c r="AC61" s="220">
        <f>+AC59-'MPR Raptor'!AH80+'MPR Raptor'!AH76+'MPR Raptor'!AH38+AD59</f>
        <v>2.8721842681989074E-9</v>
      </c>
      <c r="AD61" t="s">
        <v>524</v>
      </c>
    </row>
    <row r="62" spans="1:30" x14ac:dyDescent="0.3">
      <c r="G62" s="2" t="s">
        <v>322</v>
      </c>
      <c r="I62" s="4">
        <f>+L10*G10+L12*G12+L13*G13+L51*G51+L53*G53+L54*G54+L5*G5+L6*G6</f>
        <v>26329434.762249883</v>
      </c>
      <c r="Q62" s="2">
        <f>SUMIF(Q3:Q58,"&gt;0",Q3:Q58)</f>
        <v>963889.13815116184</v>
      </c>
      <c r="R62" t="s">
        <v>523</v>
      </c>
      <c r="W62" s="5"/>
      <c r="AA62" s="3"/>
    </row>
    <row r="63" spans="1:30" x14ac:dyDescent="0.3">
      <c r="G63" s="2" t="s">
        <v>316</v>
      </c>
      <c r="I63" s="56">
        <f>+I19+I20+I24+I36+M47</f>
        <v>81826448.640000001</v>
      </c>
      <c r="Q63" s="220">
        <f>+Q61+Q62-Q59</f>
        <v>0</v>
      </c>
      <c r="R63" t="s">
        <v>524</v>
      </c>
      <c r="W63" s="5"/>
      <c r="AA63" s="5"/>
    </row>
    <row r="64" spans="1:30" x14ac:dyDescent="0.3">
      <c r="W64" s="220"/>
    </row>
    <row r="65" spans="7:23" x14ac:dyDescent="0.3">
      <c r="G65" s="2" t="s">
        <v>509</v>
      </c>
      <c r="I65" s="4">
        <f>+I59-I62-I63</f>
        <v>625525845.66775024</v>
      </c>
      <c r="W65" s="227"/>
    </row>
  </sheetData>
  <mergeCells count="5">
    <mergeCell ref="AB1:AC1"/>
    <mergeCell ref="S1:T1"/>
    <mergeCell ref="H1:I1"/>
    <mergeCell ref="J1:M1"/>
    <mergeCell ref="Z1:AA1"/>
  </mergeCells>
  <phoneticPr fontId="0" type="noConversion"/>
  <pageMargins left="0.75" right="0.75" top="1" bottom="1" header="0.5" footer="0.5"/>
  <pageSetup paperSize="5"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18"/>
  <sheetViews>
    <sheetView workbookViewId="0">
      <pane ySplit="4" topLeftCell="A138" activePane="bottomLeft" state="frozen"/>
      <selection pane="bottomLeft" activeCell="B139" sqref="B139"/>
    </sheetView>
  </sheetViews>
  <sheetFormatPr defaultRowHeight="15.6" x14ac:dyDescent="0.3"/>
  <cols>
    <col min="1" max="1" width="10" style="1" bestFit="1" customWidth="1"/>
    <col min="2" max="3" width="9.69921875" style="128" bestFit="1" customWidth="1"/>
    <col min="4" max="4" width="9.09765625" style="128" bestFit="1" customWidth="1"/>
    <col min="5" max="5" width="11.19921875" style="128" customWidth="1"/>
    <col min="6" max="8" width="9.09765625" style="128" bestFit="1" customWidth="1"/>
    <col min="9" max="9" width="9.69921875" style="128" bestFit="1" customWidth="1"/>
    <col min="10" max="11" width="9.09765625" style="128" bestFit="1" customWidth="1"/>
    <col min="12" max="12" width="9.09765625" style="128" customWidth="1"/>
  </cols>
  <sheetData>
    <row r="1" spans="1:15" x14ac:dyDescent="0.3">
      <c r="A1" s="261" t="s">
        <v>161</v>
      </c>
      <c r="B1" s="124"/>
      <c r="C1" s="127"/>
    </row>
    <row r="2" spans="1:15" x14ac:dyDescent="0.3">
      <c r="B2" s="276">
        <v>2</v>
      </c>
      <c r="C2" s="276">
        <f t="shared" ref="C2:L2" si="0">+B2+1</f>
        <v>3</v>
      </c>
      <c r="D2" s="276">
        <f t="shared" si="0"/>
        <v>4</v>
      </c>
      <c r="E2" s="276">
        <f t="shared" si="0"/>
        <v>5</v>
      </c>
      <c r="F2" s="276">
        <f t="shared" si="0"/>
        <v>6</v>
      </c>
      <c r="G2" s="276">
        <f t="shared" si="0"/>
        <v>7</v>
      </c>
      <c r="H2" s="276">
        <f t="shared" si="0"/>
        <v>8</v>
      </c>
      <c r="I2" s="276">
        <f t="shared" si="0"/>
        <v>9</v>
      </c>
      <c r="J2" s="276">
        <f t="shared" si="0"/>
        <v>10</v>
      </c>
      <c r="K2" s="276">
        <f t="shared" si="0"/>
        <v>11</v>
      </c>
      <c r="L2" s="276">
        <f t="shared" si="0"/>
        <v>12</v>
      </c>
    </row>
    <row r="3" spans="1:15" s="275" customFormat="1" ht="46.8" x14ac:dyDescent="0.3">
      <c r="A3" s="273"/>
      <c r="B3" s="274" t="s">
        <v>4</v>
      </c>
      <c r="C3" s="274" t="s">
        <v>13</v>
      </c>
      <c r="D3" s="274" t="s">
        <v>166</v>
      </c>
      <c r="E3" s="274" t="s">
        <v>521</v>
      </c>
      <c r="F3" s="274" t="s">
        <v>532</v>
      </c>
      <c r="G3" s="274" t="s">
        <v>167</v>
      </c>
      <c r="H3" s="274" t="s">
        <v>168</v>
      </c>
      <c r="I3" s="274" t="s">
        <v>453</v>
      </c>
      <c r="J3" s="274" t="s">
        <v>169</v>
      </c>
      <c r="K3" s="274" t="s">
        <v>170</v>
      </c>
      <c r="L3" s="274" t="s">
        <v>180</v>
      </c>
    </row>
    <row r="4" spans="1:15" x14ac:dyDescent="0.3">
      <c r="A4" s="262" t="s">
        <v>1</v>
      </c>
      <c r="B4" s="126" t="s">
        <v>12</v>
      </c>
      <c r="C4" s="126" t="s">
        <v>14</v>
      </c>
      <c r="D4" s="126" t="s">
        <v>172</v>
      </c>
      <c r="E4" s="126" t="s">
        <v>427</v>
      </c>
      <c r="F4" s="126" t="s">
        <v>532</v>
      </c>
      <c r="G4" s="126" t="s">
        <v>173</v>
      </c>
      <c r="H4" s="126" t="s">
        <v>174</v>
      </c>
      <c r="I4" s="126" t="s">
        <v>454</v>
      </c>
      <c r="J4" s="126" t="s">
        <v>176</v>
      </c>
      <c r="K4" s="126" t="s">
        <v>171</v>
      </c>
      <c r="L4" s="126" t="s">
        <v>513</v>
      </c>
    </row>
    <row r="5" spans="1:15" x14ac:dyDescent="0.3">
      <c r="A5" s="1">
        <v>36739</v>
      </c>
      <c r="B5" s="125">
        <v>76</v>
      </c>
      <c r="C5" s="127">
        <v>107.5</v>
      </c>
      <c r="D5" s="128">
        <v>51.766671915874781</v>
      </c>
      <c r="E5" s="128">
        <v>1.7470770057787932</v>
      </c>
      <c r="F5" s="128">
        <v>9.4E-2</v>
      </c>
      <c r="G5" s="128">
        <v>3.3478813829999998</v>
      </c>
      <c r="H5" s="128">
        <v>1.091023692</v>
      </c>
      <c r="I5" s="128">
        <v>1.091023692</v>
      </c>
      <c r="J5" s="128">
        <v>6</v>
      </c>
      <c r="K5" s="128">
        <v>7.125</v>
      </c>
      <c r="N5" s="139"/>
      <c r="O5" s="141"/>
    </row>
    <row r="6" spans="1:15" x14ac:dyDescent="0.3">
      <c r="A6" s="1">
        <v>36740</v>
      </c>
      <c r="B6" s="125">
        <v>77.625</v>
      </c>
      <c r="C6" s="127">
        <v>132</v>
      </c>
      <c r="D6" s="128">
        <v>51.766671915874781</v>
      </c>
      <c r="E6" s="128">
        <v>1.7555705604321403</v>
      </c>
      <c r="F6" s="128">
        <v>7.8E-2</v>
      </c>
      <c r="G6" s="128">
        <v>3.3473850440000001</v>
      </c>
      <c r="H6" s="128">
        <v>1.195439165</v>
      </c>
      <c r="I6" s="128">
        <v>1.195439165</v>
      </c>
      <c r="J6" s="128">
        <v>6</v>
      </c>
      <c r="K6" s="128">
        <v>7.3129999999999997</v>
      </c>
      <c r="N6" s="139"/>
      <c r="O6" s="141"/>
    </row>
    <row r="7" spans="1:15" x14ac:dyDescent="0.3">
      <c r="A7" s="1">
        <v>36741</v>
      </c>
      <c r="B7" s="125">
        <v>78.016000000000005</v>
      </c>
      <c r="C7" s="127">
        <v>163.5</v>
      </c>
      <c r="D7" s="128">
        <v>51.766671915874781</v>
      </c>
      <c r="E7" s="128">
        <v>1.6839552741479187</v>
      </c>
      <c r="F7" s="128">
        <v>9.4E-2</v>
      </c>
      <c r="G7" s="128">
        <v>4.1954025149999996</v>
      </c>
      <c r="H7" s="128">
        <v>1.178683892</v>
      </c>
      <c r="I7" s="128">
        <v>1.178683892</v>
      </c>
      <c r="J7" s="128">
        <v>5.875</v>
      </c>
      <c r="K7" s="128">
        <v>7.625</v>
      </c>
      <c r="N7" s="139"/>
      <c r="O7" s="141"/>
    </row>
    <row r="8" spans="1:15" x14ac:dyDescent="0.3">
      <c r="A8" s="1">
        <v>36742</v>
      </c>
      <c r="B8" s="125">
        <v>78</v>
      </c>
      <c r="C8" s="127">
        <v>156</v>
      </c>
      <c r="D8" s="128">
        <v>51.766671915874781</v>
      </c>
      <c r="E8" s="128">
        <v>1.6784155756965424</v>
      </c>
      <c r="F8" s="128">
        <v>6.3E-2</v>
      </c>
      <c r="G8" s="128">
        <v>4.2172622339999997</v>
      </c>
      <c r="H8" s="128">
        <v>1.1355365209999999</v>
      </c>
      <c r="I8" s="128">
        <v>1.1355365209999999</v>
      </c>
      <c r="J8" s="128">
        <v>5.625</v>
      </c>
      <c r="K8" s="128">
        <v>7.5</v>
      </c>
      <c r="N8" s="139"/>
      <c r="O8" s="141"/>
    </row>
    <row r="9" spans="1:15" x14ac:dyDescent="0.3">
      <c r="A9" s="1">
        <v>36745</v>
      </c>
      <c r="B9" s="125">
        <v>80.266000000000005</v>
      </c>
      <c r="C9" s="127">
        <v>140.625</v>
      </c>
      <c r="D9" s="128">
        <v>51.766671915874781</v>
      </c>
      <c r="E9" s="128">
        <v>1.6812373907195695</v>
      </c>
      <c r="F9" s="128">
        <v>6.3E-2</v>
      </c>
      <c r="G9" s="128">
        <v>4.4795166740000001</v>
      </c>
      <c r="H9" s="128">
        <v>1.0992201509999999</v>
      </c>
      <c r="I9" s="128">
        <v>1.0992201509999999</v>
      </c>
      <c r="J9" s="128">
        <v>5.75</v>
      </c>
      <c r="K9" s="128">
        <v>7.75</v>
      </c>
      <c r="N9" s="139"/>
      <c r="O9" s="141"/>
    </row>
    <row r="10" spans="1:15" x14ac:dyDescent="0.3">
      <c r="A10" s="1">
        <v>36746</v>
      </c>
      <c r="B10" s="125">
        <v>82.438000000000002</v>
      </c>
      <c r="C10" s="127">
        <v>125.672</v>
      </c>
      <c r="D10" s="128">
        <v>52.75</v>
      </c>
      <c r="E10" s="128">
        <v>1.680672268907563</v>
      </c>
      <c r="F10" s="128">
        <v>7.8E-2</v>
      </c>
      <c r="G10" s="128">
        <v>5.058480426</v>
      </c>
      <c r="H10" s="128">
        <v>1.1132443359999999</v>
      </c>
      <c r="I10" s="128">
        <v>1.1132443359999999</v>
      </c>
      <c r="J10" s="128">
        <v>5.75</v>
      </c>
      <c r="K10" s="128">
        <v>7.6879999999999997</v>
      </c>
      <c r="N10" s="139"/>
      <c r="O10" s="141"/>
    </row>
    <row r="11" spans="1:15" x14ac:dyDescent="0.3">
      <c r="A11" s="1">
        <v>36747</v>
      </c>
      <c r="B11" s="125">
        <v>82.296999999999997</v>
      </c>
      <c r="C11" s="127">
        <v>138.375</v>
      </c>
      <c r="D11" s="128">
        <v>52</v>
      </c>
      <c r="E11" s="128">
        <v>1.6185594820609659</v>
      </c>
      <c r="F11" s="128">
        <v>6.3E-2</v>
      </c>
      <c r="G11" s="128">
        <v>4.9983845010000003</v>
      </c>
      <c r="H11" s="128">
        <v>1.256169847</v>
      </c>
      <c r="I11" s="128">
        <v>1.256169847</v>
      </c>
      <c r="J11" s="128">
        <v>6.0625</v>
      </c>
      <c r="K11" s="128">
        <v>7.75</v>
      </c>
      <c r="N11" s="139"/>
      <c r="O11" s="141"/>
    </row>
    <row r="12" spans="1:15" x14ac:dyDescent="0.3">
      <c r="A12" s="1">
        <v>36748</v>
      </c>
      <c r="B12" s="125">
        <v>80.766000000000005</v>
      </c>
      <c r="C12" s="127">
        <v>132.875</v>
      </c>
      <c r="D12" s="128">
        <v>42.625</v>
      </c>
      <c r="E12" s="128">
        <v>1.6863406408094437</v>
      </c>
      <c r="F12" s="128">
        <v>7.8E-2</v>
      </c>
      <c r="G12" s="128">
        <v>5.0553505640000003</v>
      </c>
      <c r="H12" s="128">
        <v>1.2723610510000001</v>
      </c>
      <c r="I12" s="128">
        <v>1.2723610510000001</v>
      </c>
      <c r="J12" s="128">
        <v>5.75</v>
      </c>
      <c r="K12" s="128">
        <v>7.75</v>
      </c>
      <c r="N12" s="139"/>
      <c r="O12" s="141"/>
    </row>
    <row r="13" spans="1:15" x14ac:dyDescent="0.3">
      <c r="A13" s="1">
        <v>36749</v>
      </c>
      <c r="B13" s="125">
        <v>80.25</v>
      </c>
      <c r="C13" s="127">
        <v>130.5</v>
      </c>
      <c r="D13" s="128">
        <v>44.813000000000002</v>
      </c>
      <c r="E13" s="128">
        <v>1.6250842886041807</v>
      </c>
      <c r="F13" s="128">
        <v>6.3E-2</v>
      </c>
      <c r="G13" s="128">
        <v>4.8279226250000002</v>
      </c>
      <c r="H13" s="128">
        <v>1.3152734960000001</v>
      </c>
      <c r="I13" s="128">
        <v>1.3152734960000001</v>
      </c>
      <c r="J13" s="128">
        <v>6</v>
      </c>
      <c r="K13" s="128">
        <v>7.875</v>
      </c>
      <c r="N13" s="139"/>
      <c r="O13" s="141"/>
    </row>
    <row r="14" spans="1:15" x14ac:dyDescent="0.3">
      <c r="A14" s="1">
        <v>36752</v>
      </c>
      <c r="B14" s="125">
        <v>84.25</v>
      </c>
      <c r="C14" s="127">
        <v>128.25</v>
      </c>
      <c r="D14" s="128">
        <v>47.75</v>
      </c>
      <c r="E14" s="128">
        <v>1.5820654369193483</v>
      </c>
      <c r="F14" s="128">
        <v>6.3E-2</v>
      </c>
      <c r="G14" s="128">
        <v>5.2071843949999996</v>
      </c>
      <c r="H14" s="128">
        <v>1.4879492990000001</v>
      </c>
      <c r="I14" s="128">
        <v>1.4879492990000001</v>
      </c>
      <c r="J14" s="128">
        <v>6</v>
      </c>
      <c r="K14" s="128">
        <v>8.1880000000000006</v>
      </c>
      <c r="N14" s="139"/>
      <c r="O14" s="141"/>
    </row>
    <row r="15" spans="1:15" x14ac:dyDescent="0.3">
      <c r="A15" s="1">
        <v>36753</v>
      </c>
      <c r="B15" s="125">
        <v>82.125</v>
      </c>
      <c r="C15" s="127">
        <v>128.46899999999999</v>
      </c>
      <c r="D15" s="128">
        <v>45.75</v>
      </c>
      <c r="E15" s="128">
        <v>1.6177957532861476</v>
      </c>
      <c r="F15" s="128">
        <v>6.3E-2</v>
      </c>
      <c r="G15" s="128">
        <v>5.8325034799999997</v>
      </c>
      <c r="H15" s="128">
        <v>1.7454882570000001</v>
      </c>
      <c r="I15" s="128">
        <v>1.7454882570000001</v>
      </c>
      <c r="J15" s="128">
        <v>6.0625</v>
      </c>
      <c r="K15" s="128">
        <v>7.9379999999999997</v>
      </c>
      <c r="N15" s="139"/>
      <c r="O15" s="141"/>
    </row>
    <row r="16" spans="1:15" x14ac:dyDescent="0.3">
      <c r="A16" s="1">
        <v>36754</v>
      </c>
      <c r="B16" s="128">
        <v>84.016000000000005</v>
      </c>
      <c r="C16" s="128">
        <v>137.75</v>
      </c>
      <c r="D16" s="128">
        <v>46.813000000000002</v>
      </c>
      <c r="E16" s="128">
        <v>1.6374585560592732</v>
      </c>
      <c r="F16" s="128">
        <v>6.3E-2</v>
      </c>
      <c r="G16" s="128">
        <v>5.4186674110000004</v>
      </c>
      <c r="H16" s="128">
        <v>1.7456441</v>
      </c>
      <c r="I16" s="128">
        <v>1.7456441</v>
      </c>
      <c r="J16" s="128">
        <v>5.8125</v>
      </c>
      <c r="K16" s="128">
        <v>7.75</v>
      </c>
      <c r="N16" s="139"/>
      <c r="O16" s="141"/>
    </row>
    <row r="17" spans="1:15" x14ac:dyDescent="0.3">
      <c r="A17" s="1">
        <v>36755</v>
      </c>
      <c r="B17" s="128">
        <v>90</v>
      </c>
      <c r="C17" s="128">
        <v>153.93799999999999</v>
      </c>
      <c r="D17" s="128">
        <v>50.719000000000001</v>
      </c>
      <c r="E17" s="128">
        <v>1.8379111563241777</v>
      </c>
      <c r="F17" s="128">
        <v>7.8E-2</v>
      </c>
      <c r="G17" s="128">
        <v>5.714406672</v>
      </c>
      <c r="H17" s="128">
        <v>1.743570252</v>
      </c>
      <c r="I17" s="128">
        <v>1.743570252</v>
      </c>
      <c r="J17" s="128">
        <v>5.75</v>
      </c>
      <c r="K17" s="128">
        <v>7.75</v>
      </c>
      <c r="N17" s="139"/>
      <c r="O17" s="141"/>
    </row>
    <row r="18" spans="1:15" x14ac:dyDescent="0.3">
      <c r="A18" s="1">
        <v>36756</v>
      </c>
      <c r="B18" s="128">
        <v>86.938000000000002</v>
      </c>
      <c r="C18" s="128">
        <v>152</v>
      </c>
      <c r="D18" s="128">
        <v>49.125</v>
      </c>
      <c r="E18" s="128">
        <v>1.8428184281842821</v>
      </c>
      <c r="F18" s="128">
        <v>7.9000000000000001E-2</v>
      </c>
      <c r="G18" s="128">
        <v>5.2978747479999999</v>
      </c>
      <c r="H18" s="128">
        <v>1.7220509530000001</v>
      </c>
      <c r="I18" s="128">
        <v>1.7220509530000001</v>
      </c>
      <c r="J18" s="128">
        <v>5.75</v>
      </c>
      <c r="K18" s="128">
        <v>7.75</v>
      </c>
      <c r="N18" s="139"/>
      <c r="O18" s="141"/>
    </row>
    <row r="19" spans="1:15" x14ac:dyDescent="0.3">
      <c r="A19" s="1">
        <v>36759</v>
      </c>
      <c r="B19" s="128">
        <v>87.875</v>
      </c>
      <c r="C19" s="128">
        <v>142</v>
      </c>
      <c r="D19" s="128">
        <v>48.25</v>
      </c>
      <c r="E19" s="128">
        <v>1.8101694915254236</v>
      </c>
      <c r="F19" s="128">
        <v>7.9000000000000001E-2</v>
      </c>
      <c r="G19" s="128">
        <v>6.0969663010000001</v>
      </c>
      <c r="H19" s="128">
        <v>1.8724089479999999</v>
      </c>
      <c r="I19" s="128">
        <v>1.8724089479999999</v>
      </c>
      <c r="J19" s="128">
        <v>5.5625</v>
      </c>
      <c r="K19" s="128">
        <v>8.1875</v>
      </c>
      <c r="N19" s="139"/>
      <c r="O19" s="141"/>
    </row>
    <row r="20" spans="1:15" x14ac:dyDescent="0.3">
      <c r="A20" s="1">
        <v>36760</v>
      </c>
      <c r="B20" s="128">
        <v>87.5</v>
      </c>
      <c r="C20" s="128">
        <v>131.25</v>
      </c>
      <c r="D20" s="128">
        <v>45.125</v>
      </c>
      <c r="E20" s="128">
        <v>1.8286488316965799</v>
      </c>
      <c r="F20" s="128">
        <v>6.3E-2</v>
      </c>
      <c r="G20" s="128">
        <v>7.9353524090000001</v>
      </c>
      <c r="H20" s="128">
        <v>1.7781008840000001</v>
      </c>
      <c r="I20" s="128">
        <v>1.7781008840000001</v>
      </c>
      <c r="J20" s="128">
        <v>5.5625</v>
      </c>
      <c r="K20" s="128">
        <v>8.375</v>
      </c>
    </row>
    <row r="21" spans="1:15" x14ac:dyDescent="0.3">
      <c r="A21" s="1">
        <v>36761</v>
      </c>
      <c r="B21" s="128">
        <v>90</v>
      </c>
      <c r="C21" s="128">
        <v>137.875</v>
      </c>
      <c r="D21" s="128">
        <v>49.609000000000002</v>
      </c>
      <c r="E21" s="128">
        <v>1.852475581003705</v>
      </c>
      <c r="F21" s="128">
        <v>6.3E-2</v>
      </c>
      <c r="G21" s="128">
        <v>7.564614422</v>
      </c>
      <c r="H21" s="128">
        <v>1.8840527970000001</v>
      </c>
      <c r="I21" s="128">
        <v>1.8840527970000001</v>
      </c>
      <c r="J21" s="128">
        <v>5.9690000000000003</v>
      </c>
      <c r="K21" s="128">
        <v>8.3130000000000006</v>
      </c>
    </row>
    <row r="22" spans="1:15" x14ac:dyDescent="0.3">
      <c r="A22" s="1">
        <v>36762</v>
      </c>
      <c r="B22" s="128">
        <v>86</v>
      </c>
      <c r="C22" s="128">
        <v>131</v>
      </c>
      <c r="D22" s="128">
        <v>49.625</v>
      </c>
      <c r="E22" s="128">
        <v>1.7888365837256219</v>
      </c>
      <c r="F22" s="128">
        <v>7.0000000000000007E-2</v>
      </c>
      <c r="G22" s="128">
        <v>7.3167034531508568</v>
      </c>
      <c r="H22" s="128">
        <v>1.9692292968718779</v>
      </c>
      <c r="I22" s="128">
        <v>1.9692292968718779</v>
      </c>
      <c r="J22" s="128">
        <v>5.96875</v>
      </c>
      <c r="K22" s="128">
        <v>8.3125</v>
      </c>
    </row>
    <row r="23" spans="1:15" x14ac:dyDescent="0.3">
      <c r="A23" s="1">
        <v>36763</v>
      </c>
      <c r="B23" s="128">
        <v>84.875</v>
      </c>
      <c r="C23" s="128">
        <v>133</v>
      </c>
      <c r="D23" s="128">
        <v>47.75</v>
      </c>
      <c r="E23" s="128">
        <v>1.7845117845117844</v>
      </c>
      <c r="F23" s="128">
        <v>0.08</v>
      </c>
      <c r="G23" s="128">
        <v>7.1953257961566939</v>
      </c>
      <c r="H23" s="128">
        <v>2.1106960388386247</v>
      </c>
      <c r="I23" s="128">
        <v>2.1106960388386247</v>
      </c>
      <c r="J23" s="128">
        <v>5.875</v>
      </c>
      <c r="K23" s="128">
        <v>8.25</v>
      </c>
    </row>
    <row r="24" spans="1:15" x14ac:dyDescent="0.3">
      <c r="A24" s="1">
        <v>36766</v>
      </c>
      <c r="B24" s="128">
        <v>86.625</v>
      </c>
      <c r="C24" s="128">
        <v>133</v>
      </c>
      <c r="D24" s="128">
        <v>52.75</v>
      </c>
      <c r="E24" s="128">
        <v>1.6936572199730093</v>
      </c>
      <c r="F24" s="128">
        <v>7.0000000000000007E-2</v>
      </c>
      <c r="G24" s="128">
        <v>8.047342388567607</v>
      </c>
      <c r="H24" s="128">
        <v>2.4858920891218497</v>
      </c>
      <c r="I24" s="128">
        <v>2.4858920891218497</v>
      </c>
      <c r="J24" s="128">
        <v>6.25</v>
      </c>
      <c r="K24" s="128">
        <v>8.5</v>
      </c>
    </row>
    <row r="25" spans="1:15" x14ac:dyDescent="0.3">
      <c r="A25" s="1">
        <v>36767</v>
      </c>
      <c r="B25" s="128">
        <v>86.25</v>
      </c>
      <c r="C25" s="128">
        <v>131</v>
      </c>
      <c r="D25" s="128">
        <v>61.875</v>
      </c>
      <c r="E25" s="128">
        <v>1.7703284868066773</v>
      </c>
      <c r="F25" s="128">
        <v>7.0000000000000007E-2</v>
      </c>
      <c r="G25" s="128">
        <v>8.4774343890087049</v>
      </c>
      <c r="H25" s="128">
        <v>2.3334306441688892</v>
      </c>
      <c r="I25" s="128">
        <v>2.3334306441688892</v>
      </c>
      <c r="J25" s="128">
        <v>6.25</v>
      </c>
      <c r="K25" s="128">
        <v>8.5</v>
      </c>
    </row>
    <row r="26" spans="1:15" x14ac:dyDescent="0.3">
      <c r="A26" s="1">
        <v>36768</v>
      </c>
      <c r="B26" s="128">
        <v>84.875</v>
      </c>
      <c r="C26" s="128">
        <v>134.5</v>
      </c>
      <c r="D26" s="128">
        <v>59.4375</v>
      </c>
      <c r="E26" s="128">
        <v>1.6993906567366281</v>
      </c>
      <c r="F26" s="128">
        <v>8.5000000000000006E-2</v>
      </c>
      <c r="G26" s="128">
        <v>7.9887177404242067</v>
      </c>
      <c r="H26" s="128">
        <v>2.5114356133082487</v>
      </c>
      <c r="I26" s="128">
        <v>2.5114356133082487</v>
      </c>
      <c r="J26" s="128">
        <v>6.125</v>
      </c>
      <c r="K26" s="128">
        <v>8.375</v>
      </c>
    </row>
    <row r="27" spans="1:15" x14ac:dyDescent="0.3">
      <c r="A27" s="1">
        <v>36769</v>
      </c>
      <c r="B27" s="128">
        <v>84.875</v>
      </c>
      <c r="C27" s="128">
        <v>149.8125</v>
      </c>
      <c r="D27" s="128">
        <v>70.25</v>
      </c>
      <c r="E27" s="128">
        <v>1.6649677200135917</v>
      </c>
      <c r="F27" s="128">
        <v>0.08</v>
      </c>
      <c r="G27" s="128">
        <v>7.7954395910271872</v>
      </c>
      <c r="H27" s="128">
        <v>2.6833039952854225</v>
      </c>
      <c r="I27" s="128">
        <v>2.6833039952854225</v>
      </c>
      <c r="J27" s="128">
        <v>5.9375</v>
      </c>
      <c r="K27" s="128">
        <v>8.3125</v>
      </c>
    </row>
    <row r="28" spans="1:15" x14ac:dyDescent="0.3">
      <c r="A28" s="1">
        <v>36770</v>
      </c>
      <c r="B28" s="128">
        <v>85.328000000000003</v>
      </c>
      <c r="C28" s="128">
        <v>144</v>
      </c>
      <c r="D28" s="128">
        <v>64.9375</v>
      </c>
      <c r="E28" s="128">
        <v>1.7315135465471583</v>
      </c>
      <c r="F28" s="128">
        <v>7.4999999999999997E-2</v>
      </c>
      <c r="G28" s="128">
        <v>7.7864410316933181</v>
      </c>
      <c r="H28" s="128">
        <v>2.6691227539925695</v>
      </c>
      <c r="I28" s="128">
        <v>2.6691227539925695</v>
      </c>
      <c r="J28" s="128">
        <v>5.875</v>
      </c>
      <c r="K28" s="128">
        <v>8.5625</v>
      </c>
    </row>
    <row r="29" spans="1:15" x14ac:dyDescent="0.3">
      <c r="A29" s="1">
        <v>36774</v>
      </c>
      <c r="B29" s="128">
        <v>85</v>
      </c>
      <c r="C29" s="128">
        <v>133</v>
      </c>
      <c r="D29" s="128">
        <v>66</v>
      </c>
      <c r="E29" s="128">
        <v>1.7406143344709895</v>
      </c>
      <c r="F29" s="128">
        <v>7.0000000000000007E-2</v>
      </c>
      <c r="G29" s="128">
        <v>7.0569263334672527</v>
      </c>
      <c r="H29" s="128">
        <v>2.0248756687309806</v>
      </c>
      <c r="I29" s="128">
        <v>2.0248756687309806</v>
      </c>
      <c r="J29" s="128">
        <v>5.875</v>
      </c>
      <c r="K29" s="128">
        <v>8.5625</v>
      </c>
    </row>
    <row r="30" spans="1:15" x14ac:dyDescent="0.3">
      <c r="A30" s="1">
        <v>36775</v>
      </c>
      <c r="B30" s="128">
        <v>84.375</v>
      </c>
      <c r="C30" s="128">
        <v>130.375</v>
      </c>
      <c r="D30" s="128">
        <v>67</v>
      </c>
      <c r="E30" s="128">
        <v>1.8221082467269538</v>
      </c>
      <c r="F30" s="128">
        <v>6.9000000000000006E-2</v>
      </c>
      <c r="G30" s="128">
        <v>7.3609937565012604</v>
      </c>
      <c r="H30" s="128">
        <v>2.2939211643713957</v>
      </c>
      <c r="I30" s="128">
        <v>2.2939211643713957</v>
      </c>
      <c r="J30" s="128">
        <v>6.125</v>
      </c>
      <c r="K30" s="128">
        <v>8.375</v>
      </c>
    </row>
    <row r="31" spans="1:15" x14ac:dyDescent="0.3">
      <c r="A31" s="1">
        <v>36776</v>
      </c>
      <c r="B31" s="128">
        <v>83.875</v>
      </c>
      <c r="C31" s="128">
        <v>136</v>
      </c>
      <c r="D31" s="128">
        <v>68</v>
      </c>
      <c r="E31" s="128">
        <v>1.6238159675236805</v>
      </c>
      <c r="F31" s="128">
        <v>6.9000000000000006E-2</v>
      </c>
      <c r="G31" s="128">
        <v>8.7640182128786499</v>
      </c>
      <c r="H31" s="128">
        <v>2.4482673632249905</v>
      </c>
      <c r="I31" s="128">
        <v>2.4482673632249905</v>
      </c>
      <c r="J31" s="128">
        <v>6</v>
      </c>
      <c r="K31" s="128">
        <v>8.3125</v>
      </c>
    </row>
    <row r="32" spans="1:15" x14ac:dyDescent="0.3">
      <c r="A32" s="1">
        <v>36777</v>
      </c>
      <c r="B32" s="128">
        <v>84.218999999999994</v>
      </c>
      <c r="C32" s="128">
        <v>127.390625</v>
      </c>
      <c r="D32" s="128">
        <v>63.125</v>
      </c>
      <c r="E32" s="128">
        <v>1.6860780065005421</v>
      </c>
      <c r="F32" s="128">
        <v>6.4000000000000001E-2</v>
      </c>
      <c r="G32" s="128">
        <v>8.1499511212772475</v>
      </c>
      <c r="H32" s="128">
        <v>2.2881773227447089</v>
      </c>
      <c r="I32" s="128">
        <v>2.2881773227447089</v>
      </c>
      <c r="J32" s="128">
        <v>6</v>
      </c>
      <c r="K32" s="128">
        <v>8.1875</v>
      </c>
    </row>
    <row r="33" spans="1:11" x14ac:dyDescent="0.3">
      <c r="A33" s="1">
        <v>36780</v>
      </c>
      <c r="B33" s="128">
        <v>86.016000000000005</v>
      </c>
      <c r="C33" s="128">
        <v>116.0625</v>
      </c>
      <c r="D33" s="128">
        <v>57.375</v>
      </c>
      <c r="E33" s="128">
        <v>1.6886187098953058</v>
      </c>
      <c r="F33" s="128">
        <v>0.06</v>
      </c>
      <c r="G33" s="128">
        <v>9.0073315081374599</v>
      </c>
      <c r="H33" s="128">
        <v>2.0410484283914525</v>
      </c>
      <c r="I33" s="128">
        <v>2.0471069604920809</v>
      </c>
      <c r="J33" s="128">
        <v>6.125</v>
      </c>
      <c r="K33" s="128">
        <v>8.375</v>
      </c>
    </row>
    <row r="34" spans="1:11" x14ac:dyDescent="0.3">
      <c r="A34" s="1">
        <v>36781</v>
      </c>
      <c r="B34" s="128">
        <v>86.125</v>
      </c>
      <c r="C34" s="128">
        <v>102</v>
      </c>
      <c r="D34" s="128">
        <v>65.734375</v>
      </c>
      <c r="E34" s="128">
        <v>1.6880486158001349</v>
      </c>
      <c r="F34" s="128">
        <v>5.5E-2</v>
      </c>
      <c r="G34" s="128">
        <v>8.0903620256926327</v>
      </c>
      <c r="H34" s="128">
        <v>2.1838464359527054</v>
      </c>
      <c r="I34" s="128">
        <v>2.1901965490408859</v>
      </c>
      <c r="J34" s="128">
        <v>6</v>
      </c>
      <c r="K34" s="128">
        <v>8.375</v>
      </c>
    </row>
    <row r="35" spans="1:11" x14ac:dyDescent="0.3">
      <c r="A35" s="1">
        <v>36782</v>
      </c>
      <c r="B35" s="128">
        <v>86.688000000000002</v>
      </c>
      <c r="C35" s="128">
        <v>101.625</v>
      </c>
      <c r="D35" s="128">
        <v>72.75</v>
      </c>
      <c r="E35" s="128">
        <v>1.5649241146711634</v>
      </c>
      <c r="F35" s="128">
        <v>0.06</v>
      </c>
      <c r="G35" s="128">
        <v>8.2060857330679866</v>
      </c>
      <c r="H35" s="128">
        <v>2.4274163026304776</v>
      </c>
      <c r="I35" s="128">
        <v>2.4342420299739884</v>
      </c>
      <c r="J35" s="128">
        <v>6</v>
      </c>
      <c r="K35" s="128">
        <v>8.25</v>
      </c>
    </row>
    <row r="36" spans="1:11" x14ac:dyDescent="0.3">
      <c r="A36" s="1">
        <v>36783</v>
      </c>
      <c r="B36" s="128">
        <v>86.703000000000003</v>
      </c>
      <c r="C36" s="128">
        <v>100.125</v>
      </c>
      <c r="D36" s="128">
        <v>68.5</v>
      </c>
      <c r="E36" s="128">
        <v>1.6478342749529193</v>
      </c>
      <c r="F36" s="128">
        <v>0.06</v>
      </c>
      <c r="G36" s="128">
        <v>8.2682113865368265</v>
      </c>
      <c r="H36" s="128">
        <v>2.1744383038369914</v>
      </c>
      <c r="I36" s="128">
        <v>2.1807726778711478</v>
      </c>
      <c r="J36" s="128">
        <v>5.875</v>
      </c>
      <c r="K36" s="128">
        <v>8.375</v>
      </c>
    </row>
    <row r="37" spans="1:11" x14ac:dyDescent="0.3">
      <c r="A37" s="1">
        <v>36784</v>
      </c>
      <c r="B37" s="128">
        <v>89.438000000000002</v>
      </c>
      <c r="C37" s="128">
        <v>95.5</v>
      </c>
      <c r="D37" s="128">
        <v>73.5625</v>
      </c>
      <c r="E37" s="128">
        <v>1.6520566419420095</v>
      </c>
      <c r="F37" s="128">
        <v>6.2E-2</v>
      </c>
      <c r="G37" s="128">
        <v>9.0599249893546876</v>
      </c>
      <c r="H37" s="128">
        <v>2.1207670955167699</v>
      </c>
      <c r="I37" s="128">
        <v>2.1269946168917619</v>
      </c>
      <c r="J37" s="128">
        <v>6</v>
      </c>
      <c r="K37" s="128">
        <v>8.625</v>
      </c>
    </row>
    <row r="38" spans="1:11" x14ac:dyDescent="0.3">
      <c r="A38" s="1">
        <v>36787</v>
      </c>
      <c r="B38" s="128">
        <v>89.625</v>
      </c>
      <c r="C38" s="128">
        <v>88.375</v>
      </c>
      <c r="D38" s="128">
        <v>70.0625</v>
      </c>
      <c r="E38" s="128">
        <v>1.6465053763440862</v>
      </c>
      <c r="F38" s="128">
        <v>0.06</v>
      </c>
      <c r="G38" s="128">
        <v>9.9177860307027572</v>
      </c>
      <c r="H38" s="128">
        <v>2.0158078390712428</v>
      </c>
      <c r="I38" s="128">
        <v>2.0218206504632712</v>
      </c>
      <c r="J38" s="128">
        <v>6.03125</v>
      </c>
      <c r="K38" s="128">
        <v>8.25</v>
      </c>
    </row>
    <row r="39" spans="1:11" x14ac:dyDescent="0.3">
      <c r="A39" s="1">
        <v>36788</v>
      </c>
      <c r="B39" s="128">
        <v>84.875</v>
      </c>
      <c r="C39" s="128">
        <v>104.1875</v>
      </c>
      <c r="D39" s="128">
        <v>68.875</v>
      </c>
      <c r="E39" s="128">
        <v>1.6194331983805668</v>
      </c>
      <c r="F39" s="128">
        <v>0.06</v>
      </c>
      <c r="G39" s="128">
        <v>9.3691321638103808</v>
      </c>
      <c r="H39" s="128">
        <v>2.0184435116186297</v>
      </c>
      <c r="I39" s="128">
        <v>2.0244597844025094</v>
      </c>
      <c r="J39" s="128">
        <v>6</v>
      </c>
      <c r="K39" s="128">
        <v>8.5</v>
      </c>
    </row>
    <row r="40" spans="1:11" x14ac:dyDescent="0.3">
      <c r="A40" s="1">
        <v>36789</v>
      </c>
      <c r="B40" s="128">
        <v>82.171999999999997</v>
      </c>
      <c r="C40" s="128">
        <v>112.0625</v>
      </c>
      <c r="D40" s="128">
        <v>67.3125</v>
      </c>
      <c r="E40" s="128">
        <v>1.5507011866235165</v>
      </c>
      <c r="F40" s="128">
        <v>6.5000000000000002E-2</v>
      </c>
      <c r="G40" s="128">
        <v>9.0066143450196545</v>
      </c>
      <c r="H40" s="128">
        <v>2.0699238479102693</v>
      </c>
      <c r="I40" s="128">
        <v>2.0760444195115375</v>
      </c>
      <c r="J40" s="128">
        <v>6</v>
      </c>
      <c r="K40" s="128">
        <v>8.625</v>
      </c>
    </row>
    <row r="41" spans="1:11" x14ac:dyDescent="0.3">
      <c r="A41" s="1">
        <v>36790</v>
      </c>
      <c r="B41" s="128">
        <v>80.75</v>
      </c>
      <c r="C41" s="128">
        <v>110.625</v>
      </c>
      <c r="D41" s="128">
        <v>70</v>
      </c>
      <c r="E41" s="128">
        <v>1.5130119023602986</v>
      </c>
      <c r="F41" s="128">
        <v>5.5E-2</v>
      </c>
      <c r="G41" s="128">
        <v>8.1495284877701177</v>
      </c>
      <c r="H41" s="128">
        <v>2.0194621249881006</v>
      </c>
      <c r="I41" s="128">
        <v>2.0254784816739431</v>
      </c>
      <c r="J41" s="128">
        <v>6.875</v>
      </c>
      <c r="K41" s="128">
        <v>8.5</v>
      </c>
    </row>
    <row r="42" spans="1:11" x14ac:dyDescent="0.3">
      <c r="A42" s="1">
        <v>36791</v>
      </c>
      <c r="B42" s="128">
        <v>83</v>
      </c>
      <c r="C42" s="128">
        <v>115.5</v>
      </c>
      <c r="D42" s="128">
        <v>68.625</v>
      </c>
      <c r="E42" s="128">
        <v>1.5111827523675199</v>
      </c>
      <c r="F42" s="128">
        <v>0.06</v>
      </c>
      <c r="G42" s="128">
        <v>6.9924366501342829</v>
      </c>
      <c r="H42" s="128">
        <v>2.1575212781101847</v>
      </c>
      <c r="I42" s="128">
        <v>2.1638234427571188</v>
      </c>
      <c r="J42" s="128">
        <v>6.625</v>
      </c>
      <c r="K42" s="128">
        <v>8.75</v>
      </c>
    </row>
    <row r="43" spans="1:11" x14ac:dyDescent="0.3">
      <c r="A43" s="1">
        <v>36794</v>
      </c>
      <c r="B43" s="128">
        <v>84.438000000000002</v>
      </c>
      <c r="C43" s="128">
        <v>115.984375</v>
      </c>
      <c r="D43" s="128">
        <v>66</v>
      </c>
      <c r="E43" s="128">
        <v>1.3453518094981838</v>
      </c>
      <c r="F43" s="128">
        <v>5.5E-2</v>
      </c>
      <c r="G43" s="128">
        <v>6.4486707903632823</v>
      </c>
      <c r="H43" s="128">
        <v>1.691508710652273</v>
      </c>
      <c r="I43" s="128">
        <v>1.6968086675415301</v>
      </c>
      <c r="J43" s="128">
        <v>6.375</v>
      </c>
      <c r="K43" s="128">
        <v>8.75</v>
      </c>
    </row>
    <row r="44" spans="1:11" x14ac:dyDescent="0.3">
      <c r="A44" s="1">
        <v>36795</v>
      </c>
      <c r="B44" s="128">
        <v>85.5</v>
      </c>
      <c r="C44" s="128">
        <v>104.8125</v>
      </c>
      <c r="D44" s="128">
        <v>64.375</v>
      </c>
      <c r="E44" s="128">
        <v>1.345080368552021</v>
      </c>
      <c r="F44" s="128">
        <v>0.05</v>
      </c>
      <c r="G44" s="128">
        <v>6.8039761022106857</v>
      </c>
      <c r="H44" s="128">
        <v>1.5582551454775657</v>
      </c>
      <c r="I44" s="128">
        <v>1.5582551454775659</v>
      </c>
      <c r="J44" s="128">
        <v>6.25</v>
      </c>
      <c r="K44" s="128">
        <v>8.75</v>
      </c>
    </row>
    <row r="45" spans="1:11" x14ac:dyDescent="0.3">
      <c r="A45" s="1">
        <v>36796</v>
      </c>
      <c r="B45" s="128">
        <v>87.453000000000003</v>
      </c>
      <c r="C45" s="128">
        <v>101.5625</v>
      </c>
      <c r="D45" s="128">
        <v>65.125</v>
      </c>
      <c r="E45" s="128">
        <v>1.5379471748579068</v>
      </c>
      <c r="F45" s="128">
        <v>0.05</v>
      </c>
      <c r="G45" s="128">
        <v>6.6826166710722541</v>
      </c>
      <c r="H45" s="128">
        <v>1.682606759577477</v>
      </c>
      <c r="I45" s="128">
        <v>1.682606759577477</v>
      </c>
      <c r="J45" s="128">
        <v>6.375</v>
      </c>
      <c r="K45" s="128">
        <v>8.8125</v>
      </c>
    </row>
    <row r="46" spans="1:11" x14ac:dyDescent="0.3">
      <c r="A46" s="1">
        <v>36797</v>
      </c>
      <c r="B46" s="128">
        <v>89.25</v>
      </c>
      <c r="C46" s="128">
        <v>102.875</v>
      </c>
      <c r="D46" s="128">
        <v>60</v>
      </c>
      <c r="E46" s="128">
        <v>1.4995001666111296</v>
      </c>
      <c r="F46" s="128">
        <v>4.4999999999999998E-2</v>
      </c>
      <c r="G46" s="128">
        <v>6.7739978763979822</v>
      </c>
      <c r="H46" s="128">
        <v>1.7044618341470379</v>
      </c>
      <c r="I46" s="128">
        <v>1.7044618341470381</v>
      </c>
      <c r="J46" s="128">
        <v>6.4375</v>
      </c>
      <c r="K46" s="128">
        <v>8.8125</v>
      </c>
    </row>
    <row r="47" spans="1:11" x14ac:dyDescent="0.3">
      <c r="A47" s="1">
        <v>36798</v>
      </c>
      <c r="B47" s="128">
        <v>87.641000000000005</v>
      </c>
      <c r="C47" s="128">
        <v>95.125</v>
      </c>
      <c r="D47" s="128">
        <v>62</v>
      </c>
      <c r="E47" s="128">
        <v>1.5139281388776746</v>
      </c>
      <c r="F47" s="128">
        <v>5.5E-2</v>
      </c>
      <c r="G47" s="128">
        <v>10.955957684378545</v>
      </c>
      <c r="H47" s="128">
        <v>1.8074449703347872</v>
      </c>
      <c r="I47" s="128">
        <v>1.8074449703347872</v>
      </c>
      <c r="J47" s="128">
        <v>6.4375</v>
      </c>
      <c r="K47" s="128">
        <v>9.75</v>
      </c>
    </row>
    <row r="48" spans="1:11" x14ac:dyDescent="0.3">
      <c r="A48" s="1">
        <v>36801</v>
      </c>
      <c r="B48" s="128">
        <v>86.438000000000002</v>
      </c>
      <c r="C48" s="128">
        <v>80.375</v>
      </c>
      <c r="D48" s="128">
        <v>60.875</v>
      </c>
      <c r="E48" s="128">
        <v>1.4964905310554892</v>
      </c>
      <c r="F48" s="128">
        <v>4.4999999999999998E-2</v>
      </c>
      <c r="G48" s="128">
        <v>9.2211513758790726</v>
      </c>
      <c r="H48" s="128">
        <v>1.7649422292557411</v>
      </c>
      <c r="I48" s="128">
        <v>1.7649422292557413</v>
      </c>
      <c r="J48" s="128">
        <v>6.5</v>
      </c>
      <c r="K48" s="128">
        <v>9.25</v>
      </c>
    </row>
    <row r="49" spans="1:11" x14ac:dyDescent="0.3">
      <c r="A49" s="1">
        <v>36802</v>
      </c>
      <c r="B49" s="128">
        <v>85.563000000000002</v>
      </c>
      <c r="C49" s="128">
        <v>84.0625</v>
      </c>
      <c r="D49" s="128">
        <v>55.5</v>
      </c>
      <c r="E49" s="128">
        <v>1.429046194749086</v>
      </c>
      <c r="F49" s="128">
        <v>4.4999999999999998E-2</v>
      </c>
      <c r="G49" s="128">
        <v>8.9849644026968321</v>
      </c>
      <c r="H49" s="128">
        <v>1.8227741986306845</v>
      </c>
      <c r="I49" s="128">
        <v>1.8227741986306845</v>
      </c>
      <c r="J49" s="128">
        <v>7</v>
      </c>
      <c r="K49" s="128">
        <v>9.125</v>
      </c>
    </row>
    <row r="50" spans="1:11" x14ac:dyDescent="0.3">
      <c r="A50" s="1" t="e">
        <f>+#REF!</f>
        <v>#REF!</v>
      </c>
      <c r="B50" s="128">
        <v>83.063000000000002</v>
      </c>
      <c r="C50" s="128">
        <v>80.515625</v>
      </c>
      <c r="D50" s="128">
        <v>52.125</v>
      </c>
      <c r="E50" s="128">
        <v>1.4048702167514051</v>
      </c>
      <c r="F50" s="128">
        <v>4.9000000000000002E-2</v>
      </c>
      <c r="G50" s="128">
        <v>8.4982173634724507</v>
      </c>
      <c r="H50" s="128">
        <v>1.8009824203215923</v>
      </c>
      <c r="I50" s="128">
        <v>1.8009824203215925</v>
      </c>
      <c r="J50" s="128">
        <v>6.3125</v>
      </c>
      <c r="K50" s="128">
        <v>9.5</v>
      </c>
    </row>
    <row r="51" spans="1:11" x14ac:dyDescent="0.3">
      <c r="A51" s="1">
        <v>36804</v>
      </c>
      <c r="B51" s="128">
        <v>83</v>
      </c>
      <c r="C51" s="128">
        <v>81.5</v>
      </c>
      <c r="D51" s="128">
        <v>45.0625</v>
      </c>
      <c r="E51" s="128">
        <v>1.971266288005346</v>
      </c>
      <c r="F51" s="128">
        <v>0.04</v>
      </c>
      <c r="G51" s="128">
        <v>8.0096474379452296</v>
      </c>
      <c r="H51" s="128">
        <v>1.5828566677623843</v>
      </c>
      <c r="I51" s="128">
        <v>1.5828566677623848</v>
      </c>
      <c r="J51" s="128">
        <v>6.125</v>
      </c>
      <c r="K51" s="128">
        <v>9.375</v>
      </c>
    </row>
    <row r="52" spans="1:11" x14ac:dyDescent="0.3">
      <c r="A52" s="1">
        <v>36805</v>
      </c>
      <c r="B52" s="128">
        <v>81.625</v>
      </c>
      <c r="C52" s="128">
        <v>77.6875</v>
      </c>
      <c r="D52" s="128">
        <v>40.875</v>
      </c>
      <c r="E52" s="128">
        <v>1.9726757747417527</v>
      </c>
      <c r="F52" s="128">
        <v>0.04</v>
      </c>
      <c r="G52" s="128">
        <v>7.5118515285041045</v>
      </c>
      <c r="H52" s="128">
        <v>1.5659120052214175</v>
      </c>
      <c r="I52" s="128">
        <v>1.5659120052214177</v>
      </c>
      <c r="J52" s="128">
        <v>5.875</v>
      </c>
      <c r="K52" s="128">
        <v>8.875</v>
      </c>
    </row>
    <row r="53" spans="1:11" x14ac:dyDescent="0.3">
      <c r="A53" s="1">
        <v>36808</v>
      </c>
      <c r="B53" s="128">
        <v>83</v>
      </c>
      <c r="C53" s="128">
        <v>77</v>
      </c>
      <c r="D53" s="128">
        <v>38</v>
      </c>
      <c r="E53" s="128">
        <v>1.9726757747417527</v>
      </c>
      <c r="F53" s="128">
        <v>4.4999999999999998E-2</v>
      </c>
      <c r="G53" s="128">
        <v>8.1179550569835524</v>
      </c>
      <c r="H53" s="128">
        <v>1.4383654832453059</v>
      </c>
      <c r="I53" s="128">
        <v>1.4383654832453061</v>
      </c>
      <c r="J53" s="128">
        <v>6.25</v>
      </c>
      <c r="K53" s="128">
        <v>8.9375</v>
      </c>
    </row>
    <row r="54" spans="1:11" x14ac:dyDescent="0.3">
      <c r="A54" s="1">
        <v>36809</v>
      </c>
      <c r="B54" s="128">
        <v>81.688000000000002</v>
      </c>
      <c r="C54" s="128">
        <v>69</v>
      </c>
      <c r="D54" s="128">
        <v>31.75</v>
      </c>
      <c r="E54" s="128">
        <v>1.9867991199413293</v>
      </c>
      <c r="F54" s="128">
        <v>4.6875E-2</v>
      </c>
      <c r="G54" s="128">
        <v>8.1150149025333747</v>
      </c>
      <c r="H54" s="128">
        <v>1.7342490724924671</v>
      </c>
      <c r="I54" s="128">
        <v>1.7342490724924673</v>
      </c>
      <c r="J54" s="128">
        <v>6.125</v>
      </c>
      <c r="K54" s="128">
        <v>9</v>
      </c>
    </row>
    <row r="55" spans="1:11" x14ac:dyDescent="0.3">
      <c r="A55" s="1">
        <v>36810</v>
      </c>
      <c r="B55" s="128">
        <v>82.813000000000002</v>
      </c>
      <c r="C55" s="128">
        <v>78.8125</v>
      </c>
      <c r="D55" s="128">
        <v>31.875</v>
      </c>
      <c r="E55" s="128">
        <v>1.9532288068030825</v>
      </c>
      <c r="F55" s="128">
        <v>4.4999999999999998E-2</v>
      </c>
      <c r="G55" s="128">
        <v>8.5985421084141116</v>
      </c>
      <c r="H55" s="128">
        <v>1.7640283578277933</v>
      </c>
      <c r="I55" s="128">
        <v>1.7640283578277935</v>
      </c>
      <c r="J55" s="128">
        <v>5.9375</v>
      </c>
      <c r="K55" s="128">
        <v>9.125</v>
      </c>
    </row>
    <row r="56" spans="1:11" x14ac:dyDescent="0.3">
      <c r="A56" s="1">
        <v>36811</v>
      </c>
      <c r="B56" s="128">
        <v>79.875</v>
      </c>
      <c r="C56" s="128">
        <v>76.5</v>
      </c>
      <c r="D56" s="128">
        <v>38.0625</v>
      </c>
      <c r="E56" s="128">
        <v>1.9474067695568655</v>
      </c>
      <c r="F56" s="128">
        <v>0.05</v>
      </c>
      <c r="G56" s="128">
        <v>9.3216382824494985</v>
      </c>
      <c r="H56" s="128">
        <v>2.0708625549621424</v>
      </c>
      <c r="I56" s="128">
        <v>2.0708625549621424</v>
      </c>
      <c r="J56" s="128">
        <v>5.5</v>
      </c>
      <c r="K56" s="128">
        <v>9.75</v>
      </c>
    </row>
    <row r="57" spans="1:11" x14ac:dyDescent="0.3">
      <c r="A57" s="1">
        <v>36812</v>
      </c>
      <c r="B57" s="128">
        <v>79.5</v>
      </c>
      <c r="C57" s="128">
        <v>81</v>
      </c>
      <c r="D57" s="128">
        <v>45.25</v>
      </c>
      <c r="E57" s="128">
        <v>1.9498607242339832</v>
      </c>
      <c r="F57" s="128">
        <v>0.04</v>
      </c>
      <c r="G57" s="128">
        <v>8.5857704668200334</v>
      </c>
      <c r="H57" s="128">
        <v>1.7045029719227713</v>
      </c>
      <c r="I57" s="128">
        <v>1.7045029719227716</v>
      </c>
      <c r="J57" s="128">
        <v>5.5</v>
      </c>
      <c r="K57" s="128">
        <v>9.5</v>
      </c>
    </row>
    <row r="58" spans="1:11" x14ac:dyDescent="0.3">
      <c r="A58" s="260">
        <v>36815</v>
      </c>
      <c r="B58" s="128">
        <v>80</v>
      </c>
      <c r="C58" s="128">
        <v>85.6875</v>
      </c>
      <c r="D58" s="128">
        <v>46.5</v>
      </c>
      <c r="E58" s="128">
        <v>1.9414281013491281</v>
      </c>
      <c r="F58" s="128">
        <v>4.9000000000000002E-2</v>
      </c>
      <c r="G58" s="128">
        <v>8.4069172697627099</v>
      </c>
      <c r="H58" s="128">
        <v>1.5772032038743855</v>
      </c>
      <c r="I58" s="128">
        <v>1.5772032038743857</v>
      </c>
      <c r="J58" s="128">
        <v>5.5625</v>
      </c>
      <c r="K58" s="128">
        <v>9.5</v>
      </c>
    </row>
    <row r="59" spans="1:11" x14ac:dyDescent="0.3">
      <c r="A59" s="260">
        <v>36816</v>
      </c>
      <c r="B59" s="128">
        <v>79.188000000000002</v>
      </c>
      <c r="C59" s="128">
        <v>80.25</v>
      </c>
      <c r="D59" s="128">
        <v>39.875</v>
      </c>
      <c r="E59" s="128">
        <v>1.9611714379730174</v>
      </c>
      <c r="F59" s="128">
        <v>0.05</v>
      </c>
      <c r="G59" s="128">
        <v>8.2744213351827067</v>
      </c>
      <c r="H59" s="128">
        <v>1.4857963967467092</v>
      </c>
      <c r="I59" s="128">
        <v>1.4857963967467094</v>
      </c>
      <c r="J59" s="128">
        <v>5.75</v>
      </c>
      <c r="K59" s="128">
        <v>9.4375</v>
      </c>
    </row>
    <row r="60" spans="1:11" x14ac:dyDescent="0.3">
      <c r="A60" s="260">
        <v>36817</v>
      </c>
      <c r="B60" s="128">
        <v>78.75</v>
      </c>
      <c r="C60" s="128">
        <v>72</v>
      </c>
      <c r="D60" s="128">
        <v>37.125</v>
      </c>
      <c r="E60" s="128">
        <v>1.9525065963060686</v>
      </c>
      <c r="F60" s="128">
        <v>5.5E-2</v>
      </c>
      <c r="G60" s="128">
        <v>7.727198456418864</v>
      </c>
      <c r="H60" s="128">
        <v>1.914272745469241</v>
      </c>
      <c r="I60" s="128">
        <v>1.9142727454692414</v>
      </c>
      <c r="J60" s="128">
        <v>5.625</v>
      </c>
      <c r="K60" s="128">
        <v>8.875</v>
      </c>
    </row>
    <row r="61" spans="1:11" x14ac:dyDescent="0.3">
      <c r="A61" s="260">
        <v>36818</v>
      </c>
      <c r="B61" s="128">
        <v>79</v>
      </c>
      <c r="C61" s="128">
        <v>65.25</v>
      </c>
      <c r="D61" s="128">
        <v>39.3125</v>
      </c>
      <c r="E61" s="128">
        <v>1.9785600847008999</v>
      </c>
      <c r="F61" s="128">
        <v>5.6000000000000001E-2</v>
      </c>
      <c r="G61" s="128">
        <v>7.0021410904302002</v>
      </c>
      <c r="H61" s="128">
        <v>1.9143657908125191</v>
      </c>
      <c r="I61" s="128">
        <v>1.9143657908125191</v>
      </c>
      <c r="J61" s="128">
        <v>5.625</v>
      </c>
      <c r="K61" s="128">
        <v>9.5</v>
      </c>
    </row>
    <row r="62" spans="1:11" x14ac:dyDescent="0.3">
      <c r="A62" s="260">
        <v>36819</v>
      </c>
      <c r="B62" s="128">
        <v>80.5</v>
      </c>
      <c r="C62" s="128">
        <v>67.25</v>
      </c>
      <c r="D62" s="128">
        <v>40.5</v>
      </c>
      <c r="E62" s="128">
        <v>1.977251686284883</v>
      </c>
      <c r="F62" s="128">
        <v>0.05</v>
      </c>
      <c r="G62" s="128">
        <v>7.0012013687012926</v>
      </c>
      <c r="H62" s="128">
        <v>1.866036530615832</v>
      </c>
      <c r="I62" s="128">
        <v>1.8660365306158322</v>
      </c>
      <c r="J62" s="128">
        <v>5.5</v>
      </c>
      <c r="K62" s="128">
        <v>9.4375</v>
      </c>
    </row>
    <row r="63" spans="1:11" x14ac:dyDescent="0.3">
      <c r="A63" s="260">
        <v>36822</v>
      </c>
      <c r="B63" s="128">
        <v>82</v>
      </c>
      <c r="C63" s="128">
        <v>68</v>
      </c>
      <c r="D63" s="128">
        <v>39.625</v>
      </c>
      <c r="E63" s="128">
        <v>1.9622141199867418</v>
      </c>
      <c r="F63" s="128">
        <v>4.8000000000000001E-2</v>
      </c>
      <c r="G63" s="128">
        <v>6.5127779878785352</v>
      </c>
      <c r="H63" s="128">
        <v>1.8775090855798073</v>
      </c>
      <c r="I63" s="128">
        <v>1.8775090855798078</v>
      </c>
      <c r="J63" s="128">
        <v>5.5</v>
      </c>
      <c r="K63" s="128">
        <v>9.4375</v>
      </c>
    </row>
    <row r="64" spans="1:11" x14ac:dyDescent="0.3">
      <c r="A64" s="260">
        <v>36823</v>
      </c>
      <c r="B64" s="128">
        <v>80.1875</v>
      </c>
      <c r="C64" s="128">
        <f>62.875</f>
        <v>62.875</v>
      </c>
      <c r="D64" s="128">
        <v>47.125</v>
      </c>
      <c r="E64" s="128">
        <v>1.9828155981493722</v>
      </c>
      <c r="F64" s="128">
        <v>4.4999999999999998E-2</v>
      </c>
      <c r="G64" s="128">
        <v>6.1555252791989608</v>
      </c>
      <c r="H64" s="128">
        <v>1.745664627101829</v>
      </c>
      <c r="I64" s="128">
        <v>1.745664627101829</v>
      </c>
      <c r="J64" s="128">
        <v>5.78125</v>
      </c>
      <c r="K64" s="128">
        <v>9.125</v>
      </c>
    </row>
    <row r="65" spans="1:11" x14ac:dyDescent="0.3">
      <c r="A65" s="260">
        <v>36824</v>
      </c>
      <c r="B65" s="128">
        <v>76.125</v>
      </c>
      <c r="C65" s="128">
        <v>51.75</v>
      </c>
      <c r="D65" s="128">
        <v>41.875</v>
      </c>
      <c r="E65" s="128">
        <v>1.975633849193283</v>
      </c>
      <c r="F65" s="128">
        <v>4.4999999999999998E-2</v>
      </c>
      <c r="G65" s="128">
        <v>5.7438166854938686</v>
      </c>
      <c r="H65" s="128">
        <v>1.9285620858106052</v>
      </c>
      <c r="I65" s="128">
        <v>1.9285620858106054</v>
      </c>
      <c r="J65" s="128">
        <v>5.5</v>
      </c>
      <c r="K65" s="128">
        <v>8.8125</v>
      </c>
    </row>
    <row r="66" spans="1:11" x14ac:dyDescent="0.3">
      <c r="A66" s="260">
        <v>36825</v>
      </c>
      <c r="B66" s="128">
        <v>77.5</v>
      </c>
      <c r="C66" s="128">
        <v>44.125</v>
      </c>
      <c r="D66" s="128">
        <v>41.9375</v>
      </c>
      <c r="E66" s="128">
        <v>1.9494584837545126</v>
      </c>
      <c r="F66" s="128">
        <v>7.015625</v>
      </c>
      <c r="G66" s="128">
        <v>6.1612067958923262</v>
      </c>
      <c r="H66" s="128">
        <v>1.4756079801316007</v>
      </c>
      <c r="I66" s="128">
        <v>1.4756079801316011</v>
      </c>
      <c r="J66" s="128">
        <v>5.75</v>
      </c>
      <c r="K66" s="128">
        <v>8.375</v>
      </c>
    </row>
    <row r="67" spans="1:11" x14ac:dyDescent="0.3">
      <c r="A67" s="260">
        <v>36826</v>
      </c>
      <c r="B67" s="128">
        <v>78.875</v>
      </c>
      <c r="C67" s="128">
        <v>45.375</v>
      </c>
      <c r="D67" s="128">
        <v>40.5</v>
      </c>
      <c r="E67" s="128">
        <v>1.9620667102681493</v>
      </c>
      <c r="F67" s="128">
        <v>7.125</v>
      </c>
      <c r="G67" s="128">
        <v>6.6447488453282126</v>
      </c>
      <c r="H67" s="128">
        <v>1.3597452474216862</v>
      </c>
      <c r="I67" s="128">
        <v>1.3597452474216865</v>
      </c>
      <c r="J67" s="128">
        <v>5.25</v>
      </c>
      <c r="K67" s="128">
        <v>7.875</v>
      </c>
    </row>
    <row r="68" spans="1:11" x14ac:dyDescent="0.3">
      <c r="A68" s="260">
        <v>36829</v>
      </c>
      <c r="B68" s="128">
        <v>80.688000000000002</v>
      </c>
      <c r="C68" s="128">
        <v>40</v>
      </c>
      <c r="D68" s="128">
        <v>36</v>
      </c>
      <c r="E68" s="128">
        <v>1.9607843137254901</v>
      </c>
      <c r="F68" s="128">
        <v>7.25</v>
      </c>
      <c r="G68" s="128">
        <v>6.5229353376158725</v>
      </c>
      <c r="H68" s="128">
        <v>1.553353027912538</v>
      </c>
      <c r="I68" s="128">
        <v>1.5533530279125383</v>
      </c>
      <c r="J68" s="128">
        <v>5.25</v>
      </c>
      <c r="K68" s="128">
        <v>7.75</v>
      </c>
    </row>
    <row r="69" spans="1:11" x14ac:dyDescent="0.3">
      <c r="A69" s="260">
        <v>36830</v>
      </c>
      <c r="B69" s="128">
        <v>82.063000000000002</v>
      </c>
      <c r="C69" s="128">
        <v>43.375</v>
      </c>
      <c r="D69" s="128">
        <v>38.125</v>
      </c>
      <c r="E69" s="128">
        <v>1.9837396325988248</v>
      </c>
      <c r="F69" s="128">
        <v>7</v>
      </c>
      <c r="G69" s="128">
        <v>6.5224567535726283</v>
      </c>
      <c r="H69" s="128">
        <v>1.8071015449845458</v>
      </c>
      <c r="I69" s="128">
        <v>1.807101544984546</v>
      </c>
      <c r="J69" s="128">
        <v>5.375</v>
      </c>
      <c r="K69" s="128">
        <v>7.75</v>
      </c>
    </row>
    <row r="70" spans="1:11" x14ac:dyDescent="0.3">
      <c r="A70" s="260">
        <v>36831</v>
      </c>
      <c r="B70" s="128">
        <v>83.25</v>
      </c>
      <c r="C70" s="128">
        <v>39.9375</v>
      </c>
      <c r="D70" s="128">
        <v>36.875</v>
      </c>
      <c r="E70" s="128">
        <v>1.9566918862509786</v>
      </c>
      <c r="F70" s="128">
        <v>7.125</v>
      </c>
      <c r="G70" s="128">
        <v>6.9994077297698452</v>
      </c>
      <c r="H70" s="128">
        <v>1.7555417194104583</v>
      </c>
      <c r="I70" s="128">
        <v>1.7555417194104588</v>
      </c>
      <c r="J70" s="128">
        <v>5.875</v>
      </c>
      <c r="K70" s="128">
        <v>8.3125</v>
      </c>
    </row>
    <row r="71" spans="1:11" x14ac:dyDescent="0.3">
      <c r="A71" s="260">
        <v>36832</v>
      </c>
      <c r="B71" s="128">
        <v>81.75</v>
      </c>
      <c r="C71" s="128">
        <v>45.875</v>
      </c>
      <c r="D71" s="128">
        <v>33.875</v>
      </c>
      <c r="E71" s="128">
        <v>1.9595035924232529</v>
      </c>
      <c r="F71" s="128">
        <v>7</v>
      </c>
      <c r="G71" s="128">
        <v>6.997660747558375</v>
      </c>
      <c r="H71" s="128">
        <v>1.6027809623899234</v>
      </c>
      <c r="I71" s="128">
        <v>1.6027809623899238</v>
      </c>
      <c r="J71" s="128">
        <v>5.625</v>
      </c>
      <c r="K71" s="128">
        <v>8.5625</v>
      </c>
    </row>
    <row r="72" spans="1:11" x14ac:dyDescent="0.3">
      <c r="A72" s="260">
        <v>36833</v>
      </c>
      <c r="B72" s="128">
        <v>77.375</v>
      </c>
      <c r="C72" s="128">
        <v>50.5</v>
      </c>
      <c r="D72" s="128">
        <v>31</v>
      </c>
      <c r="E72" s="128">
        <v>1.95822454308094</v>
      </c>
      <c r="F72" s="128">
        <v>7.0625</v>
      </c>
      <c r="G72" s="128">
        <v>6.7048564566785398</v>
      </c>
      <c r="H72" s="128">
        <v>1.8925239113689141</v>
      </c>
      <c r="I72" s="128">
        <v>1.8925239113689143</v>
      </c>
      <c r="J72" s="128">
        <v>5.875</v>
      </c>
      <c r="K72" s="128">
        <v>9.5</v>
      </c>
    </row>
    <row r="73" spans="1:11" x14ac:dyDescent="0.3">
      <c r="A73" s="260">
        <v>36836</v>
      </c>
      <c r="B73" s="128">
        <v>81.563000000000002</v>
      </c>
      <c r="C73" s="128">
        <v>45.125</v>
      </c>
      <c r="D73" s="128">
        <v>28.5</v>
      </c>
      <c r="E73" s="128">
        <v>1.9607843137254901</v>
      </c>
      <c r="F73" s="128">
        <v>7</v>
      </c>
      <c r="G73" s="128">
        <v>7.4928186714348923</v>
      </c>
      <c r="H73" s="128">
        <v>1.4437812769695648</v>
      </c>
      <c r="I73" s="128">
        <v>1.443781276969565</v>
      </c>
      <c r="J73" s="128">
        <v>5.875</v>
      </c>
      <c r="K73" s="128">
        <v>9</v>
      </c>
    </row>
    <row r="74" spans="1:11" x14ac:dyDescent="0.3">
      <c r="A74" s="260">
        <v>36837</v>
      </c>
      <c r="B74" s="128">
        <v>81.813000000000002</v>
      </c>
      <c r="C74" s="128">
        <v>47.6875</v>
      </c>
      <c r="D74" s="128">
        <v>27.4375</v>
      </c>
      <c r="E74" s="128">
        <v>1.9566918862509786</v>
      </c>
      <c r="F74" s="128">
        <v>7.03125</v>
      </c>
      <c r="G74" s="128">
        <v>7.1287076732268897</v>
      </c>
      <c r="H74" s="128">
        <v>1.583818345858016</v>
      </c>
      <c r="I74" s="128">
        <v>1.583818345858016</v>
      </c>
      <c r="J74" s="128">
        <v>5.875</v>
      </c>
      <c r="K74" s="128">
        <v>9.125</v>
      </c>
    </row>
    <row r="75" spans="1:11" x14ac:dyDescent="0.3">
      <c r="A75" s="260">
        <v>36838</v>
      </c>
      <c r="B75" s="128">
        <v>82.125</v>
      </c>
      <c r="C75" s="128">
        <v>44.015625</v>
      </c>
      <c r="D75" s="128">
        <v>26</v>
      </c>
      <c r="E75" s="128">
        <v>1.948051948051948</v>
      </c>
      <c r="F75" s="128">
        <v>7</v>
      </c>
      <c r="G75" s="128">
        <v>7.0071778604253341</v>
      </c>
      <c r="H75" s="128">
        <v>1.7522777886635528</v>
      </c>
      <c r="I75" s="128">
        <v>1.7522777886635528</v>
      </c>
      <c r="J75" s="128">
        <v>5.65625</v>
      </c>
      <c r="K75" s="128">
        <v>9.25</v>
      </c>
    </row>
    <row r="76" spans="1:11" x14ac:dyDescent="0.3">
      <c r="A76" s="260">
        <v>36839</v>
      </c>
      <c r="B76" s="128">
        <v>82.938000000000002</v>
      </c>
      <c r="C76" s="128">
        <v>44.875</v>
      </c>
      <c r="D76" s="128">
        <v>23.375</v>
      </c>
      <c r="E76" s="128">
        <v>1.9379844961240309</v>
      </c>
      <c r="F76" s="128">
        <v>7.0625</v>
      </c>
      <c r="G76" s="128">
        <v>7.0065392882844399</v>
      </c>
      <c r="H76" s="128">
        <v>1.7720101180633034</v>
      </c>
      <c r="I76" s="128">
        <v>1.7720101180633037</v>
      </c>
      <c r="J76" s="128">
        <v>5.75</v>
      </c>
      <c r="K76" s="128">
        <v>8.8125</v>
      </c>
    </row>
    <row r="77" spans="1:11" x14ac:dyDescent="0.3">
      <c r="A77" s="260">
        <v>36840</v>
      </c>
      <c r="B77" s="128">
        <f>82+0.9375</f>
        <v>82.9375</v>
      </c>
      <c r="C77" s="128">
        <v>41.25</v>
      </c>
      <c r="D77" s="128">
        <v>20.5625</v>
      </c>
      <c r="E77" s="128">
        <f>+E76</f>
        <v>1.9379844961240309</v>
      </c>
      <c r="F77" s="128">
        <v>7</v>
      </c>
      <c r="G77" s="128">
        <v>6.756858773401679</v>
      </c>
      <c r="H77" s="128">
        <v>1.7841097451449277</v>
      </c>
      <c r="I77" s="128">
        <v>1.7841097451449279</v>
      </c>
      <c r="J77" s="128">
        <v>5.75</v>
      </c>
      <c r="K77" s="128">
        <v>9.125</v>
      </c>
    </row>
    <row r="78" spans="1:11" x14ac:dyDescent="0.3">
      <c r="A78" s="260">
        <v>36843</v>
      </c>
      <c r="B78" s="128">
        <v>79.438000000000002</v>
      </c>
      <c r="C78" s="128">
        <v>39.6875</v>
      </c>
      <c r="D78" s="128">
        <v>20</v>
      </c>
      <c r="E78" s="128">
        <f>+E77</f>
        <v>1.9379844961240309</v>
      </c>
      <c r="F78" s="128">
        <v>7.0625</v>
      </c>
      <c r="G78" s="128">
        <v>6.8717659724566627</v>
      </c>
      <c r="H78" s="128">
        <v>1.6451220710228229</v>
      </c>
      <c r="I78" s="128">
        <v>1.6451220710228232</v>
      </c>
      <c r="J78" s="128">
        <v>5.75</v>
      </c>
      <c r="K78" s="128">
        <v>8.8125</v>
      </c>
    </row>
    <row r="79" spans="1:11" x14ac:dyDescent="0.3">
      <c r="A79" s="260">
        <v>36844</v>
      </c>
      <c r="B79" s="128">
        <v>79.563000000000002</v>
      </c>
      <c r="C79" s="128">
        <v>43</v>
      </c>
      <c r="D79" s="128">
        <v>22.875</v>
      </c>
      <c r="E79" s="128">
        <v>1.9229524117837489</v>
      </c>
      <c r="F79" s="128">
        <v>7.0625</v>
      </c>
      <c r="G79" s="128">
        <v>6.9321352961034011</v>
      </c>
      <c r="H79" s="128">
        <v>1.6868108532553008</v>
      </c>
      <c r="I79" s="128">
        <v>1.686810853255301</v>
      </c>
      <c r="J79" s="128">
        <v>5.3125</v>
      </c>
      <c r="K79" s="128">
        <v>8.875</v>
      </c>
    </row>
    <row r="80" spans="1:11" x14ac:dyDescent="0.3">
      <c r="A80" s="260">
        <v>36845</v>
      </c>
      <c r="B80" s="128">
        <v>80.375</v>
      </c>
      <c r="C80" s="128">
        <v>40.4375</v>
      </c>
      <c r="D80" s="128">
        <v>20.375</v>
      </c>
      <c r="E80" s="128">
        <v>1.9124275595621381</v>
      </c>
      <c r="F80" s="128">
        <v>7.0625</v>
      </c>
      <c r="G80" s="128">
        <v>7.2291544809746489</v>
      </c>
      <c r="H80" s="128">
        <v>1.6600363531160085</v>
      </c>
      <c r="I80" s="128">
        <v>1.6600363531160087</v>
      </c>
      <c r="J80" s="128">
        <v>5.5</v>
      </c>
      <c r="K80" s="128">
        <v>8.875</v>
      </c>
    </row>
    <row r="81" spans="1:11" x14ac:dyDescent="0.3">
      <c r="A81" s="260">
        <v>36846</v>
      </c>
      <c r="B81" s="128">
        <v>81.25</v>
      </c>
      <c r="C81" s="128">
        <v>35.25</v>
      </c>
      <c r="D81" s="128">
        <v>20.25</v>
      </c>
      <c r="E81" s="128">
        <v>1.9111969111969114</v>
      </c>
      <c r="F81" s="128">
        <v>7.03125</v>
      </c>
      <c r="G81" s="128">
        <v>6.9821827945057411</v>
      </c>
      <c r="H81" s="128">
        <v>1.6758606606245379</v>
      </c>
      <c r="I81" s="128">
        <v>1.6758606606245381</v>
      </c>
      <c r="J81" s="128">
        <v>5.40625</v>
      </c>
      <c r="K81" s="128">
        <v>9</v>
      </c>
    </row>
    <row r="82" spans="1:11" x14ac:dyDescent="0.3">
      <c r="A82" s="260">
        <v>36847</v>
      </c>
      <c r="B82" s="128">
        <v>81.5</v>
      </c>
      <c r="C82" s="128">
        <v>28.875</v>
      </c>
      <c r="D82" s="128">
        <v>18.6875</v>
      </c>
      <c r="E82" s="128">
        <v>1.9056785370548606</v>
      </c>
      <c r="F82" s="128">
        <v>7.0625</v>
      </c>
      <c r="G82" s="128">
        <v>6.3820367416989185</v>
      </c>
      <c r="H82" s="128">
        <v>1.6749590795986473</v>
      </c>
      <c r="I82" s="128">
        <v>1.6749590795986473</v>
      </c>
      <c r="J82" s="128">
        <v>5.6875</v>
      </c>
      <c r="K82" s="128">
        <v>9</v>
      </c>
    </row>
    <row r="83" spans="1:11" x14ac:dyDescent="0.3">
      <c r="A83" s="260">
        <v>36850</v>
      </c>
      <c r="B83" s="128">
        <v>80.25</v>
      </c>
      <c r="C83" s="128">
        <v>24.25</v>
      </c>
      <c r="D83" s="128">
        <v>18</v>
      </c>
      <c r="E83" s="128">
        <v>1.9069020866773676</v>
      </c>
      <c r="F83" s="128">
        <v>7.0625</v>
      </c>
      <c r="G83" s="128">
        <v>5.4251303331928877</v>
      </c>
      <c r="H83" s="128">
        <v>1.5840936981110871</v>
      </c>
      <c r="I83" s="128">
        <v>1.5840936981110874</v>
      </c>
      <c r="J83" s="128">
        <v>5.6875</v>
      </c>
      <c r="K83" s="128">
        <v>8.625</v>
      </c>
    </row>
    <row r="84" spans="1:11" x14ac:dyDescent="0.3">
      <c r="A84" s="260">
        <v>36851</v>
      </c>
      <c r="B84" s="128">
        <v>80.375</v>
      </c>
      <c r="C84" s="128">
        <v>26.5</v>
      </c>
      <c r="D84" s="128">
        <v>18.625</v>
      </c>
      <c r="E84" s="128">
        <v>1.9155111254434054</v>
      </c>
      <c r="F84" s="128">
        <v>7.0625</v>
      </c>
      <c r="G84" s="128">
        <v>5.7837621008653519</v>
      </c>
      <c r="H84" s="128">
        <v>1.6273755330125435</v>
      </c>
      <c r="I84" s="128">
        <v>1.6273755330125435</v>
      </c>
      <c r="J84" s="128">
        <v>5.6875</v>
      </c>
      <c r="K84" s="128">
        <v>8.75</v>
      </c>
    </row>
    <row r="85" spans="1:11" x14ac:dyDescent="0.3">
      <c r="A85" s="260">
        <v>36852</v>
      </c>
      <c r="B85" s="128">
        <v>75.563000000000002</v>
      </c>
      <c r="C85" s="128">
        <v>21.75</v>
      </c>
      <c r="D85" s="128">
        <v>16.6875</v>
      </c>
      <c r="E85" s="128">
        <v>1.9411193788417986</v>
      </c>
      <c r="F85" s="128">
        <v>7.25</v>
      </c>
      <c r="G85" s="128">
        <v>5.309139352555543</v>
      </c>
      <c r="H85" s="128">
        <v>1.6675164109199654</v>
      </c>
      <c r="I85" s="128">
        <v>1.6675164109199656</v>
      </c>
      <c r="J85" s="128">
        <v>5.25</v>
      </c>
      <c r="K85" s="128">
        <v>9</v>
      </c>
    </row>
    <row r="86" spans="1:11" x14ac:dyDescent="0.3">
      <c r="A86" s="260">
        <v>36854</v>
      </c>
      <c r="B86" s="128">
        <v>77.75</v>
      </c>
      <c r="C86" s="128">
        <v>23.125</v>
      </c>
      <c r="D86" s="128">
        <v>18.375</v>
      </c>
      <c r="E86" s="128">
        <v>1.948684637869438</v>
      </c>
      <c r="F86" s="128">
        <v>7.25</v>
      </c>
      <c r="G86" s="128">
        <v>6.0159078924329377</v>
      </c>
      <c r="H86" s="128">
        <v>1.6599811507493187</v>
      </c>
      <c r="I86" s="128">
        <v>1.6599811507493187</v>
      </c>
      <c r="J86" s="128">
        <v>5.1875</v>
      </c>
      <c r="K86" s="128">
        <v>9</v>
      </c>
    </row>
    <row r="87" spans="1:11" x14ac:dyDescent="0.3">
      <c r="A87" s="260">
        <v>36857</v>
      </c>
      <c r="B87" s="128">
        <v>78.875</v>
      </c>
      <c r="C87" s="128">
        <v>19.8125</v>
      </c>
      <c r="D87" s="128">
        <v>17.5</v>
      </c>
      <c r="E87" s="128">
        <v>1.954397394136808</v>
      </c>
      <c r="F87" s="128">
        <v>7.25</v>
      </c>
      <c r="G87" s="128">
        <v>6.0734008973016413</v>
      </c>
      <c r="H87" s="128">
        <v>1.6529708394015878</v>
      </c>
      <c r="I87" s="128">
        <v>1.6529708394015881</v>
      </c>
      <c r="J87" s="128">
        <v>5</v>
      </c>
      <c r="K87" s="128">
        <v>8.5625</v>
      </c>
    </row>
    <row r="88" spans="1:11" x14ac:dyDescent="0.3">
      <c r="A88" s="260">
        <v>36858</v>
      </c>
      <c r="B88" s="128">
        <v>78.438000000000002</v>
      </c>
      <c r="C88" s="128">
        <v>17.0625</v>
      </c>
      <c r="D88" s="128">
        <v>15.1875</v>
      </c>
      <c r="E88" s="128">
        <v>1.953125</v>
      </c>
      <c r="F88" s="128">
        <v>7.0625</v>
      </c>
      <c r="G88" s="128">
        <v>5.5310799046727492</v>
      </c>
      <c r="H88" s="128">
        <v>1.6446524819935648</v>
      </c>
      <c r="I88" s="128">
        <v>1.6446524819935651</v>
      </c>
      <c r="J88" s="128">
        <v>4.75</v>
      </c>
      <c r="K88" s="128">
        <v>8.375</v>
      </c>
    </row>
    <row r="89" spans="1:11" x14ac:dyDescent="0.3">
      <c r="A89" s="260">
        <v>36859</v>
      </c>
      <c r="B89" s="128">
        <v>70.25</v>
      </c>
      <c r="C89" s="128">
        <v>19.75</v>
      </c>
      <c r="D89" s="128">
        <v>14.375</v>
      </c>
      <c r="E89" s="128">
        <v>1.9461563412260783</v>
      </c>
      <c r="F89" s="128">
        <v>7.0625</v>
      </c>
      <c r="G89" s="128">
        <v>5.8808694511430328</v>
      </c>
      <c r="H89" s="128">
        <v>1.6152022377236779</v>
      </c>
      <c r="I89" s="128">
        <v>1.6152022377236779</v>
      </c>
      <c r="J89" s="128">
        <v>4.75</v>
      </c>
      <c r="K89" s="128">
        <v>8.3125</v>
      </c>
    </row>
    <row r="90" spans="1:11" x14ac:dyDescent="0.3">
      <c r="A90" s="260">
        <v>36860</v>
      </c>
      <c r="B90" s="128">
        <v>64.75</v>
      </c>
      <c r="C90" s="128">
        <v>21.125</v>
      </c>
      <c r="D90" s="128">
        <v>13.6875</v>
      </c>
      <c r="E90" s="128">
        <v>1.912851770198418</v>
      </c>
      <c r="F90" s="128">
        <v>6.8125</v>
      </c>
      <c r="G90" s="128">
        <v>5.0406456673465012</v>
      </c>
      <c r="H90" s="128">
        <v>1.6223638614136326</v>
      </c>
      <c r="I90" s="128">
        <v>1.6223638614136329</v>
      </c>
      <c r="J90" s="128">
        <v>4.5625</v>
      </c>
      <c r="K90" s="128">
        <v>8.1875</v>
      </c>
    </row>
    <row r="91" spans="1:11" x14ac:dyDescent="0.3">
      <c r="A91" s="260">
        <v>36861</v>
      </c>
      <c r="B91" s="128">
        <v>65.5</v>
      </c>
      <c r="C91" s="128">
        <v>21.75</v>
      </c>
      <c r="D91" s="128">
        <v>16.8125</v>
      </c>
      <c r="E91" s="128">
        <v>1.9087673891944354</v>
      </c>
      <c r="F91" s="128">
        <v>6.875</v>
      </c>
      <c r="G91" s="128">
        <v>4.9293080401400369</v>
      </c>
      <c r="H91" s="128">
        <v>1.6053214467084147</v>
      </c>
      <c r="I91" s="128">
        <v>1.6053214467084149</v>
      </c>
      <c r="J91" s="128">
        <v>4.75</v>
      </c>
      <c r="K91" s="128">
        <v>8</v>
      </c>
    </row>
    <row r="92" spans="1:11" x14ac:dyDescent="0.3">
      <c r="A92" s="260">
        <v>36864</v>
      </c>
      <c r="B92" s="128">
        <v>65.938000000000002</v>
      </c>
      <c r="C92" s="128">
        <v>18</v>
      </c>
      <c r="D92" s="128">
        <v>17</v>
      </c>
      <c r="E92" s="128">
        <v>1.9118600129617631</v>
      </c>
      <c r="F92" s="128">
        <v>7</v>
      </c>
      <c r="G92" s="128">
        <v>5.2769894984504591</v>
      </c>
      <c r="H92" s="128">
        <v>1.6165351900292262</v>
      </c>
      <c r="I92" s="128">
        <v>1.6165351900292264</v>
      </c>
      <c r="J92" s="128">
        <v>4.875</v>
      </c>
      <c r="K92" s="128">
        <v>8.5</v>
      </c>
    </row>
    <row r="93" spans="1:11" x14ac:dyDescent="0.3">
      <c r="A93" s="260">
        <v>36865</v>
      </c>
      <c r="B93" s="128">
        <v>68.25</v>
      </c>
      <c r="C93" s="128">
        <v>31.75</v>
      </c>
      <c r="D93" s="128">
        <v>20</v>
      </c>
      <c r="E93" s="128">
        <v>1.7822423849643552</v>
      </c>
      <c r="F93" s="128">
        <v>7.125</v>
      </c>
      <c r="G93" s="128">
        <v>5.8598745305891597</v>
      </c>
      <c r="H93" s="128">
        <v>1.5645515552613194</v>
      </c>
      <c r="I93" s="128">
        <v>1.5645515552613194</v>
      </c>
      <c r="J93" s="128">
        <v>4.875</v>
      </c>
      <c r="K93" s="128">
        <v>8.25</v>
      </c>
    </row>
    <row r="94" spans="1:11" x14ac:dyDescent="0.3">
      <c r="A94" s="260">
        <v>36866</v>
      </c>
      <c r="B94" s="128">
        <v>71.938000000000002</v>
      </c>
      <c r="C94" s="128">
        <v>32.375</v>
      </c>
      <c r="D94" s="128">
        <v>22.625</v>
      </c>
      <c r="E94" s="128">
        <v>1.8003273322422257</v>
      </c>
      <c r="F94" s="128">
        <v>7.0625</v>
      </c>
      <c r="G94" s="128">
        <v>5.3754412250254697</v>
      </c>
      <c r="H94" s="128">
        <v>1.7208886002658681</v>
      </c>
      <c r="I94" s="128">
        <v>1.7208886002658681</v>
      </c>
      <c r="J94" s="128">
        <v>4.875</v>
      </c>
      <c r="K94" s="128">
        <v>7.875</v>
      </c>
    </row>
    <row r="95" spans="1:11" x14ac:dyDescent="0.3">
      <c r="A95" s="260">
        <v>36867</v>
      </c>
      <c r="B95" s="128">
        <v>72.875</v>
      </c>
      <c r="C95" s="128">
        <v>34.5625</v>
      </c>
      <c r="D95" s="128">
        <v>19.0625</v>
      </c>
      <c r="E95" s="128">
        <v>1.7983259220507457</v>
      </c>
      <c r="F95" s="128">
        <v>7.09375</v>
      </c>
      <c r="G95" s="128">
        <v>5.612296789875284</v>
      </c>
      <c r="H95" s="128">
        <v>1.7422311286676364</v>
      </c>
      <c r="I95" s="128">
        <v>1.7422311286676369</v>
      </c>
      <c r="J95" s="128">
        <v>4.8125</v>
      </c>
      <c r="K95" s="128">
        <v>7.875</v>
      </c>
    </row>
    <row r="96" spans="1:11" x14ac:dyDescent="0.3">
      <c r="A96" s="260">
        <v>36868</v>
      </c>
      <c r="B96" s="128">
        <v>73.063000000000002</v>
      </c>
      <c r="C96" s="128">
        <v>38.9375</v>
      </c>
      <c r="D96" s="128">
        <v>23.4375</v>
      </c>
      <c r="E96" s="128">
        <v>1.8101632438125328</v>
      </c>
      <c r="F96" s="128">
        <v>7.0625</v>
      </c>
      <c r="G96" s="128">
        <v>5.7352082919193581</v>
      </c>
      <c r="H96" s="128">
        <v>1.7447523116308872</v>
      </c>
      <c r="I96" s="128">
        <v>1.7447523116308876</v>
      </c>
      <c r="J96" s="128">
        <v>4.8125</v>
      </c>
      <c r="K96" s="128">
        <v>8</v>
      </c>
    </row>
    <row r="97" spans="1:12" x14ac:dyDescent="0.3">
      <c r="A97" s="260">
        <v>36871</v>
      </c>
      <c r="B97" s="128">
        <v>76.5</v>
      </c>
      <c r="C97" s="128">
        <v>42.375</v>
      </c>
      <c r="D97" s="128">
        <v>25.875</v>
      </c>
      <c r="E97" s="128">
        <v>1.8020969855832241</v>
      </c>
      <c r="F97" s="128">
        <v>7.1875</v>
      </c>
      <c r="G97" s="128">
        <v>7.1754096839972901</v>
      </c>
      <c r="H97" s="128">
        <v>1.6775610545998558</v>
      </c>
      <c r="I97" s="128">
        <v>1.6775610545998563</v>
      </c>
      <c r="J97" s="128">
        <v>4.75</v>
      </c>
      <c r="K97" s="128">
        <v>8.5</v>
      </c>
    </row>
    <row r="98" spans="1:12" x14ac:dyDescent="0.3">
      <c r="A98" s="260">
        <v>36872</v>
      </c>
      <c r="B98" s="128">
        <v>77.188000000000002</v>
      </c>
      <c r="C98" s="128">
        <v>40.25</v>
      </c>
      <c r="D98" s="128">
        <v>23.125</v>
      </c>
      <c r="E98" s="128">
        <v>1.8003273322422257</v>
      </c>
      <c r="F98" s="128">
        <v>7.1875</v>
      </c>
      <c r="G98" s="128">
        <v>5.9727915657064541</v>
      </c>
      <c r="H98" s="128">
        <v>1.6539509333683664</v>
      </c>
      <c r="I98" s="128">
        <v>1.6539509333683664</v>
      </c>
      <c r="J98" s="128">
        <v>4.9375</v>
      </c>
      <c r="K98" s="128">
        <v>8.25</v>
      </c>
    </row>
    <row r="99" spans="1:12" x14ac:dyDescent="0.3">
      <c r="A99" s="260">
        <v>36873</v>
      </c>
      <c r="B99" s="128">
        <v>74.5</v>
      </c>
      <c r="C99" s="128">
        <v>37.6875</v>
      </c>
      <c r="D99" s="128">
        <v>22.625</v>
      </c>
      <c r="E99" s="128">
        <v>1.8068331143232588</v>
      </c>
      <c r="F99" s="128">
        <v>7.125</v>
      </c>
      <c r="G99" s="128">
        <v>6.6832353740983441</v>
      </c>
      <c r="H99" s="128">
        <v>1.5824514872797075</v>
      </c>
      <c r="I99" s="128">
        <v>1.5824514872797075</v>
      </c>
      <c r="J99" s="128">
        <v>4.875</v>
      </c>
      <c r="K99" s="128">
        <v>8.125</v>
      </c>
    </row>
    <row r="100" spans="1:12" x14ac:dyDescent="0.3">
      <c r="A100" s="260">
        <v>36874</v>
      </c>
      <c r="B100" s="128">
        <v>76.5</v>
      </c>
      <c r="C100" s="128">
        <v>33.3125</v>
      </c>
      <c r="D100" s="128">
        <v>22.0625</v>
      </c>
      <c r="E100" s="128">
        <v>1.8121911037891267</v>
      </c>
      <c r="F100" s="128">
        <v>7.125</v>
      </c>
      <c r="G100" s="128">
        <v>6.3160225087648705</v>
      </c>
      <c r="H100" s="128">
        <v>1.6582040111740428</v>
      </c>
      <c r="I100" s="128">
        <v>1.658204011174043</v>
      </c>
      <c r="J100" s="128">
        <v>4.625</v>
      </c>
      <c r="K100" s="128">
        <v>8.1875</v>
      </c>
      <c r="L100" s="128">
        <v>13.125</v>
      </c>
    </row>
    <row r="101" spans="1:12" x14ac:dyDescent="0.3">
      <c r="A101" s="260">
        <v>36875</v>
      </c>
      <c r="B101" s="128">
        <v>77.563000000000002</v>
      </c>
      <c r="C101" s="128">
        <v>31.25</v>
      </c>
      <c r="D101" s="128">
        <v>19.875</v>
      </c>
      <c r="E101" s="128">
        <v>1.8104015799868336</v>
      </c>
      <c r="F101" s="128">
        <v>7.0625</v>
      </c>
      <c r="G101" s="128">
        <v>5.5965089824180136</v>
      </c>
      <c r="H101" s="128">
        <v>1.6519507510516966</v>
      </c>
      <c r="I101" s="128">
        <v>1.6519507510516969</v>
      </c>
      <c r="J101" s="128">
        <v>4.5</v>
      </c>
      <c r="K101" s="128">
        <v>8.25</v>
      </c>
      <c r="L101" s="128">
        <v>12.875</v>
      </c>
    </row>
    <row r="102" spans="1:12" x14ac:dyDescent="0.3">
      <c r="A102" s="260">
        <v>36878</v>
      </c>
      <c r="B102" s="128">
        <v>79.563000000000002</v>
      </c>
      <c r="C102" s="128">
        <v>27.9375</v>
      </c>
      <c r="D102" s="128">
        <v>18.5</v>
      </c>
      <c r="E102" s="128">
        <v>1.799738219895288</v>
      </c>
      <c r="F102" s="128">
        <v>7.25</v>
      </c>
      <c r="G102" s="128">
        <v>6.3644420521948391</v>
      </c>
      <c r="H102" s="128">
        <v>1.4982622859236998</v>
      </c>
      <c r="I102" s="128">
        <v>1.4982622859237</v>
      </c>
      <c r="J102" s="128">
        <v>4.5</v>
      </c>
      <c r="K102" s="128">
        <v>8.3125</v>
      </c>
      <c r="L102" s="128">
        <v>13.75</v>
      </c>
    </row>
    <row r="103" spans="1:12" x14ac:dyDescent="0.3">
      <c r="A103" s="260">
        <v>36879</v>
      </c>
      <c r="B103" s="128">
        <v>79.75</v>
      </c>
      <c r="C103" s="128">
        <v>22.8125</v>
      </c>
      <c r="D103" s="128">
        <v>17.625</v>
      </c>
      <c r="E103" s="128">
        <v>1.6414970453053186</v>
      </c>
      <c r="F103" s="128">
        <v>7.25</v>
      </c>
      <c r="G103" s="128">
        <v>5.9482707819414173</v>
      </c>
      <c r="H103" s="128">
        <v>1.6206359049870502</v>
      </c>
      <c r="I103" s="128">
        <v>1.6206359049870502</v>
      </c>
      <c r="J103" s="128">
        <v>4.625</v>
      </c>
      <c r="K103" s="128">
        <v>8</v>
      </c>
      <c r="L103" s="128">
        <v>13.688000000000001</v>
      </c>
    </row>
    <row r="104" spans="1:12" x14ac:dyDescent="0.3">
      <c r="A104" s="260">
        <v>36880</v>
      </c>
      <c r="B104" s="128">
        <v>79.75</v>
      </c>
      <c r="C104" s="128">
        <v>18.875</v>
      </c>
      <c r="D104" s="128">
        <v>15.25</v>
      </c>
      <c r="E104" s="128">
        <v>1.6414970453053186</v>
      </c>
      <c r="F104" s="128">
        <v>7.5</v>
      </c>
      <c r="G104" s="128">
        <v>5.5794913609718657</v>
      </c>
      <c r="H104" s="128">
        <v>1.6691441320188194</v>
      </c>
      <c r="I104" s="128">
        <v>1.6691441320188194</v>
      </c>
      <c r="J104" s="128">
        <v>4.4375</v>
      </c>
      <c r="K104" s="128">
        <v>8</v>
      </c>
      <c r="L104" s="128">
        <v>14.938000000000001</v>
      </c>
    </row>
    <row r="105" spans="1:12" x14ac:dyDescent="0.3">
      <c r="A105" s="260">
        <v>36881</v>
      </c>
      <c r="B105" s="128">
        <v>79.313000000000002</v>
      </c>
      <c r="C105" s="128">
        <v>19.8125</v>
      </c>
      <c r="D105" s="128">
        <v>16.9375</v>
      </c>
      <c r="E105" s="128">
        <v>1.6447368421052631</v>
      </c>
      <c r="F105" s="128">
        <v>7.5</v>
      </c>
      <c r="G105" s="128">
        <v>4.9833865544885354</v>
      </c>
      <c r="H105" s="128">
        <v>1.4762109765378695</v>
      </c>
      <c r="I105" s="128">
        <v>1.4762109765378695</v>
      </c>
      <c r="J105" s="128">
        <v>4.34375</v>
      </c>
      <c r="K105" s="128">
        <v>7.875</v>
      </c>
      <c r="L105" s="128">
        <v>16.5</v>
      </c>
    </row>
    <row r="106" spans="1:12" x14ac:dyDescent="0.3">
      <c r="A106" s="260">
        <v>36882</v>
      </c>
      <c r="B106" s="128">
        <v>81.188000000000002</v>
      </c>
      <c r="C106" s="128">
        <v>24.9375</v>
      </c>
      <c r="D106" s="128">
        <v>17.4375</v>
      </c>
      <c r="E106" s="128">
        <v>1.6463615409944024</v>
      </c>
      <c r="F106" s="128">
        <v>7.4375</v>
      </c>
      <c r="G106" s="128">
        <v>5.2171988717950839</v>
      </c>
      <c r="H106" s="128">
        <v>1.6151803860861966</v>
      </c>
      <c r="I106" s="128">
        <v>1.6151803860861969</v>
      </c>
      <c r="J106" s="128">
        <v>4.75</v>
      </c>
      <c r="K106" s="128">
        <v>8.25</v>
      </c>
      <c r="L106" s="128">
        <v>16.4375</v>
      </c>
    </row>
    <row r="107" spans="1:12" x14ac:dyDescent="0.3">
      <c r="A107" s="260">
        <v>36886</v>
      </c>
      <c r="B107" s="128">
        <v>83.5</v>
      </c>
      <c r="C107" s="128">
        <v>26.25</v>
      </c>
      <c r="D107" s="128">
        <v>20.375</v>
      </c>
      <c r="E107" s="128">
        <v>1.6463615409944024</v>
      </c>
      <c r="F107" s="128">
        <v>7.75</v>
      </c>
      <c r="G107" s="128">
        <v>6.1581972684112198</v>
      </c>
      <c r="H107" s="128">
        <v>1.5817003697159118</v>
      </c>
      <c r="I107" s="128">
        <v>1.581700369715912</v>
      </c>
      <c r="J107" s="128">
        <v>4.75</v>
      </c>
      <c r="K107" s="128">
        <v>8.375</v>
      </c>
      <c r="L107" s="128">
        <v>16.25</v>
      </c>
    </row>
    <row r="108" spans="1:12" x14ac:dyDescent="0.3">
      <c r="A108" s="260">
        <v>36887</v>
      </c>
      <c r="B108" s="128">
        <v>82.813000000000002</v>
      </c>
      <c r="C108" s="128">
        <v>25.25</v>
      </c>
      <c r="D108" s="128">
        <v>20.875</v>
      </c>
      <c r="E108" s="128">
        <v>1.6528925619834711</v>
      </c>
      <c r="F108" s="128">
        <v>7.75</v>
      </c>
      <c r="G108" s="128">
        <v>5.6890813099384818</v>
      </c>
      <c r="H108" s="128">
        <v>1.7533046970361272</v>
      </c>
      <c r="I108" s="128">
        <v>1.7533046970361275</v>
      </c>
      <c r="J108" s="128">
        <v>4.25</v>
      </c>
      <c r="K108" s="128">
        <v>8.4375</v>
      </c>
      <c r="L108" s="128">
        <v>17.25</v>
      </c>
    </row>
    <row r="109" spans="1:12" x14ac:dyDescent="0.3">
      <c r="A109" s="260">
        <v>36888</v>
      </c>
      <c r="B109" s="128">
        <v>84.625</v>
      </c>
      <c r="C109" s="128">
        <v>27.5</v>
      </c>
      <c r="D109" s="128">
        <v>24.5</v>
      </c>
      <c r="E109" s="128">
        <v>1.665001665001665</v>
      </c>
      <c r="F109" s="128">
        <v>7.9375</v>
      </c>
      <c r="G109" s="128">
        <v>5.6930356462311389</v>
      </c>
      <c r="H109" s="128">
        <v>2.8572894218396732</v>
      </c>
      <c r="I109" s="128">
        <v>2.8572894218396736</v>
      </c>
      <c r="J109" s="128">
        <v>4.5</v>
      </c>
      <c r="K109" s="128">
        <v>9.75</v>
      </c>
      <c r="L109" s="128">
        <v>18</v>
      </c>
    </row>
    <row r="110" spans="1:12" x14ac:dyDescent="0.3">
      <c r="A110" s="260">
        <v>36889</v>
      </c>
      <c r="B110" s="128">
        <v>83.125</v>
      </c>
      <c r="C110" s="128">
        <v>24.625</v>
      </c>
      <c r="D110" s="128">
        <v>21.9375</v>
      </c>
      <c r="E110" s="128">
        <v>1.6421439831844455</v>
      </c>
      <c r="F110" s="128">
        <v>7.875</v>
      </c>
      <c r="G110" s="128">
        <v>6.0460122072439226</v>
      </c>
      <c r="H110" s="128">
        <v>2.7149341420213089</v>
      </c>
      <c r="I110" s="128">
        <v>2.7149341420213093</v>
      </c>
      <c r="J110" s="128">
        <v>4.5</v>
      </c>
      <c r="K110" s="128">
        <v>9.625</v>
      </c>
      <c r="L110" s="128">
        <v>17.25</v>
      </c>
    </row>
    <row r="111" spans="1:12" x14ac:dyDescent="0.3">
      <c r="A111" s="260">
        <v>36893</v>
      </c>
      <c r="B111" s="128">
        <v>79.875</v>
      </c>
      <c r="C111" s="128">
        <v>23.25</v>
      </c>
      <c r="D111" s="128">
        <v>20</v>
      </c>
      <c r="E111" s="128">
        <v>1.6735841478109519</v>
      </c>
      <c r="F111" s="128">
        <v>7.5625</v>
      </c>
      <c r="G111" s="128">
        <v>6.0435838669188291</v>
      </c>
      <c r="H111" s="128">
        <v>2.2696239550238797</v>
      </c>
      <c r="I111" s="128">
        <v>2.2696239550238801</v>
      </c>
      <c r="J111" s="128">
        <v>4.25</v>
      </c>
      <c r="K111" s="128">
        <v>10.375</v>
      </c>
      <c r="L111" s="128">
        <v>17.25</v>
      </c>
    </row>
    <row r="112" spans="1:12" x14ac:dyDescent="0.3">
      <c r="A112" s="260">
        <v>36894</v>
      </c>
      <c r="B112" s="128">
        <v>75.063000000000002</v>
      </c>
      <c r="C112" s="128">
        <v>26</v>
      </c>
      <c r="D112" s="128">
        <v>20.5625</v>
      </c>
      <c r="E112" s="128">
        <v>1.6683350016683351</v>
      </c>
      <c r="F112" s="128">
        <v>7.375</v>
      </c>
      <c r="G112" s="128">
        <v>5.4501199301177188</v>
      </c>
      <c r="H112" s="128">
        <v>2.0972322709202476</v>
      </c>
      <c r="I112" s="128">
        <v>2.097232270920248</v>
      </c>
      <c r="J112" s="128">
        <v>4.625</v>
      </c>
      <c r="K112" s="128">
        <v>9.625</v>
      </c>
      <c r="L112" s="128">
        <v>16.9375</v>
      </c>
    </row>
    <row r="113" spans="1:12" x14ac:dyDescent="0.3">
      <c r="A113" s="260">
        <v>36895</v>
      </c>
      <c r="B113" s="128">
        <v>72</v>
      </c>
      <c r="C113" s="128">
        <v>24.9375</v>
      </c>
      <c r="D113" s="128">
        <v>19.9375</v>
      </c>
      <c r="E113" s="128">
        <v>1.6683350016683351</v>
      </c>
      <c r="F113" s="128">
        <v>7.375</v>
      </c>
      <c r="G113" s="128">
        <v>5.9085626117347649</v>
      </c>
      <c r="H113" s="128">
        <v>2.0535231483002558</v>
      </c>
      <c r="I113" s="128">
        <v>2.0535231483002558</v>
      </c>
      <c r="J113" s="128">
        <v>4.625</v>
      </c>
      <c r="K113" s="128">
        <v>9.625</v>
      </c>
      <c r="L113" s="128">
        <v>16.9375</v>
      </c>
    </row>
    <row r="114" spans="1:12" x14ac:dyDescent="0.3">
      <c r="A114" s="260">
        <v>36896</v>
      </c>
      <c r="B114" s="128">
        <v>71.375</v>
      </c>
      <c r="C114" s="128">
        <v>21.3125</v>
      </c>
      <c r="D114" s="128">
        <v>19.8125</v>
      </c>
      <c r="E114" s="128">
        <v>1.6666666666666667</v>
      </c>
      <c r="F114" s="128">
        <v>7.375</v>
      </c>
      <c r="G114" s="128">
        <v>5.833838234727537</v>
      </c>
      <c r="H114" s="128">
        <v>2.0314954359804234</v>
      </c>
      <c r="I114" s="128">
        <v>2.0314954359804238</v>
      </c>
      <c r="J114" s="128">
        <v>4.75</v>
      </c>
      <c r="K114" s="128">
        <v>9.875</v>
      </c>
      <c r="L114" s="128">
        <v>16.0625</v>
      </c>
    </row>
    <row r="115" spans="1:12" x14ac:dyDescent="0.3">
      <c r="A115" s="260">
        <v>36899</v>
      </c>
      <c r="B115" s="128">
        <v>71.25</v>
      </c>
      <c r="C115" s="128">
        <v>19.75</v>
      </c>
      <c r="D115" s="128">
        <v>20.25</v>
      </c>
      <c r="E115" s="128">
        <v>1.6728002676480429</v>
      </c>
      <c r="F115" s="128">
        <v>7.1875</v>
      </c>
      <c r="G115" s="128">
        <v>5.8856863307249592</v>
      </c>
      <c r="H115" s="128">
        <v>2.0635978248963629</v>
      </c>
      <c r="I115" s="128">
        <v>2.0635978248963629</v>
      </c>
      <c r="J115" s="128">
        <v>4.75</v>
      </c>
      <c r="K115" s="128">
        <v>10</v>
      </c>
      <c r="L115" s="128">
        <v>15.375</v>
      </c>
    </row>
    <row r="116" spans="1:12" x14ac:dyDescent="0.3">
      <c r="A116" s="260">
        <v>36900</v>
      </c>
      <c r="B116" s="128">
        <v>68.625</v>
      </c>
      <c r="C116" s="128">
        <v>26.1875</v>
      </c>
      <c r="D116" s="128">
        <v>20.5</v>
      </c>
      <c r="F116" s="128">
        <v>7.1875</v>
      </c>
      <c r="G116" s="128">
        <v>6.2551472601540778</v>
      </c>
      <c r="H116" s="128">
        <v>2.3424289733840973</v>
      </c>
      <c r="I116" s="128">
        <v>2.3424289733840977</v>
      </c>
      <c r="J116" s="128">
        <v>4.375</v>
      </c>
      <c r="L116" s="128">
        <v>15</v>
      </c>
    </row>
    <row r="117" spans="1:12" x14ac:dyDescent="0.3">
      <c r="A117" s="260">
        <v>36901</v>
      </c>
      <c r="B117" s="128">
        <v>68.938000000000002</v>
      </c>
      <c r="C117" s="128">
        <v>30.125</v>
      </c>
      <c r="D117" s="128">
        <v>20.125</v>
      </c>
      <c r="F117" s="128">
        <v>7.25</v>
      </c>
      <c r="G117" s="128">
        <v>6.0263400672358518</v>
      </c>
      <c r="H117" s="128">
        <v>2.3763160668635828</v>
      </c>
      <c r="I117" s="128">
        <v>2.3763160668635832</v>
      </c>
      <c r="J117" s="128">
        <v>4.375</v>
      </c>
      <c r="L117" s="128">
        <v>14.75</v>
      </c>
    </row>
    <row r="118" spans="1:12" x14ac:dyDescent="0.3">
      <c r="A118" s="260">
        <v>36902</v>
      </c>
      <c r="B118" s="128">
        <v>69.438000000000002</v>
      </c>
      <c r="C118" s="128">
        <v>35.5625</v>
      </c>
      <c r="D118" s="128">
        <v>22.75</v>
      </c>
      <c r="F118" s="128">
        <v>7.5</v>
      </c>
      <c r="G118" s="128">
        <v>6.5955019544926703</v>
      </c>
      <c r="H118" s="128">
        <v>2.7626275082766352</v>
      </c>
      <c r="I118" s="128">
        <v>2.7626275082766356</v>
      </c>
      <c r="J118" s="128">
        <v>4.375</v>
      </c>
      <c r="L118" s="128">
        <v>14.25</v>
      </c>
    </row>
    <row r="119" spans="1:12" x14ac:dyDescent="0.3">
      <c r="A119" s="260">
        <v>36903</v>
      </c>
      <c r="B119" s="128">
        <v>70.438000000000002</v>
      </c>
      <c r="C119" s="128">
        <v>37.125</v>
      </c>
      <c r="D119" s="128">
        <v>23.625</v>
      </c>
      <c r="F119" s="128">
        <v>7.4375</v>
      </c>
      <c r="G119" s="128">
        <v>6.8788591186730903</v>
      </c>
      <c r="H119" s="128">
        <v>2.8063467404881948</v>
      </c>
      <c r="I119" s="128">
        <v>2.8063467404881952</v>
      </c>
      <c r="J119" s="128">
        <v>4.625</v>
      </c>
      <c r="L119" s="128">
        <v>14.125</v>
      </c>
    </row>
    <row r="120" spans="1:12" x14ac:dyDescent="0.3">
      <c r="A120" s="260">
        <v>36907</v>
      </c>
      <c r="B120" s="128">
        <v>68.438000000000002</v>
      </c>
      <c r="C120" s="128">
        <v>33.9375</v>
      </c>
      <c r="D120" s="128">
        <v>27.625</v>
      </c>
      <c r="F120" s="128">
        <v>7.375</v>
      </c>
      <c r="G120" s="128">
        <v>6.6356592826173699</v>
      </c>
      <c r="H120" s="128">
        <v>2.9311873096763255</v>
      </c>
      <c r="I120" s="128">
        <v>2.9311873096763259</v>
      </c>
      <c r="J120" s="128">
        <v>4.75</v>
      </c>
      <c r="L120" s="128">
        <v>13.9375</v>
      </c>
    </row>
    <row r="121" spans="1:12" x14ac:dyDescent="0.3">
      <c r="A121" s="260">
        <v>36908</v>
      </c>
      <c r="B121" s="128">
        <v>71.125</v>
      </c>
      <c r="C121" s="128">
        <v>34.9375</v>
      </c>
      <c r="D121" s="128">
        <v>24</v>
      </c>
      <c r="F121" s="128">
        <v>7.5</v>
      </c>
      <c r="G121" s="128">
        <v>6.9868581748191225</v>
      </c>
      <c r="H121" s="128">
        <v>2.1699170671545702</v>
      </c>
      <c r="I121" s="128">
        <v>2.1699170671545707</v>
      </c>
      <c r="J121" s="128">
        <v>4.75</v>
      </c>
      <c r="L121" s="128">
        <v>14.375</v>
      </c>
    </row>
    <row r="122" spans="1:12" x14ac:dyDescent="0.3">
      <c r="A122" s="260">
        <v>36909</v>
      </c>
      <c r="B122" s="128">
        <v>72.063000000000002</v>
      </c>
      <c r="C122" s="128">
        <v>34.0625</v>
      </c>
      <c r="D122" s="128">
        <v>26.75</v>
      </c>
      <c r="F122" s="128">
        <v>7.625</v>
      </c>
      <c r="G122" s="128">
        <v>6.2530537939159787</v>
      </c>
      <c r="H122" s="128">
        <v>2.2245120770506888</v>
      </c>
      <c r="I122" s="128">
        <v>2.2245120770506888</v>
      </c>
      <c r="J122" s="128">
        <v>4.5</v>
      </c>
      <c r="L122" s="128">
        <v>14.375</v>
      </c>
    </row>
    <row r="123" spans="1:12" x14ac:dyDescent="0.3">
      <c r="A123" s="260">
        <v>36910</v>
      </c>
      <c r="B123" s="128">
        <v>70.875</v>
      </c>
      <c r="C123" s="128">
        <v>31.1875</v>
      </c>
      <c r="D123" s="128">
        <v>29.0625</v>
      </c>
      <c r="F123" s="128">
        <v>7.4375</v>
      </c>
      <c r="G123" s="128">
        <v>5.5459517196196755</v>
      </c>
      <c r="H123" s="128">
        <v>2.0857989386836935</v>
      </c>
      <c r="I123" s="128">
        <v>2.0857989386836939</v>
      </c>
      <c r="J123" s="128">
        <v>4.375</v>
      </c>
      <c r="L123" s="128">
        <v>14.5</v>
      </c>
    </row>
    <row r="124" spans="1:12" x14ac:dyDescent="0.3">
      <c r="A124" s="260">
        <v>36913</v>
      </c>
      <c r="B124" s="128">
        <v>75.0625</v>
      </c>
      <c r="C124" s="128">
        <v>28.875</v>
      </c>
      <c r="D124" s="128">
        <v>27.3125</v>
      </c>
      <c r="F124" s="128">
        <v>7.3125</v>
      </c>
      <c r="G124" s="128">
        <v>5.902411935909412</v>
      </c>
      <c r="H124" s="128">
        <v>2.0570799938372</v>
      </c>
      <c r="I124" s="128">
        <v>2.0570799938372004</v>
      </c>
      <c r="J124" s="128">
        <v>4.8125</v>
      </c>
      <c r="L124" s="128">
        <v>14.25</v>
      </c>
    </row>
    <row r="125" spans="1:12" x14ac:dyDescent="0.3">
      <c r="A125" s="260">
        <v>36914</v>
      </c>
      <c r="B125" s="128">
        <v>78.563000000000002</v>
      </c>
      <c r="C125" s="128">
        <v>37</v>
      </c>
      <c r="D125" s="128">
        <v>25.5</v>
      </c>
      <c r="F125" s="128">
        <v>7.1875</v>
      </c>
      <c r="G125" s="128">
        <v>6.2679448851932715</v>
      </c>
      <c r="H125" s="128">
        <v>2.0402348147332829</v>
      </c>
      <c r="I125" s="128">
        <v>2.0402348147332834</v>
      </c>
      <c r="J125" s="128">
        <v>5</v>
      </c>
      <c r="L125" s="128">
        <v>14.125</v>
      </c>
    </row>
    <row r="126" spans="1:12" x14ac:dyDescent="0.3">
      <c r="A126" s="260">
        <v>36915</v>
      </c>
      <c r="B126" s="128">
        <v>79.75</v>
      </c>
      <c r="C126" s="128">
        <v>33.4375</v>
      </c>
      <c r="D126" s="128">
        <v>24</v>
      </c>
      <c r="F126" s="128">
        <v>7.3125</v>
      </c>
      <c r="G126" s="128">
        <v>6.5077461294767041</v>
      </c>
      <c r="H126" s="128">
        <v>1.9733257231091157</v>
      </c>
      <c r="I126" s="128">
        <v>1.9733257231091159</v>
      </c>
      <c r="J126" s="128">
        <v>5</v>
      </c>
      <c r="L126" s="128">
        <v>14.3125</v>
      </c>
    </row>
    <row r="127" spans="1:12" x14ac:dyDescent="0.3">
      <c r="A127" s="260">
        <v>36916</v>
      </c>
      <c r="B127" s="128">
        <v>82</v>
      </c>
      <c r="C127" s="128">
        <v>31.625</v>
      </c>
      <c r="D127" s="128">
        <v>20</v>
      </c>
      <c r="F127" s="128">
        <v>7.25</v>
      </c>
      <c r="G127" s="128">
        <v>6.630986889355162</v>
      </c>
      <c r="H127" s="128">
        <v>1.9952322539154397</v>
      </c>
      <c r="I127" s="128">
        <v>1.9952322539154399</v>
      </c>
      <c r="J127" s="128">
        <v>5.0625</v>
      </c>
      <c r="L127" s="128">
        <v>14.125</v>
      </c>
    </row>
    <row r="128" spans="1:12" x14ac:dyDescent="0.3">
      <c r="A128" s="260">
        <v>36917</v>
      </c>
      <c r="B128" s="128">
        <v>82</v>
      </c>
      <c r="C128" s="128">
        <v>31.25</v>
      </c>
      <c r="D128" s="128">
        <v>23</v>
      </c>
      <c r="F128" s="128">
        <v>7.25</v>
      </c>
      <c r="G128" s="128">
        <v>6.8693711738126817</v>
      </c>
      <c r="H128" s="128">
        <v>2.0372206953941956</v>
      </c>
      <c r="I128" s="128">
        <v>2.0372206953941956</v>
      </c>
      <c r="J128" s="128">
        <v>5</v>
      </c>
      <c r="L128" s="128">
        <v>14.3125</v>
      </c>
    </row>
    <row r="129" spans="1:12" x14ac:dyDescent="0.3">
      <c r="A129" s="260">
        <v>36920</v>
      </c>
      <c r="B129" s="128">
        <v>80.77</v>
      </c>
      <c r="C129" s="128">
        <v>32</v>
      </c>
      <c r="D129" s="128">
        <v>22.875</v>
      </c>
      <c r="F129" s="128">
        <v>7.1875</v>
      </c>
      <c r="G129" s="128">
        <v>6.9898168168904204</v>
      </c>
      <c r="H129" s="128">
        <v>2.099980879133561</v>
      </c>
      <c r="I129" s="128">
        <v>2.099980879133561</v>
      </c>
      <c r="J129" s="128">
        <v>5</v>
      </c>
      <c r="L129" s="128">
        <v>14.75</v>
      </c>
    </row>
    <row r="130" spans="1:12" x14ac:dyDescent="0.3">
      <c r="A130" s="260">
        <v>36921</v>
      </c>
      <c r="B130" s="128">
        <v>78.5</v>
      </c>
      <c r="C130" s="128">
        <v>32.25</v>
      </c>
      <c r="D130" s="128">
        <v>25</v>
      </c>
      <c r="F130" s="128">
        <v>7.21875</v>
      </c>
      <c r="G130" s="128">
        <v>6.255634766344631</v>
      </c>
      <c r="H130" s="128">
        <v>1.8812225548594501</v>
      </c>
      <c r="I130" s="128">
        <v>1.8812225548594501</v>
      </c>
      <c r="J130" s="128">
        <v>5</v>
      </c>
      <c r="L130" s="128">
        <v>16</v>
      </c>
    </row>
    <row r="131" spans="1:12" x14ac:dyDescent="0.3">
      <c r="A131" s="260">
        <v>36922</v>
      </c>
      <c r="B131" s="128">
        <v>80</v>
      </c>
      <c r="C131" s="128">
        <v>35.5</v>
      </c>
      <c r="D131" s="128">
        <v>23.75</v>
      </c>
      <c r="F131" s="128">
        <v>7.8125</v>
      </c>
      <c r="G131" s="128">
        <v>6.1855024791776874</v>
      </c>
      <c r="H131" s="128">
        <v>2.2133836526168045</v>
      </c>
      <c r="I131" s="128">
        <v>2.2133836526168045</v>
      </c>
      <c r="J131" s="128">
        <v>5</v>
      </c>
      <c r="L131" s="128">
        <v>16.625</v>
      </c>
    </row>
    <row r="132" spans="1:12" x14ac:dyDescent="0.3">
      <c r="A132" s="260">
        <v>36923</v>
      </c>
      <c r="B132" s="128">
        <v>78.790000000000006</v>
      </c>
      <c r="C132" s="128">
        <v>35.8125</v>
      </c>
      <c r="D132" s="128">
        <v>22</v>
      </c>
      <c r="F132" s="128">
        <v>7.4375</v>
      </c>
      <c r="G132" s="128">
        <v>6.5990924617316837</v>
      </c>
      <c r="H132" s="128">
        <v>2.5261804354772051</v>
      </c>
      <c r="I132" s="128">
        <v>2.5261804354772055</v>
      </c>
      <c r="J132" s="128">
        <v>5.125</v>
      </c>
      <c r="L132" s="128">
        <v>16.25</v>
      </c>
    </row>
    <row r="133" spans="1:12" x14ac:dyDescent="0.3">
      <c r="A133" s="260">
        <v>36924</v>
      </c>
      <c r="B133" s="128">
        <v>79.98</v>
      </c>
      <c r="C133" s="128">
        <v>34.5</v>
      </c>
      <c r="D133" s="128">
        <v>20.5625</v>
      </c>
      <c r="F133" s="128">
        <v>7.75</v>
      </c>
      <c r="G133" s="128">
        <v>6.1294722740856757</v>
      </c>
      <c r="H133" s="128">
        <v>2.3602290088172122</v>
      </c>
      <c r="I133" s="128">
        <v>2.3602290088172122</v>
      </c>
      <c r="J133" s="128">
        <v>5.125</v>
      </c>
      <c r="L133" s="128">
        <v>16.625</v>
      </c>
    </row>
    <row r="134" spans="1:12" x14ac:dyDescent="0.3">
      <c r="A134" s="260">
        <v>36927</v>
      </c>
      <c r="B134" s="128">
        <v>81.81</v>
      </c>
      <c r="C134" s="128">
        <v>31.625</v>
      </c>
      <c r="D134" s="128">
        <v>20.5</v>
      </c>
      <c r="F134" s="128">
        <v>7.875</v>
      </c>
      <c r="G134" s="128">
        <v>6.7289934675967782</v>
      </c>
      <c r="H134" s="128">
        <v>2.4554619224159842</v>
      </c>
      <c r="I134" s="128">
        <v>2.4554619224159842</v>
      </c>
      <c r="J134" s="128">
        <v>5.375</v>
      </c>
      <c r="L134" s="128">
        <v>16.5</v>
      </c>
    </row>
    <row r="135" spans="1:12" x14ac:dyDescent="0.3">
      <c r="A135" s="260">
        <v>36928</v>
      </c>
      <c r="B135" s="128">
        <v>80.150000000000006</v>
      </c>
      <c r="C135" s="128">
        <v>31.125</v>
      </c>
      <c r="D135" s="128">
        <v>23.75</v>
      </c>
      <c r="F135" s="128">
        <v>8</v>
      </c>
      <c r="G135" s="128">
        <v>6.2533172439852613</v>
      </c>
      <c r="H135" s="128">
        <v>2.5351568879710666</v>
      </c>
      <c r="I135" s="128">
        <v>2.5351568879710666</v>
      </c>
      <c r="J135" s="128">
        <v>5.75</v>
      </c>
      <c r="L135" s="128">
        <v>16</v>
      </c>
    </row>
    <row r="136" spans="1:12" x14ac:dyDescent="0.3">
      <c r="A136" s="260">
        <v>36929</v>
      </c>
      <c r="B136" s="128">
        <v>80.349999999999994</v>
      </c>
      <c r="C136" s="128">
        <v>27.5625</v>
      </c>
      <c r="D136" s="128">
        <v>22.6875</v>
      </c>
      <c r="F136" s="128">
        <v>8</v>
      </c>
      <c r="G136" s="128">
        <v>6.0421327026879661</v>
      </c>
      <c r="H136" s="128">
        <v>2.6075636391280859</v>
      </c>
      <c r="I136" s="128">
        <v>2.6075636391280863</v>
      </c>
      <c r="J136" s="128">
        <v>5.5625</v>
      </c>
      <c r="L136" s="128">
        <v>15.875</v>
      </c>
    </row>
    <row r="137" spans="1:12" x14ac:dyDescent="0.3">
      <c r="A137" s="260">
        <v>36930</v>
      </c>
      <c r="B137" s="128">
        <v>80</v>
      </c>
      <c r="C137" s="128">
        <v>25.5</v>
      </c>
      <c r="D137" s="128">
        <v>21.3125</v>
      </c>
      <c r="F137" s="128">
        <v>8.1875</v>
      </c>
      <c r="G137" s="128">
        <v>5.8943830258087138</v>
      </c>
      <c r="H137" s="128">
        <v>2.5821102238383724</v>
      </c>
      <c r="I137" s="128">
        <v>2.5821102238383729</v>
      </c>
      <c r="J137" s="128">
        <v>5.4375</v>
      </c>
      <c r="L137" s="128">
        <v>16.25</v>
      </c>
    </row>
    <row r="138" spans="1:12" x14ac:dyDescent="0.3">
      <c r="A138" s="260">
        <v>36931</v>
      </c>
      <c r="B138" s="128">
        <v>80.2</v>
      </c>
      <c r="C138" s="128">
        <v>25.0625</v>
      </c>
      <c r="D138" s="128">
        <v>20</v>
      </c>
      <c r="F138" s="128">
        <v>8.25</v>
      </c>
      <c r="G138" s="128">
        <v>5.7071178057666909</v>
      </c>
      <c r="H138" s="128">
        <v>2.65255223406644</v>
      </c>
      <c r="I138" s="128">
        <v>2.6525522340664405</v>
      </c>
      <c r="J138" s="128">
        <v>5.4375</v>
      </c>
      <c r="L138" s="128">
        <v>15.6875</v>
      </c>
    </row>
    <row r="139" spans="1:12" x14ac:dyDescent="0.3">
      <c r="A139" s="260">
        <v>36934</v>
      </c>
      <c r="B139" s="128">
        <v>79.8</v>
      </c>
      <c r="C139" s="128">
        <v>23.875</v>
      </c>
      <c r="D139" s="128">
        <v>19.4375</v>
      </c>
      <c r="F139" s="128">
        <v>8.375</v>
      </c>
      <c r="G139" s="128">
        <v>5.5439673718800018</v>
      </c>
      <c r="H139" s="128">
        <v>2.6458290838380072</v>
      </c>
      <c r="I139" s="128">
        <v>2.6458290838380072</v>
      </c>
      <c r="J139" s="128">
        <v>5.625</v>
      </c>
      <c r="L139" s="128">
        <v>14.875</v>
      </c>
    </row>
    <row r="258" ht="14.25" customHeight="1" x14ac:dyDescent="0.3"/>
    <row r="375" spans="1:12" x14ac:dyDescent="0.3">
      <c r="A375" s="1" t="s">
        <v>177</v>
      </c>
    </row>
    <row r="377" spans="1:12" x14ac:dyDescent="0.3">
      <c r="A377" s="260">
        <f>+'MPR Raptor'!U3</f>
        <v>36934</v>
      </c>
      <c r="C377" s="128">
        <f>INDEX(MPRR, MATCH("Avici EBS Raptor I",'MPR Raptor'!$E$3:$E$140,), MATCH("Per Share",'MPR Raptor'!$E$3:$CM$3,))</f>
        <v>23.875</v>
      </c>
      <c r="D377" s="128">
        <f>INDEX(MPRR, MATCH("Active Power Raptor I",'MPR Raptor'!$E$3:$E$140,), MATCH("Per Share",'MPR Raptor'!$E$3:$CM$3,))</f>
        <v>19.4375</v>
      </c>
      <c r="F377" s="128">
        <f>INDEX(MPRR, MATCH("DevX Energy Common Raptor I",'MPR Raptor'!$E$3:$E$140,), MATCH("Per Share",'MPR Raptor'!$E$3:$CM$3,))</f>
        <v>8.375</v>
      </c>
      <c r="G377" s="128">
        <f>INDEX(MPRR, MATCH("Carrizo Warrants Raptor I",'MPR Raptor'!$E$3:$E$140,), MATCH("Per Share",'MPR Raptor'!$E$3:$CM$3,))</f>
        <v>5.5439673718800018</v>
      </c>
      <c r="H377" s="128">
        <f>INDEX(MPRR, MATCH("3TEC Warrants Raptor I",'MPR Raptor'!$E$3:$E$140,), MATCH("Per Share",'MPR Raptor'!$E$3:$CM$3,))</f>
        <v>2.6458290838380072</v>
      </c>
      <c r="I377" s="128">
        <f>INDEX(MPRR, MATCH("3TEC Warrants EGF Raptor I",'MPR Raptor'!$E$3:$E$140,), MATCH("Per Share",'MPR Raptor'!$E$3:$CM$3,))</f>
        <v>2.6458290838380072</v>
      </c>
      <c r="J377" s="128">
        <f>INDEX(MPRR, MATCH("Paradigm Common Raptor I",'MPR Raptor'!$E$3:$E$140,), MATCH("Per Share",'MPR Raptor'!$E$3:$CM$3,))</f>
        <v>5.625</v>
      </c>
      <c r="L377" s="128">
        <f>INDEX(MPRR, MATCH("Catalytica Common TRS Raptor I",'MPR Raptor'!$E$3:$E$140,), MATCH("Per Share",'MPR Raptor'!$E$3:$CM$3,))</f>
        <v>14.875</v>
      </c>
    </row>
    <row r="378" spans="1:12" x14ac:dyDescent="0.3">
      <c r="B378"/>
      <c r="C378"/>
      <c r="D378"/>
      <c r="E378"/>
      <c r="F378"/>
      <c r="G378"/>
      <c r="H378"/>
      <c r="I378"/>
      <c r="J378"/>
      <c r="K378"/>
      <c r="L378"/>
    </row>
    <row r="379" spans="1:12" x14ac:dyDescent="0.3"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3"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3"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3"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3"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3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3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3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3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3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3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3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3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3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3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3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3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3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3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3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3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3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3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3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3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3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3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3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3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3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3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3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3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3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3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3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3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3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3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3">
      <c r="B418"/>
      <c r="C418"/>
      <c r="D418"/>
      <c r="E418"/>
      <c r="F418"/>
      <c r="G418"/>
      <c r="H418"/>
      <c r="I418"/>
      <c r="J418"/>
      <c r="K418"/>
      <c r="L418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2" workbookViewId="0">
      <pane xSplit="1" ySplit="2" topLeftCell="B137" activePane="bottomRight" state="frozen"/>
      <selection activeCell="A2" sqref="A2"/>
      <selection pane="topRight" activeCell="B2" sqref="B2"/>
      <selection pane="bottomLeft" activeCell="A4" sqref="A4"/>
      <selection pane="bottomRight" activeCell="A138" sqref="A138:IV138"/>
    </sheetView>
  </sheetViews>
  <sheetFormatPr defaultRowHeight="15.6" x14ac:dyDescent="0.3"/>
  <cols>
    <col min="1" max="1" width="8.69921875" style="260" customWidth="1"/>
    <col min="2" max="2" width="11.09765625" style="128" bestFit="1" customWidth="1"/>
    <col min="3" max="3" width="11.19921875" bestFit="1" customWidth="1"/>
    <col min="4" max="4" width="11.09765625" style="128" bestFit="1" customWidth="1"/>
    <col min="5" max="5" width="11.69921875" bestFit="1" customWidth="1"/>
    <col min="6" max="6" width="12.19921875" style="128" bestFit="1" customWidth="1"/>
    <col min="7" max="7" width="13.19921875" bestFit="1" customWidth="1"/>
    <col min="8" max="8" width="11.19921875" style="128" bestFit="1" customWidth="1"/>
    <col min="9" max="9" width="12.19921875" bestFit="1" customWidth="1"/>
    <col min="10" max="10" width="11.19921875" style="130" bestFit="1" customWidth="1"/>
    <col min="11" max="11" width="12.19921875" bestFit="1" customWidth="1"/>
    <col min="12" max="12" width="12.19921875" style="128" bestFit="1" customWidth="1"/>
    <col min="13" max="13" width="11.19921875" bestFit="1" customWidth="1"/>
    <col min="14" max="14" width="11.19921875" style="128" bestFit="1" customWidth="1"/>
    <col min="15" max="15" width="11.19921875" bestFit="1" customWidth="1"/>
    <col min="16" max="16" width="9.69921875" style="128" bestFit="1" customWidth="1"/>
    <col min="17" max="17" width="12.19921875" style="128" bestFit="1" customWidth="1"/>
    <col min="18" max="18" width="11.19921875" style="128" bestFit="1" customWidth="1"/>
    <col min="19" max="19" width="11.19921875" bestFit="1" customWidth="1"/>
    <col min="20" max="20" width="12.19921875" style="129" bestFit="1" customWidth="1"/>
    <col min="21" max="21" width="11.19921875" bestFit="1" customWidth="1"/>
    <col min="22" max="22" width="11.69921875" style="128" bestFit="1" customWidth="1"/>
    <col min="23" max="23" width="11.19921875" bestFit="1" customWidth="1"/>
    <col min="24" max="24" width="11.19921875" style="128" bestFit="1" customWidth="1"/>
    <col min="25" max="25" width="11.19921875" bestFit="1" customWidth="1"/>
    <col min="26" max="26" width="11.19921875" style="128" bestFit="1" customWidth="1"/>
    <col min="27" max="28" width="11.19921875" bestFit="1" customWidth="1"/>
    <col min="29" max="29" width="13.19921875" bestFit="1" customWidth="1"/>
    <col min="30" max="30" width="11.19921875" bestFit="1" customWidth="1"/>
    <col min="31" max="31" width="12.19921875" bestFit="1" customWidth="1"/>
    <col min="32" max="32" width="11.19921875" bestFit="1" customWidth="1"/>
    <col min="33" max="33" width="12.19921875" bestFit="1" customWidth="1"/>
    <col min="34" max="34" width="12.69921875" bestFit="1" customWidth="1"/>
  </cols>
  <sheetData>
    <row r="1" spans="1:35" x14ac:dyDescent="0.3">
      <c r="A1" s="257" t="s">
        <v>161</v>
      </c>
      <c r="B1" s="124"/>
      <c r="C1" s="2"/>
      <c r="D1" s="127"/>
    </row>
    <row r="2" spans="1:35" s="103" customFormat="1" x14ac:dyDescent="0.3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0" customFormat="1" ht="46.8" x14ac:dyDescent="0.3">
      <c r="A3" s="259" t="s">
        <v>1</v>
      </c>
      <c r="B3" s="228" t="s">
        <v>469</v>
      </c>
      <c r="C3" s="229" t="s">
        <v>218</v>
      </c>
      <c r="D3" s="229" t="s">
        <v>440</v>
      </c>
      <c r="E3" s="229" t="s">
        <v>219</v>
      </c>
      <c r="F3" s="229" t="s">
        <v>220</v>
      </c>
      <c r="G3" s="229" t="s">
        <v>180</v>
      </c>
      <c r="H3" s="229" t="s">
        <v>221</v>
      </c>
      <c r="I3" s="230" t="s">
        <v>465</v>
      </c>
      <c r="J3" s="229" t="s">
        <v>222</v>
      </c>
      <c r="K3" s="229" t="s">
        <v>455</v>
      </c>
      <c r="L3" s="229" t="s">
        <v>428</v>
      </c>
      <c r="M3" s="229" t="s">
        <v>456</v>
      </c>
      <c r="N3" s="229" t="s">
        <v>457</v>
      </c>
      <c r="O3" s="229" t="s">
        <v>223</v>
      </c>
      <c r="P3" s="229" t="s">
        <v>224</v>
      </c>
      <c r="Q3" s="229" t="s">
        <v>182</v>
      </c>
      <c r="R3" s="229" t="s">
        <v>225</v>
      </c>
      <c r="S3" s="229" t="s">
        <v>181</v>
      </c>
      <c r="T3" s="229" t="s">
        <v>226</v>
      </c>
      <c r="U3" s="229" t="s">
        <v>233</v>
      </c>
      <c r="V3" s="229" t="s">
        <v>227</v>
      </c>
      <c r="W3" s="229" t="s">
        <v>228</v>
      </c>
      <c r="X3" s="229" t="s">
        <v>229</v>
      </c>
      <c r="Y3" s="229" t="s">
        <v>230</v>
      </c>
      <c r="Z3" s="229" t="s">
        <v>466</v>
      </c>
      <c r="AA3" s="229" t="s">
        <v>231</v>
      </c>
      <c r="AB3" s="229" t="s">
        <v>234</v>
      </c>
      <c r="AC3" s="230" t="s">
        <v>458</v>
      </c>
      <c r="AD3" s="230" t="s">
        <v>459</v>
      </c>
      <c r="AE3" s="229" t="s">
        <v>430</v>
      </c>
      <c r="AF3" s="229" t="s">
        <v>429</v>
      </c>
      <c r="AG3" s="229" t="s">
        <v>183</v>
      </c>
      <c r="AH3" s="229" t="s">
        <v>235</v>
      </c>
    </row>
    <row r="4" spans="1:35" x14ac:dyDescent="0.3">
      <c r="A4" s="260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Prices'!H5*'Daily Position'!$H$4+'Stock Prices'!E5*'Daily Position'!$H$10+'Stock Prices'!F5*'Daily Position'!$H$11+'Stock Prices'!K5*'Daily Position'!$H$13)/0.6*0.3612</f>
        <v>7305134.8357232939</v>
      </c>
      <c r="AI4" s="141"/>
    </row>
    <row r="5" spans="1:35" x14ac:dyDescent="0.3">
      <c r="A5" s="260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Prices'!H6*'Daily Position'!$H$4+'Stock Prices'!E6*'Daily Position'!$H$10+'Stock Prices'!F6*'Daily Position'!$H$11+'Stock Prices'!K6*'Daily Position'!$H$13)/0.6*0.3612</f>
        <v>7404719.3011017488</v>
      </c>
      <c r="AI5" s="141"/>
    </row>
    <row r="6" spans="1:35" x14ac:dyDescent="0.3">
      <c r="A6" s="260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Prices'!H7*'Daily Position'!$H$4+'Stock Prices'!E7*'Daily Position'!$H$10+'Stock Prices'!F7*'Daily Position'!$H$11+'Stock Prices'!K7*'Daily Position'!$H$13)/0.6*0.3612</f>
        <v>7523398.6784797823</v>
      </c>
      <c r="AI6" s="141"/>
    </row>
    <row r="7" spans="1:35" x14ac:dyDescent="0.3">
      <c r="A7" s="260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Prices'!H8*'Daily Position'!$H$4+'Stock Prices'!E8*'Daily Position'!$H$10+'Stock Prices'!F8*'Daily Position'!$H$11+'Stock Prices'!K8*'Daily Position'!$H$13)/0.6*0.3612</f>
        <v>7458213.0824981257</v>
      </c>
      <c r="AI7" s="141"/>
    </row>
    <row r="8" spans="1:35" x14ac:dyDescent="0.3">
      <c r="A8" s="260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Prices'!H9*'Daily Position'!$H$4+'Stock Prices'!E9*'Daily Position'!$H$10+'Stock Prices'!F9*'Daily Position'!$H$11+'Stock Prices'!K9*'Daily Position'!$H$13)/0.6*0.3612</f>
        <v>7578794.9510216443</v>
      </c>
      <c r="AI8" s="141"/>
    </row>
    <row r="9" spans="1:35" x14ac:dyDescent="0.3">
      <c r="A9" s="260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Prices'!H10*'Daily Position'!$H$4+'Stock Prices'!E10*'Daily Position'!$H$10+'Stock Prices'!F10*'Daily Position'!$H$11+'Stock Prices'!K10*'Daily Position'!$H$13)/0.6*0.3612</f>
        <v>7549277.3709103456</v>
      </c>
      <c r="AI9" s="141"/>
    </row>
    <row r="10" spans="1:35" x14ac:dyDescent="0.3">
      <c r="A10" s="260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Prices'!H11*'Daily Position'!$H$4+'Stock Prices'!E11*'Daily Position'!$H$10+'Stock Prices'!F11*'Daily Position'!$H$11+'Stock Prices'!K11*'Daily Position'!$H$13)/0.6*0.3612</f>
        <v>7558431.5867028479</v>
      </c>
      <c r="AI10" s="141"/>
    </row>
    <row r="11" spans="1:35" x14ac:dyDescent="0.3">
      <c r="A11" s="260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Prices'!H12*'Daily Position'!$H$4+'Stock Prices'!E12*'Daily Position'!$H$10+'Stock Prices'!F12*'Daily Position'!$H$11+'Stock Prices'!K12*'Daily Position'!$H$13)/0.6*0.3612</f>
        <v>7589274.5056273108</v>
      </c>
      <c r="AI11" s="141"/>
    </row>
    <row r="12" spans="1:35" x14ac:dyDescent="0.3">
      <c r="A12" s="260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Prices'!H13*'Daily Position'!$H$4+'Stock Prices'!E13*'Daily Position'!$H$10+'Stock Prices'!F13*'Daily Position'!$H$11+'Stock Prices'!K13*'Daily Position'!$H$13)/0.6*0.3612</f>
        <v>7624613.174546469</v>
      </c>
      <c r="AI12" s="141"/>
    </row>
    <row r="13" spans="1:35" x14ac:dyDescent="0.3">
      <c r="A13" s="260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Prices'!H14*'Daily Position'!$H$4+'Stock Prices'!E14*'Daily Position'!$H$10+'Stock Prices'!F14*'Daily Position'!$H$11+'Stock Prices'!K14*'Daily Position'!$H$13)/0.6*0.3612</f>
        <v>7765227.0797651503</v>
      </c>
      <c r="AI13" s="141"/>
    </row>
    <row r="14" spans="1:35" x14ac:dyDescent="0.3">
      <c r="A14" s="260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Prices'!H15*'Daily Position'!$H$4+'Stock Prices'!E15*'Daily Position'!$H$10+'Stock Prices'!F15*'Daily Position'!$H$11+'Stock Prices'!K15*'Daily Position'!$H$13)/0.6*0.3612</f>
        <v>7672091.1006598137</v>
      </c>
      <c r="AI14" s="141"/>
    </row>
    <row r="15" spans="1:35" x14ac:dyDescent="0.3">
      <c r="A15" s="260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Prices'!H16*'Daily Position'!$H$4+'Stock Prices'!E16*'Daily Position'!$H$10+'Stock Prices'!F16*'Daily Position'!$H$11+'Stock Prices'!K16*'Daily Position'!$H$13)/0.6*0.3612</f>
        <v>7589777.6129987463</v>
      </c>
      <c r="AI15" s="141"/>
    </row>
    <row r="16" spans="1:35" x14ac:dyDescent="0.3">
      <c r="A16" s="260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Prices'!H17*'Daily Position'!$H$4+'Stock Prices'!E17*'Daily Position'!$H$10+'Stock Prices'!F17*'Daily Position'!$H$11+'Stock Prices'!K17*'Daily Position'!$H$13)/0.6*0.3612</f>
        <v>7678466.0108692711</v>
      </c>
      <c r="AI16" s="141"/>
    </row>
    <row r="17" spans="1:35" x14ac:dyDescent="0.3">
      <c r="A17" s="260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Prices'!H18*'Daily Position'!$H$4+'Stock Prices'!E18*'Daily Position'!$H$10+'Stock Prices'!F18*'Daily Position'!$H$11+'Stock Prices'!K18*'Daily Position'!$H$13)/0.6*0.3612</f>
        <v>7679632.9722745679</v>
      </c>
      <c r="AI17" s="141"/>
    </row>
    <row r="18" spans="1:35" x14ac:dyDescent="0.3">
      <c r="A18" s="260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Prices'!H19*'Daily Position'!$H$4+'Stock Prices'!E19*'Daily Position'!$H$10+'Stock Prices'!F19*'Daily Position'!$H$11+'Stock Prices'!K19*'Daily Position'!$H$13)/0.6*0.3612</f>
        <v>7884064.5074093426</v>
      </c>
      <c r="AI18" s="141"/>
    </row>
    <row r="19" spans="1:35" x14ac:dyDescent="0.3">
      <c r="A19" s="260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Prices'!H20*'Daily Position'!$H$4+'Stock Prices'!E20*'Daily Position'!$H$10+'Stock Prices'!F20*'Daily Position'!$H$11+'Stock Prices'!K20*'Daily Position'!$H$13)/0.6*0.3612</f>
        <v>7978494.0437594904</v>
      </c>
    </row>
    <row r="20" spans="1:35" x14ac:dyDescent="0.3">
      <c r="A20" s="260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Prices'!H21*'Daily Position'!$H$4+'Stock Prices'!E21*'Daily Position'!$H$10+'Stock Prices'!F21*'Daily Position'!$H$11+'Stock Prices'!K21*'Daily Position'!$H$13)/0.6*0.3612</f>
        <v>7963994.1778202429</v>
      </c>
    </row>
    <row r="21" spans="1:35" x14ac:dyDescent="0.3">
      <c r="A21" s="260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Prices'!H22*'Daily Position'!$H$4+'Stock Prices'!E22*'Daily Position'!$H$10+'Stock Prices'!F22*'Daily Position'!$H$11+'Stock Prices'!K22*'Daily Position'!$H$13)/0.6*0.3612</f>
        <v>7939636.0084839938</v>
      </c>
    </row>
    <row r="22" spans="1:35" x14ac:dyDescent="0.3">
      <c r="A22" s="260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Prices'!H23*'Daily Position'!$H$4+'Stock Prices'!E23*'Daily Position'!$H$10+'Stock Prices'!F23*'Daily Position'!$H$11+'Stock Prices'!K23*'Daily Position'!$H$13)/0.6*0.3612</f>
        <v>7914166.4943286357</v>
      </c>
    </row>
    <row r="23" spans="1:35" x14ac:dyDescent="0.3">
      <c r="A23" s="260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Prices'!H24*'Daily Position'!$H$4+'Stock Prices'!E24*'Daily Position'!$H$10+'Stock Prices'!F24*'Daily Position'!$H$11+'Stock Prices'!K24*'Daily Position'!$H$13)/0.6*0.3612</f>
        <v>8012561.3421022631</v>
      </c>
    </row>
    <row r="24" spans="1:35" x14ac:dyDescent="0.3">
      <c r="A24" s="260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Prices'!H25*'Daily Position'!$H$4+'Stock Prices'!E25*'Daily Position'!$H$10+'Stock Prices'!F25*'Daily Position'!$H$11+'Stock Prices'!K25*'Daily Position'!$H$13)/0.6*0.3612</f>
        <v>8039327.0979289468</v>
      </c>
    </row>
    <row r="25" spans="1:35" x14ac:dyDescent="0.3">
      <c r="A25" s="260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Prices'!H26*'Daily Position'!$H$4+'Stock Prices'!E26*'Daily Position'!$H$10+'Stock Prices'!F26*'Daily Position'!$H$11+'Stock Prices'!K26*'Daily Position'!$H$13)/0.6*0.3612</f>
        <v>7955869.867276758</v>
      </c>
    </row>
    <row r="26" spans="1:35" x14ac:dyDescent="0.3">
      <c r="A26" s="260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Prices'!H27*'Daily Position'!$H$4+'Stock Prices'!E27*'Daily Position'!$H$10+'Stock Prices'!F27*'Daily Position'!$H$11+'Stock Prices'!K27*'Daily Position'!$H$13)/0.6*0.3612</f>
        <v>7918418.8541880371</v>
      </c>
    </row>
    <row r="27" spans="1:35" x14ac:dyDescent="0.3">
      <c r="A27" s="260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Prices'!H28*'Daily Position'!$H$4+'Stock Prices'!E28*'Daily Position'!$H$10+'Stock Prices'!F28*'Daily Position'!$H$11+'Stock Prices'!K28*'Daily Position'!$H$13)/0.6*0.3612</f>
        <v>8068205.5580421966</v>
      </c>
    </row>
    <row r="28" spans="1:35" x14ac:dyDescent="0.3">
      <c r="A28" s="260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Prices'!H29*'Daily Position'!$H$4+'Stock Prices'!E29*'Daily Position'!$H$10+'Stock Prices'!F29*'Daily Position'!$H$11+'Stock Prices'!K29*'Daily Position'!$H$13)/0.6*0.3612</f>
        <v>8041950.6123933112</v>
      </c>
    </row>
    <row r="29" spans="1:35" x14ac:dyDescent="0.3">
      <c r="A29" s="260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Prices'!H30*'Daily Position'!$H$4+'Stock Prices'!E30*'Daily Position'!$H$10+'Stock Prices'!F30*'Daily Position'!$H$11+'Stock Prices'!K30*'Daily Position'!$H$13)/0.6*0.3612</f>
        <v>7999857.4943882991</v>
      </c>
    </row>
    <row r="30" spans="1:35" x14ac:dyDescent="0.3">
      <c r="A30" s="260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Prices'!H31*'Daily Position'!$H$4+'Stock Prices'!E31*'Daily Position'!$H$10+'Stock Prices'!F31*'Daily Position'!$H$11+'Stock Prices'!K31*'Daily Position'!$H$13)/0.6*0.3612</f>
        <v>7889106.9468475962</v>
      </c>
    </row>
    <row r="31" spans="1:35" x14ac:dyDescent="0.3">
      <c r="A31" s="260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Prices'!H32*'Daily Position'!$H$4+'Stock Prices'!E32*'Daily Position'!$H$10+'Stock Prices'!F32*'Daily Position'!$H$11+'Stock Prices'!K32*'Daily Position'!$H$13)/0.6*0.3612</f>
        <v>7848589.0523968963</v>
      </c>
    </row>
    <row r="32" spans="1:35" x14ac:dyDescent="0.3">
      <c r="A32" s="260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Prices'!H33*'Daily Position'!$H$4+'Stock Prices'!E33*'Daily Position'!$H$10+'Stock Prices'!F33*'Daily Position'!$H$11+'Stock Prices'!K33*'Daily Position'!$H$13)/0.6*0.3612</f>
        <v>7928863.5775729269</v>
      </c>
    </row>
    <row r="33" spans="1:34" x14ac:dyDescent="0.3">
      <c r="A33" s="260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Prices'!H34*'Daily Position'!$H$4+'Stock Prices'!E34*'Daily Position'!$H$10+'Stock Prices'!F34*'Daily Position'!$H$11+'Stock Prices'!K34*'Daily Position'!$H$13)/0.6*0.3612</f>
        <v>7935286.0461356817</v>
      </c>
    </row>
    <row r="34" spans="1:34" x14ac:dyDescent="0.3">
      <c r="A34" s="260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Prices'!H35*'Daily Position'!$H$4+'Stock Prices'!E35*'Daily Position'!$H$10+'Stock Prices'!F35*'Daily Position'!$H$11+'Stock Prices'!K35*'Daily Position'!$H$13)/0.6*0.3612</f>
        <v>7831755.4341768678</v>
      </c>
    </row>
    <row r="35" spans="1:34" x14ac:dyDescent="0.3">
      <c r="A35" s="260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3">
      <c r="A36" s="260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3">
      <c r="A37" s="260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3">
      <c r="A38" s="260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3">
      <c r="A39" s="260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3">
      <c r="A40" s="260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3">
      <c r="A41" s="260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3">
      <c r="A42" s="260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3">
      <c r="A43" s="260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3">
      <c r="A44" s="260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3">
      <c r="A45" s="260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3">
      <c r="A46" s="260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3">
      <c r="A47" s="260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3">
      <c r="A48" s="260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3">
      <c r="A49" s="260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3">
      <c r="A50" s="260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3">
      <c r="A51" s="260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3">
      <c r="A52" s="260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3">
      <c r="A53" s="260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3">
      <c r="A54" s="260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3">
      <c r="A55" s="260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3">
      <c r="A56" s="260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3">
      <c r="A57" s="260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3">
      <c r="A58" s="260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3">
      <c r="A59" s="260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3">
      <c r="A60" s="260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3">
      <c r="A61" s="260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3">
      <c r="A62" s="260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3">
      <c r="A63" s="260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3">
      <c r="A64" s="260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3">
      <c r="A65" s="260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3">
      <c r="A66" s="260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3">
      <c r="A67" s="260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3">
      <c r="A68" s="260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3">
      <c r="A69" s="260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f>12500000+65507.43</f>
        <v>12565507.43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3">
      <c r="A70" s="260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3">
      <c r="A71" s="260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3">
      <c r="A72" s="260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3">
      <c r="A73" s="260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3">
      <c r="A74" s="260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3">
      <c r="A75" s="260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3">
      <c r="A76" s="260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3">
      <c r="A77" s="260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3">
      <c r="A78" s="260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3">
      <c r="A79" s="260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3">
      <c r="A80" s="260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3">
      <c r="A81" s="260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3">
      <c r="A82" s="260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3">
      <c r="A83" s="260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3">
      <c r="A84" s="260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3">
      <c r="A85" s="260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3">
      <c r="A86" s="260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3">
      <c r="A87" s="260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3">
      <c r="A88" s="260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3">
      <c r="A89" s="260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3">
      <c r="A90" s="260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3">
      <c r="A91" s="260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3">
      <c r="A92" s="260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3">
      <c r="A93" s="260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3">
      <c r="A94" s="260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3">
      <c r="A95" s="260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3">
      <c r="A96" s="260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3">
      <c r="A97" s="260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3">
      <c r="A98" s="260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3">
      <c r="A99" s="260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3">
      <c r="A100" s="260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3">
      <c r="A101" s="260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3">
      <c r="A102" s="260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3">
      <c r="A103" s="260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3">
      <c r="A104" s="260">
        <v>36881</v>
      </c>
      <c r="B104" s="4">
        <v>1250000</v>
      </c>
      <c r="C104" s="4">
        <v>4563600</v>
      </c>
      <c r="D104" s="4">
        <v>1247943.5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3">
      <c r="A105" s="260">
        <v>36882</v>
      </c>
      <c r="B105" s="4">
        <v>1250000</v>
      </c>
      <c r="C105" s="4">
        <v>4563600</v>
      </c>
      <c r="D105" s="4">
        <v>1247943.5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3">
      <c r="A106" s="260">
        <v>36886</v>
      </c>
      <c r="B106" s="4">
        <v>1250000</v>
      </c>
      <c r="C106" s="4">
        <v>4563600</v>
      </c>
      <c r="D106" s="4">
        <v>1247943.5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3">
      <c r="A107" s="260">
        <v>36887</v>
      </c>
      <c r="B107" s="4">
        <v>1250000</v>
      </c>
      <c r="C107" s="4">
        <v>4563600</v>
      </c>
      <c r="D107" s="4">
        <v>1247943.5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3">
      <c r="A108" s="260">
        <v>36888</v>
      </c>
      <c r="B108" s="4">
        <v>1250000</v>
      </c>
      <c r="C108" s="4">
        <v>4563600</v>
      </c>
      <c r="D108" s="4">
        <v>1247943.5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109" spans="1:34" x14ac:dyDescent="0.3">
      <c r="A109" s="260">
        <v>36889</v>
      </c>
      <c r="B109" s="4">
        <v>1250000</v>
      </c>
      <c r="C109" s="4">
        <v>4375178.6900000004</v>
      </c>
      <c r="D109" s="4">
        <v>1247943.5</v>
      </c>
      <c r="E109" s="4"/>
      <c r="F109" s="4">
        <v>0</v>
      </c>
      <c r="G109" s="4"/>
      <c r="H109" s="4">
        <v>1663000</v>
      </c>
      <c r="I109" s="4">
        <v>0</v>
      </c>
      <c r="J109" s="4"/>
      <c r="K109" s="4">
        <v>23507915.000000212</v>
      </c>
      <c r="L109" s="4">
        <v>10372212</v>
      </c>
      <c r="M109" s="4">
        <v>1302980</v>
      </c>
      <c r="N109" s="4">
        <v>3486752</v>
      </c>
      <c r="O109" s="4">
        <v>429210</v>
      </c>
      <c r="P109" s="4">
        <v>470790</v>
      </c>
      <c r="Q109" s="4">
        <v>23513434.5</v>
      </c>
      <c r="R109" s="4">
        <v>7121810</v>
      </c>
      <c r="S109" s="4">
        <v>5644007</v>
      </c>
      <c r="T109" s="4">
        <v>20999559.859999999</v>
      </c>
      <c r="U109" s="4">
        <v>2560525</v>
      </c>
      <c r="V109" s="4"/>
      <c r="W109" s="4">
        <v>2013591.6599838899</v>
      </c>
      <c r="X109" s="4">
        <v>1374750</v>
      </c>
      <c r="Y109" s="4">
        <v>1803840</v>
      </c>
      <c r="Z109" s="4">
        <v>2300803</v>
      </c>
      <c r="AA109" s="4">
        <v>8551988.3399999999</v>
      </c>
      <c r="AB109" s="4">
        <v>2343750</v>
      </c>
      <c r="AC109" s="4">
        <v>16316247</v>
      </c>
      <c r="AD109" s="4">
        <v>1050000</v>
      </c>
      <c r="AE109" s="4">
        <v>80202486.480000004</v>
      </c>
      <c r="AF109" s="4">
        <v>1360000</v>
      </c>
      <c r="AG109" s="4">
        <v>93746588.676477998</v>
      </c>
      <c r="AH109" s="4">
        <v>8557084.5279601924</v>
      </c>
    </row>
    <row r="110" spans="1:34" x14ac:dyDescent="0.3">
      <c r="A110" s="260">
        <v>36893</v>
      </c>
      <c r="B110" s="4">
        <v>1250000</v>
      </c>
      <c r="C110" s="4">
        <v>4375178.6900000004</v>
      </c>
      <c r="D110" s="4">
        <v>1247943.5</v>
      </c>
      <c r="E110" s="4"/>
      <c r="F110" s="4">
        <v>0</v>
      </c>
      <c r="G110" s="4"/>
      <c r="H110" s="4">
        <v>1663000</v>
      </c>
      <c r="I110" s="4">
        <v>0</v>
      </c>
      <c r="J110" s="4"/>
      <c r="K110" s="4">
        <v>23507915.000000216</v>
      </c>
      <c r="L110" s="4">
        <v>10372212</v>
      </c>
      <c r="M110" s="4">
        <v>1302980</v>
      </c>
      <c r="N110" s="4">
        <v>3486752</v>
      </c>
      <c r="O110" s="4">
        <v>429210</v>
      </c>
      <c r="P110" s="4">
        <v>470790</v>
      </c>
      <c r="Q110" s="4">
        <v>23513434.5</v>
      </c>
      <c r="R110" s="4">
        <v>7121810</v>
      </c>
      <c r="S110" s="4">
        <v>5644007</v>
      </c>
      <c r="T110" s="4">
        <v>20999559.859999999</v>
      </c>
      <c r="U110" s="4">
        <v>2560525</v>
      </c>
      <c r="V110" s="4"/>
      <c r="W110" s="4">
        <v>2013591.6599838899</v>
      </c>
      <c r="X110" s="4">
        <v>1374750</v>
      </c>
      <c r="Y110" s="4">
        <v>1803840</v>
      </c>
      <c r="Z110" s="4">
        <v>2300803</v>
      </c>
      <c r="AA110" s="4">
        <v>8551988.3399999999</v>
      </c>
      <c r="AB110" s="4">
        <v>2343750</v>
      </c>
      <c r="AC110" s="4">
        <v>16316247</v>
      </c>
      <c r="AD110" s="4">
        <v>1050000</v>
      </c>
      <c r="AE110" s="4">
        <v>80202486.480000004</v>
      </c>
      <c r="AF110" s="4">
        <v>1360000</v>
      </c>
      <c r="AG110" s="4">
        <v>93746588.676477998</v>
      </c>
      <c r="AH110" s="4">
        <v>8479385.6548923738</v>
      </c>
    </row>
    <row r="111" spans="1:34" x14ac:dyDescent="0.3">
      <c r="A111" s="260">
        <v>36894</v>
      </c>
      <c r="B111" s="4">
        <v>1250000</v>
      </c>
      <c r="C111" s="4">
        <v>4375178.6900000004</v>
      </c>
      <c r="D111" s="4">
        <v>1247943.5</v>
      </c>
      <c r="E111" s="4"/>
      <c r="F111" s="4">
        <v>0</v>
      </c>
      <c r="G111" s="4"/>
      <c r="H111" s="4">
        <v>1663000</v>
      </c>
      <c r="I111" s="4">
        <v>0</v>
      </c>
      <c r="J111" s="4"/>
      <c r="K111" s="4">
        <v>23507915.00000022</v>
      </c>
      <c r="L111" s="4">
        <v>10372212</v>
      </c>
      <c r="M111" s="4">
        <v>1302980</v>
      </c>
      <c r="N111" s="4">
        <v>3486752</v>
      </c>
      <c r="O111" s="4">
        <v>429210</v>
      </c>
      <c r="P111" s="4">
        <v>470790</v>
      </c>
      <c r="Q111" s="4">
        <v>23513434.5</v>
      </c>
      <c r="R111" s="4">
        <v>7121810</v>
      </c>
      <c r="S111" s="4">
        <v>5644007</v>
      </c>
      <c r="T111" s="4">
        <v>20999559.859999999</v>
      </c>
      <c r="U111" s="4">
        <v>2560525</v>
      </c>
      <c r="V111" s="4"/>
      <c r="W111" s="4">
        <v>2013591.6599838899</v>
      </c>
      <c r="X111" s="4">
        <v>1374750</v>
      </c>
      <c r="Y111" s="4">
        <v>1803840</v>
      </c>
      <c r="Z111" s="4">
        <v>2300803</v>
      </c>
      <c r="AA111" s="4">
        <v>8551988.3399999999</v>
      </c>
      <c r="AB111" s="4">
        <v>2343750</v>
      </c>
      <c r="AC111" s="4">
        <v>16316247</v>
      </c>
      <c r="AD111" s="4">
        <v>1050000</v>
      </c>
      <c r="AE111" s="4">
        <v>80202486.480000004</v>
      </c>
      <c r="AF111" s="4">
        <v>1360000</v>
      </c>
      <c r="AG111" s="4">
        <v>93746588.676477998</v>
      </c>
      <c r="AH111" s="4">
        <v>8833596.1422690134</v>
      </c>
    </row>
    <row r="112" spans="1:34" x14ac:dyDescent="0.3">
      <c r="A112" s="260">
        <v>36895</v>
      </c>
      <c r="B112" s="4">
        <v>1250000</v>
      </c>
      <c r="C112" s="4">
        <v>4375178.6900000004</v>
      </c>
      <c r="D112" s="4">
        <v>1247943.5</v>
      </c>
      <c r="E112" s="4"/>
      <c r="F112" s="4">
        <v>0</v>
      </c>
      <c r="G112" s="4"/>
      <c r="H112" s="4">
        <v>1663000</v>
      </c>
      <c r="I112" s="4">
        <v>0</v>
      </c>
      <c r="J112" s="4"/>
      <c r="K112" s="4">
        <v>23507915.000000224</v>
      </c>
      <c r="L112" s="4">
        <v>10372212</v>
      </c>
      <c r="M112" s="4">
        <v>1302980</v>
      </c>
      <c r="N112" s="4">
        <v>3486752</v>
      </c>
      <c r="O112" s="4">
        <v>429210</v>
      </c>
      <c r="P112" s="4">
        <v>470790</v>
      </c>
      <c r="Q112" s="4">
        <v>23513434.5</v>
      </c>
      <c r="R112" s="4">
        <v>7121810</v>
      </c>
      <c r="S112" s="4">
        <v>5644007</v>
      </c>
      <c r="T112" s="4">
        <v>20999559.859999999</v>
      </c>
      <c r="U112" s="4">
        <v>2560525</v>
      </c>
      <c r="V112" s="4"/>
      <c r="W112" s="4">
        <v>2013591.6599838899</v>
      </c>
      <c r="X112" s="4">
        <v>1374750</v>
      </c>
      <c r="Y112" s="4">
        <v>1803840</v>
      </c>
      <c r="Z112" s="4">
        <v>2300803</v>
      </c>
      <c r="AA112" s="4">
        <v>8551988.3399999999</v>
      </c>
      <c r="AB112" s="4">
        <v>2343750</v>
      </c>
      <c r="AC112" s="4">
        <v>16316247</v>
      </c>
      <c r="AD112" s="4">
        <v>1050000</v>
      </c>
      <c r="AE112" s="4">
        <v>80202486.480000004</v>
      </c>
      <c r="AF112" s="4">
        <v>1360000</v>
      </c>
      <c r="AG112" s="4">
        <v>93746588.676477998</v>
      </c>
      <c r="AH112" s="4">
        <v>8458919.071181519</v>
      </c>
    </row>
    <row r="113" spans="1:34" x14ac:dyDescent="0.3">
      <c r="A113" s="260">
        <v>36896</v>
      </c>
      <c r="B113" s="4">
        <v>1250000</v>
      </c>
      <c r="C113" s="4">
        <v>4375178.6900000004</v>
      </c>
      <c r="D113" s="4">
        <v>1247943.5</v>
      </c>
      <c r="E113" s="4"/>
      <c r="F113" s="4">
        <v>0</v>
      </c>
      <c r="G113" s="4"/>
      <c r="H113" s="4">
        <v>1663000</v>
      </c>
      <c r="I113" s="4">
        <v>0</v>
      </c>
      <c r="J113" s="4"/>
      <c r="K113" s="4">
        <v>23507915.000000227</v>
      </c>
      <c r="L113" s="4">
        <v>10372212</v>
      </c>
      <c r="M113" s="4">
        <v>1302980</v>
      </c>
      <c r="N113" s="4">
        <v>3486752</v>
      </c>
      <c r="O113" s="4">
        <v>429210</v>
      </c>
      <c r="P113" s="4">
        <v>470790</v>
      </c>
      <c r="Q113" s="4">
        <v>23513434.5</v>
      </c>
      <c r="R113" s="4">
        <v>7121810</v>
      </c>
      <c r="S113" s="4">
        <v>5644007</v>
      </c>
      <c r="T113" s="4">
        <v>20999559.859999999</v>
      </c>
      <c r="U113" s="4">
        <v>2560525</v>
      </c>
      <c r="V113" s="4"/>
      <c r="W113" s="4">
        <v>2013591.6599838899</v>
      </c>
      <c r="X113" s="4">
        <v>1374750</v>
      </c>
      <c r="Y113" s="4">
        <v>1803840</v>
      </c>
      <c r="Z113" s="4">
        <v>2300803</v>
      </c>
      <c r="AA113" s="4">
        <v>8551988.3399999999</v>
      </c>
      <c r="AB113" s="4">
        <v>2343750</v>
      </c>
      <c r="AC113" s="4">
        <v>16316247</v>
      </c>
      <c r="AD113" s="4">
        <v>1050000</v>
      </c>
      <c r="AE113" s="4">
        <v>80202486.480000004</v>
      </c>
      <c r="AF113" s="4">
        <v>1360000</v>
      </c>
      <c r="AG113" s="4">
        <v>93746588.676477998</v>
      </c>
      <c r="AH113" s="4">
        <v>8456866.6656197757</v>
      </c>
    </row>
    <row r="114" spans="1:34" x14ac:dyDescent="0.3">
      <c r="A114" s="260">
        <v>36899</v>
      </c>
      <c r="B114" s="4">
        <v>1250000</v>
      </c>
      <c r="C114" s="4">
        <v>4375178.6900000004</v>
      </c>
      <c r="D114" s="4">
        <v>1247943.5</v>
      </c>
      <c r="E114" s="4"/>
      <c r="F114" s="4">
        <v>0</v>
      </c>
      <c r="G114" s="4"/>
      <c r="H114" s="4">
        <v>1663000</v>
      </c>
      <c r="I114" s="4">
        <v>0</v>
      </c>
      <c r="J114" s="4"/>
      <c r="K114" s="4">
        <v>23507915.000000231</v>
      </c>
      <c r="L114" s="4">
        <v>10372212</v>
      </c>
      <c r="M114" s="4">
        <v>1302980</v>
      </c>
      <c r="N114" s="4">
        <v>3486752</v>
      </c>
      <c r="O114" s="4">
        <v>429210</v>
      </c>
      <c r="P114" s="4">
        <v>470790</v>
      </c>
      <c r="Q114" s="4">
        <v>23513434.5</v>
      </c>
      <c r="R114" s="4">
        <v>7121810</v>
      </c>
      <c r="S114" s="4">
        <v>5644007</v>
      </c>
      <c r="T114" s="4">
        <v>20999559.859999999</v>
      </c>
      <c r="U114" s="4">
        <v>2560525</v>
      </c>
      <c r="V114" s="4"/>
      <c r="W114" s="4">
        <v>2013591.6599838899</v>
      </c>
      <c r="X114" s="4">
        <v>1374750</v>
      </c>
      <c r="Y114" s="4">
        <v>1803840</v>
      </c>
      <c r="Z114" s="4">
        <v>2300803</v>
      </c>
      <c r="AA114" s="4">
        <v>8551988.3399999999</v>
      </c>
      <c r="AB114" s="4">
        <v>2343750</v>
      </c>
      <c r="AC114" s="4">
        <v>16316247</v>
      </c>
      <c r="AD114" s="4">
        <v>1050000</v>
      </c>
      <c r="AE114" s="4">
        <v>80202486.480000004</v>
      </c>
      <c r="AF114" s="4">
        <v>1360000</v>
      </c>
      <c r="AG114" s="4">
        <v>93746588.676477998</v>
      </c>
      <c r="AH114" s="4">
        <v>8576132.7156718988</v>
      </c>
    </row>
    <row r="115" spans="1:34" x14ac:dyDescent="0.3">
      <c r="A115" s="260">
        <v>36900</v>
      </c>
      <c r="B115" s="4">
        <v>1250000</v>
      </c>
      <c r="C115" s="4">
        <v>4375178.6900000004</v>
      </c>
      <c r="D115" s="4">
        <v>1247943.5</v>
      </c>
      <c r="E115" s="4"/>
      <c r="F115" s="4"/>
      <c r="G115" s="4"/>
      <c r="H115" s="4">
        <v>1663000</v>
      </c>
      <c r="I115" s="4">
        <v>0</v>
      </c>
      <c r="J115" s="4"/>
      <c r="K115" s="4">
        <v>23507915.000000238</v>
      </c>
      <c r="L115" s="4">
        <v>10372212</v>
      </c>
      <c r="M115" s="4">
        <v>1302980</v>
      </c>
      <c r="N115" s="4">
        <v>3486752</v>
      </c>
      <c r="O115" s="4">
        <v>429210</v>
      </c>
      <c r="P115" s="4">
        <v>470790</v>
      </c>
      <c r="Q115" s="4">
        <v>23513434.5</v>
      </c>
      <c r="R115" s="4">
        <v>7121810</v>
      </c>
      <c r="S115" s="4">
        <v>5644007</v>
      </c>
      <c r="T115" s="4">
        <v>20999559.859999999</v>
      </c>
      <c r="U115" s="4">
        <v>2560525</v>
      </c>
      <c r="V115" s="4"/>
      <c r="W115" s="4">
        <v>2013591.6599838899</v>
      </c>
      <c r="X115" s="4">
        <v>1374750</v>
      </c>
      <c r="Y115" s="4">
        <v>1803840</v>
      </c>
      <c r="Z115" s="4">
        <v>2300803</v>
      </c>
      <c r="AA115" s="4">
        <v>8551988.3399999999</v>
      </c>
      <c r="AB115" s="4">
        <v>2343750</v>
      </c>
      <c r="AC115" s="4">
        <v>16316247</v>
      </c>
      <c r="AD115" s="4">
        <v>1050000</v>
      </c>
      <c r="AE115" s="4">
        <v>80202486.480000004</v>
      </c>
      <c r="AF115" s="4">
        <v>1360000</v>
      </c>
      <c r="AG115" s="4">
        <v>93746588.676477998</v>
      </c>
      <c r="AH115" s="4">
        <v>3071115.3936292245</v>
      </c>
    </row>
    <row r="116" spans="1:34" x14ac:dyDescent="0.3">
      <c r="A116" s="260">
        <v>36901</v>
      </c>
      <c r="B116" s="4">
        <v>1250000</v>
      </c>
      <c r="C116" s="4">
        <v>4375178.6900000004</v>
      </c>
      <c r="D116" s="4">
        <v>1247943.5</v>
      </c>
      <c r="E116" s="4"/>
      <c r="F116" s="4"/>
      <c r="G116" s="4"/>
      <c r="H116" s="4">
        <v>1663000</v>
      </c>
      <c r="I116" s="4">
        <v>0</v>
      </c>
      <c r="J116" s="4"/>
      <c r="K116" s="4">
        <v>23507915.000000242</v>
      </c>
      <c r="L116" s="4">
        <v>10372212</v>
      </c>
      <c r="M116" s="4">
        <v>1302980</v>
      </c>
      <c r="N116" s="4">
        <v>3486752</v>
      </c>
      <c r="O116" s="4">
        <v>429210</v>
      </c>
      <c r="P116" s="4">
        <v>470790</v>
      </c>
      <c r="Q116" s="4">
        <v>23513434.5</v>
      </c>
      <c r="R116" s="4">
        <v>7121810</v>
      </c>
      <c r="S116" s="4">
        <v>5644007</v>
      </c>
      <c r="T116" s="4">
        <v>20999559.859999999</v>
      </c>
      <c r="U116" s="4">
        <v>2560525</v>
      </c>
      <c r="V116" s="4"/>
      <c r="W116" s="4">
        <v>2013591.6599838899</v>
      </c>
      <c r="X116" s="4">
        <v>1374750</v>
      </c>
      <c r="Y116" s="4">
        <v>1803840</v>
      </c>
      <c r="Z116" s="4">
        <v>2300803</v>
      </c>
      <c r="AA116" s="4">
        <v>8551988.3399999999</v>
      </c>
      <c r="AB116" s="4">
        <v>2343750</v>
      </c>
      <c r="AC116" s="4">
        <v>16316247</v>
      </c>
      <c r="AD116" s="4">
        <v>1050000</v>
      </c>
      <c r="AE116" s="4">
        <v>80202486.480000004</v>
      </c>
      <c r="AF116" s="4">
        <v>1360000</v>
      </c>
      <c r="AG116" s="4">
        <v>93746588.676477998</v>
      </c>
      <c r="AH116" s="4">
        <v>3071115.3936292245</v>
      </c>
    </row>
    <row r="117" spans="1:34" x14ac:dyDescent="0.3">
      <c r="A117" s="260">
        <v>36902</v>
      </c>
      <c r="B117" s="4">
        <v>1250000</v>
      </c>
      <c r="C117" s="4">
        <v>4375178.6900000004</v>
      </c>
      <c r="D117" s="4">
        <v>1247943.5</v>
      </c>
      <c r="E117" s="4"/>
      <c r="F117" s="4"/>
      <c r="G117" s="4"/>
      <c r="H117" s="4">
        <v>1663000</v>
      </c>
      <c r="I117" s="4">
        <v>0</v>
      </c>
      <c r="J117" s="4"/>
      <c r="K117" s="4">
        <v>23507915.000000246</v>
      </c>
      <c r="L117" s="4">
        <v>10372212</v>
      </c>
      <c r="M117" s="4">
        <v>1302980</v>
      </c>
      <c r="N117" s="4">
        <v>3486752</v>
      </c>
      <c r="O117" s="4">
        <v>429210</v>
      </c>
      <c r="P117" s="4">
        <v>470790</v>
      </c>
      <c r="Q117" s="4">
        <v>23513434.5</v>
      </c>
      <c r="R117" s="4">
        <v>7121810</v>
      </c>
      <c r="S117" s="4">
        <v>5644007</v>
      </c>
      <c r="T117" s="4">
        <v>20999559.859999999</v>
      </c>
      <c r="U117" s="4">
        <v>2560525</v>
      </c>
      <c r="V117" s="4"/>
      <c r="W117" s="4">
        <v>2013591.6599838899</v>
      </c>
      <c r="X117" s="4">
        <v>1374750</v>
      </c>
      <c r="Y117" s="4">
        <v>1803840</v>
      </c>
      <c r="Z117" s="4">
        <v>2300803</v>
      </c>
      <c r="AA117" s="4">
        <v>8551988.3399999999</v>
      </c>
      <c r="AB117" s="4">
        <v>2343750</v>
      </c>
      <c r="AC117" s="4">
        <v>16316247</v>
      </c>
      <c r="AD117" s="4">
        <v>1050000</v>
      </c>
      <c r="AE117" s="4">
        <v>80202486.480000004</v>
      </c>
      <c r="AF117" s="4">
        <v>1360000</v>
      </c>
      <c r="AG117" s="4">
        <v>93746588.676477998</v>
      </c>
      <c r="AH117" s="4">
        <v>3073087.9103156473</v>
      </c>
    </row>
    <row r="118" spans="1:34" x14ac:dyDescent="0.3">
      <c r="A118" s="260">
        <v>36903</v>
      </c>
      <c r="B118" s="4">
        <v>1250000</v>
      </c>
      <c r="C118" s="4">
        <v>4375178.6900000004</v>
      </c>
      <c r="D118" s="4">
        <v>1247943.5</v>
      </c>
      <c r="E118" s="4"/>
      <c r="F118" s="4"/>
      <c r="G118" s="4"/>
      <c r="H118" s="4">
        <v>1663000</v>
      </c>
      <c r="I118" s="4">
        <v>0</v>
      </c>
      <c r="J118" s="4"/>
      <c r="K118" s="4">
        <v>23507915.00000025</v>
      </c>
      <c r="L118" s="4">
        <v>10372212</v>
      </c>
      <c r="M118" s="4">
        <v>1302980</v>
      </c>
      <c r="N118" s="4">
        <v>3486752</v>
      </c>
      <c r="O118" s="4">
        <v>429210</v>
      </c>
      <c r="P118" s="4">
        <v>470790</v>
      </c>
      <c r="Q118" s="4">
        <v>23513434.5</v>
      </c>
      <c r="R118" s="4">
        <v>7121810</v>
      </c>
      <c r="S118" s="4">
        <v>5644007</v>
      </c>
      <c r="T118" s="4">
        <v>20999559.859999999</v>
      </c>
      <c r="U118" s="4">
        <v>2560525</v>
      </c>
      <c r="V118" s="4"/>
      <c r="W118" s="4">
        <v>2013591.6599838899</v>
      </c>
      <c r="X118" s="4">
        <v>1374750</v>
      </c>
      <c r="Y118" s="4">
        <v>1803840</v>
      </c>
      <c r="Z118" s="4">
        <v>2300803</v>
      </c>
      <c r="AA118" s="4">
        <v>8551988.3399999999</v>
      </c>
      <c r="AB118" s="4">
        <v>2343750</v>
      </c>
      <c r="AC118" s="4">
        <v>16316247</v>
      </c>
      <c r="AD118" s="4">
        <v>1050000</v>
      </c>
      <c r="AE118" s="4">
        <v>80202486.480000004</v>
      </c>
      <c r="AF118" s="4">
        <v>1360000</v>
      </c>
      <c r="AG118" s="4">
        <v>93746588.676477998</v>
      </c>
      <c r="AH118" s="4">
        <v>3092752.8076586379</v>
      </c>
    </row>
    <row r="119" spans="1:34" x14ac:dyDescent="0.3">
      <c r="A119" s="260">
        <v>36907</v>
      </c>
      <c r="B119" s="4">
        <v>1250000</v>
      </c>
      <c r="C119" s="4">
        <v>4375178.6900000004</v>
      </c>
      <c r="D119" s="4">
        <v>1247943.5</v>
      </c>
      <c r="E119" s="4"/>
      <c r="F119" s="4"/>
      <c r="G119" s="4"/>
      <c r="H119" s="4">
        <v>1663000</v>
      </c>
      <c r="I119" s="4">
        <v>0</v>
      </c>
      <c r="J119" s="4"/>
      <c r="K119" s="4">
        <v>23507915.000000253</v>
      </c>
      <c r="L119" s="4">
        <v>10372212</v>
      </c>
      <c r="M119" s="4">
        <v>1302980</v>
      </c>
      <c r="N119" s="4">
        <v>3486752</v>
      </c>
      <c r="O119" s="4">
        <v>429210</v>
      </c>
      <c r="P119" s="4">
        <v>470790</v>
      </c>
      <c r="Q119" s="4">
        <v>23513434.5</v>
      </c>
      <c r="R119" s="4">
        <v>7121810</v>
      </c>
      <c r="S119" s="4">
        <v>5644007</v>
      </c>
      <c r="T119" s="4">
        <v>20999559.859999999</v>
      </c>
      <c r="U119" s="4">
        <v>2560525</v>
      </c>
      <c r="V119" s="4"/>
      <c r="W119" s="4">
        <v>2013591.6599838899</v>
      </c>
      <c r="X119" s="4">
        <v>1374750</v>
      </c>
      <c r="Y119" s="4">
        <v>1803840</v>
      </c>
      <c r="Z119" s="4">
        <v>2300803</v>
      </c>
      <c r="AA119" s="4">
        <v>8551988.3399999999</v>
      </c>
      <c r="AB119" s="4">
        <v>2343750</v>
      </c>
      <c r="AC119" s="4">
        <v>16316247</v>
      </c>
      <c r="AD119" s="4">
        <v>1050000</v>
      </c>
      <c r="AE119" s="4">
        <v>80202486.480000004</v>
      </c>
      <c r="AF119" s="4">
        <v>1360000</v>
      </c>
      <c r="AG119" s="4">
        <v>93746588.676477998</v>
      </c>
      <c r="AH119" s="4">
        <v>3094424.373601364</v>
      </c>
    </row>
    <row r="120" spans="1:34" x14ac:dyDescent="0.3">
      <c r="A120" s="260">
        <v>36908</v>
      </c>
      <c r="B120" s="4">
        <v>1250000</v>
      </c>
      <c r="C120" s="4">
        <v>4375178.6900000004</v>
      </c>
      <c r="D120" s="4">
        <v>1247943.5</v>
      </c>
      <c r="E120" s="4"/>
      <c r="F120" s="4"/>
      <c r="G120" s="4"/>
      <c r="H120" s="4">
        <v>1663000</v>
      </c>
      <c r="I120" s="4">
        <v>0</v>
      </c>
      <c r="J120" s="4"/>
      <c r="K120" s="4">
        <v>23507915.000000257</v>
      </c>
      <c r="L120" s="4">
        <v>10372212</v>
      </c>
      <c r="M120" s="4">
        <v>1302980</v>
      </c>
      <c r="N120" s="4">
        <v>3486752</v>
      </c>
      <c r="O120" s="4">
        <v>429210</v>
      </c>
      <c r="P120" s="4">
        <v>470790</v>
      </c>
      <c r="Q120" s="4">
        <v>23513434.5</v>
      </c>
      <c r="R120" s="4">
        <v>7121810</v>
      </c>
      <c r="S120" s="4">
        <v>5644007</v>
      </c>
      <c r="T120" s="4">
        <v>20999559.859999999</v>
      </c>
      <c r="U120" s="4">
        <v>2560525</v>
      </c>
      <c r="V120" s="4"/>
      <c r="W120" s="4">
        <v>2013591.6599838899</v>
      </c>
      <c r="X120" s="4">
        <v>1374750</v>
      </c>
      <c r="Y120" s="4">
        <v>1803840</v>
      </c>
      <c r="Z120" s="4">
        <v>2300803</v>
      </c>
      <c r="AA120" s="4">
        <v>8551988.3399999999</v>
      </c>
      <c r="AB120" s="4">
        <v>2343750</v>
      </c>
      <c r="AC120" s="4">
        <v>16316247</v>
      </c>
      <c r="AD120" s="4">
        <v>1050000</v>
      </c>
      <c r="AE120" s="4">
        <v>80202486.480000004</v>
      </c>
      <c r="AF120" s="4">
        <v>1360000</v>
      </c>
      <c r="AG120" s="4">
        <v>93746588.676477998</v>
      </c>
      <c r="AH120" s="4">
        <v>3099905.073043162</v>
      </c>
    </row>
    <row r="121" spans="1:34" x14ac:dyDescent="0.3">
      <c r="A121" s="260">
        <v>36909</v>
      </c>
      <c r="B121" s="4">
        <v>1250000</v>
      </c>
      <c r="C121" s="4">
        <v>4375178.6900000004</v>
      </c>
      <c r="D121" s="4">
        <v>1247943.5</v>
      </c>
      <c r="E121" s="4"/>
      <c r="F121" s="4"/>
      <c r="G121" s="4"/>
      <c r="H121" s="4">
        <v>1663000</v>
      </c>
      <c r="I121" s="4">
        <v>0</v>
      </c>
      <c r="J121" s="4"/>
      <c r="K121" s="4">
        <v>23507915.000000261</v>
      </c>
      <c r="L121" s="4">
        <v>10372212</v>
      </c>
      <c r="M121" s="4">
        <v>1302980</v>
      </c>
      <c r="N121" s="4">
        <v>3486752</v>
      </c>
      <c r="O121" s="4">
        <v>429210</v>
      </c>
      <c r="P121" s="4">
        <v>470790</v>
      </c>
      <c r="Q121" s="4">
        <v>23513434.5</v>
      </c>
      <c r="R121" s="4">
        <v>7121810</v>
      </c>
      <c r="S121" s="4">
        <v>5644007</v>
      </c>
      <c r="T121" s="4">
        <v>20999559.859999999</v>
      </c>
      <c r="U121" s="4">
        <v>2560525</v>
      </c>
      <c r="V121" s="4"/>
      <c r="W121" s="4">
        <v>2013591.6599838899</v>
      </c>
      <c r="X121" s="4">
        <v>1374750</v>
      </c>
      <c r="Y121" s="4">
        <v>1803840</v>
      </c>
      <c r="Z121" s="4">
        <v>2300803</v>
      </c>
      <c r="AA121" s="4">
        <v>8551988.3399999999</v>
      </c>
      <c r="AB121" s="4">
        <v>2343750</v>
      </c>
      <c r="AC121" s="4">
        <v>16316247</v>
      </c>
      <c r="AD121" s="4">
        <v>1050000</v>
      </c>
      <c r="AE121" s="4">
        <v>80202486.480000004</v>
      </c>
      <c r="AF121" s="4">
        <v>1360000</v>
      </c>
      <c r="AG121" s="4">
        <v>93746588.676477998</v>
      </c>
      <c r="AH121" s="4">
        <v>3064921.4961853107</v>
      </c>
    </row>
    <row r="122" spans="1:34" x14ac:dyDescent="0.3">
      <c r="A122" s="260">
        <v>36910</v>
      </c>
      <c r="B122" s="4">
        <v>1250000</v>
      </c>
      <c r="C122" s="4">
        <v>4375178.6900000004</v>
      </c>
      <c r="D122" s="4">
        <v>1247943.5</v>
      </c>
      <c r="E122" s="4"/>
      <c r="F122" s="4"/>
      <c r="G122" s="4"/>
      <c r="H122" s="4">
        <v>1663000</v>
      </c>
      <c r="I122" s="4">
        <v>0</v>
      </c>
      <c r="J122" s="4"/>
      <c r="K122" s="4">
        <v>23507915.000000264</v>
      </c>
      <c r="L122" s="4">
        <v>10372212</v>
      </c>
      <c r="M122" s="4">
        <v>1302980</v>
      </c>
      <c r="N122" s="4">
        <v>3486752</v>
      </c>
      <c r="O122" s="4">
        <v>429210</v>
      </c>
      <c r="P122" s="4">
        <v>470790</v>
      </c>
      <c r="Q122" s="4">
        <v>23513434.5</v>
      </c>
      <c r="R122" s="4">
        <v>7121810</v>
      </c>
      <c r="S122" s="4">
        <v>5644007</v>
      </c>
      <c r="T122" s="4">
        <v>20999559.859999999</v>
      </c>
      <c r="U122" s="4">
        <v>2560525</v>
      </c>
      <c r="V122" s="4"/>
      <c r="W122" s="4">
        <v>2013591.6599838899</v>
      </c>
      <c r="X122" s="4">
        <v>1374750</v>
      </c>
      <c r="Y122" s="4">
        <v>1803840</v>
      </c>
      <c r="Z122" s="4">
        <v>2300803</v>
      </c>
      <c r="AA122" s="4">
        <v>8551988.3399999999</v>
      </c>
      <c r="AB122" s="4">
        <v>2343750</v>
      </c>
      <c r="AC122" s="4">
        <v>16316247</v>
      </c>
      <c r="AD122" s="4">
        <v>1050000</v>
      </c>
      <c r="AE122" s="4">
        <v>80202486.480000004</v>
      </c>
      <c r="AF122" s="4">
        <v>1360000</v>
      </c>
      <c r="AG122" s="4">
        <v>93746588.676477998</v>
      </c>
      <c r="AH122" s="4">
        <v>3068247.6881199931</v>
      </c>
    </row>
    <row r="123" spans="1:34" x14ac:dyDescent="0.3">
      <c r="A123" s="260">
        <v>36913</v>
      </c>
      <c r="B123" s="4">
        <v>1250000</v>
      </c>
      <c r="C123" s="4">
        <v>4375178.6900000004</v>
      </c>
      <c r="D123" s="4">
        <v>1247943.5</v>
      </c>
      <c r="E123" s="4"/>
      <c r="F123" s="4"/>
      <c r="G123" s="4"/>
      <c r="H123" s="4">
        <v>1663000</v>
      </c>
      <c r="I123" s="4">
        <v>0</v>
      </c>
      <c r="J123" s="4"/>
      <c r="K123" s="4">
        <v>23507915.000000268</v>
      </c>
      <c r="L123" s="4">
        <v>10372212</v>
      </c>
      <c r="M123" s="4">
        <v>1302980</v>
      </c>
      <c r="N123" s="4">
        <v>3486752</v>
      </c>
      <c r="O123" s="4">
        <v>429210</v>
      </c>
      <c r="P123" s="4">
        <v>470790</v>
      </c>
      <c r="Q123" s="4">
        <v>23513434.5</v>
      </c>
      <c r="R123" s="4">
        <v>7121810</v>
      </c>
      <c r="S123" s="4">
        <v>5644007</v>
      </c>
      <c r="T123" s="4">
        <v>20999559.859999999</v>
      </c>
      <c r="U123" s="4">
        <v>2560525</v>
      </c>
      <c r="V123" s="4"/>
      <c r="W123" s="4">
        <v>2013591.6599838899</v>
      </c>
      <c r="X123" s="4">
        <v>1374750</v>
      </c>
      <c r="Y123" s="4">
        <v>1803840</v>
      </c>
      <c r="Z123" s="4">
        <v>2300803</v>
      </c>
      <c r="AA123" s="4">
        <v>8551988.3399999999</v>
      </c>
      <c r="AB123" s="4">
        <v>2343750</v>
      </c>
      <c r="AC123" s="4">
        <v>16316247</v>
      </c>
      <c r="AD123" s="4">
        <v>1050000</v>
      </c>
      <c r="AE123" s="4">
        <v>80202486.480000004</v>
      </c>
      <c r="AF123" s="4">
        <v>1360000</v>
      </c>
      <c r="AG123" s="4">
        <v>93746588.676477998</v>
      </c>
      <c r="AH123" s="4">
        <v>3060590.3310198318</v>
      </c>
    </row>
    <row r="124" spans="1:34" x14ac:dyDescent="0.3">
      <c r="A124" s="260">
        <v>36914</v>
      </c>
      <c r="B124" s="4">
        <v>1250000</v>
      </c>
      <c r="C124" s="4">
        <v>4375178.6900000004</v>
      </c>
      <c r="D124" s="4">
        <v>1247943.5</v>
      </c>
      <c r="E124" s="4"/>
      <c r="F124" s="4"/>
      <c r="G124" s="4"/>
      <c r="H124" s="4">
        <v>1663000</v>
      </c>
      <c r="I124" s="4">
        <v>0</v>
      </c>
      <c r="J124" s="4"/>
      <c r="K124" s="4">
        <v>23507915.000000272</v>
      </c>
      <c r="L124" s="4">
        <v>10372212</v>
      </c>
      <c r="M124" s="4">
        <v>1302980</v>
      </c>
      <c r="N124" s="4">
        <v>3486752</v>
      </c>
      <c r="O124" s="4">
        <v>429210</v>
      </c>
      <c r="P124" s="4">
        <v>470790</v>
      </c>
      <c r="Q124" s="4">
        <v>23513434.5</v>
      </c>
      <c r="R124" s="4">
        <v>7121810</v>
      </c>
      <c r="S124" s="4">
        <v>5644007</v>
      </c>
      <c r="T124" s="4">
        <v>20999559.859999999</v>
      </c>
      <c r="U124" s="4">
        <v>2560525</v>
      </c>
      <c r="V124" s="4"/>
      <c r="W124" s="4">
        <v>2013591.6599838899</v>
      </c>
      <c r="X124" s="4">
        <v>1374750</v>
      </c>
      <c r="Y124" s="4">
        <v>1803840</v>
      </c>
      <c r="Z124" s="4">
        <v>2300803</v>
      </c>
      <c r="AA124" s="4">
        <v>8551988.3399999999</v>
      </c>
      <c r="AB124" s="4">
        <v>2343750</v>
      </c>
      <c r="AC124" s="4">
        <v>16316247</v>
      </c>
      <c r="AD124" s="4">
        <v>1050000</v>
      </c>
      <c r="AE124" s="4">
        <v>80202486.480000004</v>
      </c>
      <c r="AF124" s="4">
        <v>1360000</v>
      </c>
      <c r="AG124" s="4">
        <v>93746588.676477998</v>
      </c>
      <c r="AH124" s="4">
        <v>3058479.1755956206</v>
      </c>
    </row>
    <row r="125" spans="1:34" x14ac:dyDescent="0.3">
      <c r="A125" s="260">
        <v>36915</v>
      </c>
      <c r="B125" s="4">
        <v>1250000</v>
      </c>
      <c r="C125" s="4">
        <v>4375178.6900000004</v>
      </c>
      <c r="D125" s="4">
        <v>1247943.5</v>
      </c>
      <c r="E125" s="4"/>
      <c r="F125" s="4"/>
      <c r="G125" s="4"/>
      <c r="H125" s="4">
        <v>1663000</v>
      </c>
      <c r="I125" s="4">
        <v>0</v>
      </c>
      <c r="J125" s="4"/>
      <c r="K125" s="4">
        <v>23507915.000000276</v>
      </c>
      <c r="L125" s="4">
        <v>10372212</v>
      </c>
      <c r="M125" s="4">
        <v>1302980</v>
      </c>
      <c r="N125" s="4">
        <v>3486752</v>
      </c>
      <c r="O125" s="4">
        <v>429210</v>
      </c>
      <c r="P125" s="4">
        <v>470790</v>
      </c>
      <c r="Q125" s="4">
        <v>23513434.5</v>
      </c>
      <c r="R125" s="4">
        <v>7121810</v>
      </c>
      <c r="S125" s="4">
        <v>5644007</v>
      </c>
      <c r="T125" s="4">
        <v>20999559.859999999</v>
      </c>
      <c r="U125" s="4">
        <v>2560525</v>
      </c>
      <c r="V125" s="4"/>
      <c r="W125" s="4">
        <v>2013591.6599838899</v>
      </c>
      <c r="X125" s="4">
        <v>1374750</v>
      </c>
      <c r="Y125" s="4">
        <v>1803840</v>
      </c>
      <c r="Z125" s="4">
        <v>2300803</v>
      </c>
      <c r="AA125" s="4">
        <v>8551988.3399999999</v>
      </c>
      <c r="AB125" s="4">
        <v>2343750</v>
      </c>
      <c r="AC125" s="4">
        <v>16316247</v>
      </c>
      <c r="AD125" s="4">
        <v>1050000</v>
      </c>
      <c r="AE125" s="4">
        <v>80202486.480000004</v>
      </c>
      <c r="AF125" s="4">
        <v>1360000</v>
      </c>
      <c r="AG125" s="4">
        <v>93746588.676477998</v>
      </c>
      <c r="AH125" s="4">
        <v>3056925.5647156164</v>
      </c>
    </row>
    <row r="126" spans="1:34" x14ac:dyDescent="0.3">
      <c r="A126" s="260">
        <v>36916</v>
      </c>
      <c r="B126" s="4">
        <v>1250000</v>
      </c>
      <c r="C126" s="4">
        <v>4375178.6900000004</v>
      </c>
      <c r="D126" s="4">
        <v>1247943.5</v>
      </c>
      <c r="E126" s="4"/>
      <c r="F126" s="4"/>
      <c r="G126" s="4"/>
      <c r="H126" s="4">
        <v>1663000</v>
      </c>
      <c r="I126" s="4">
        <v>0</v>
      </c>
      <c r="J126" s="4"/>
      <c r="K126" s="4">
        <v>23507915.000000276</v>
      </c>
      <c r="L126" s="4">
        <v>10372212</v>
      </c>
      <c r="M126" s="4">
        <v>1302980</v>
      </c>
      <c r="N126" s="4">
        <v>3486752</v>
      </c>
      <c r="O126" s="4">
        <v>429210</v>
      </c>
      <c r="P126" s="4">
        <v>470790</v>
      </c>
      <c r="Q126" s="4">
        <v>23513434.5</v>
      </c>
      <c r="R126" s="4">
        <v>7121810</v>
      </c>
      <c r="S126" s="4">
        <v>5644007</v>
      </c>
      <c r="T126" s="4">
        <v>20999559.859999999</v>
      </c>
      <c r="U126" s="4">
        <v>2560525</v>
      </c>
      <c r="V126" s="4"/>
      <c r="W126" s="4">
        <v>2013591.6599838899</v>
      </c>
      <c r="X126" s="4">
        <v>1374750</v>
      </c>
      <c r="Y126" s="4">
        <v>1803840</v>
      </c>
      <c r="Z126" s="4">
        <v>2300803</v>
      </c>
      <c r="AA126" s="4">
        <v>8551988.3399999999</v>
      </c>
      <c r="AB126" s="4">
        <v>2343750</v>
      </c>
      <c r="AC126" s="4">
        <v>16316247</v>
      </c>
      <c r="AD126" s="4">
        <v>1050000</v>
      </c>
      <c r="AE126" s="4">
        <v>80202486.480000004</v>
      </c>
      <c r="AF126" s="4">
        <v>1360000</v>
      </c>
      <c r="AG126" s="4">
        <v>93746588.676477998</v>
      </c>
      <c r="AH126" s="4">
        <v>3054546.4100593119</v>
      </c>
    </row>
    <row r="127" spans="1:34" x14ac:dyDescent="0.3">
      <c r="A127" s="260">
        <v>36917</v>
      </c>
      <c r="B127" s="4">
        <v>1250000</v>
      </c>
      <c r="C127" s="4">
        <v>4375178.6900000004</v>
      </c>
      <c r="D127" s="4">
        <v>1247943.5</v>
      </c>
      <c r="E127" s="4"/>
      <c r="F127" s="4"/>
      <c r="G127" s="4"/>
      <c r="H127" s="4">
        <v>1663000</v>
      </c>
      <c r="I127" s="4">
        <v>0</v>
      </c>
      <c r="J127" s="4"/>
      <c r="K127" s="4">
        <v>23507915.000000279</v>
      </c>
      <c r="L127" s="4">
        <v>10372212</v>
      </c>
      <c r="M127" s="4">
        <v>1302980</v>
      </c>
      <c r="N127" s="4">
        <v>3486752</v>
      </c>
      <c r="O127" s="4">
        <v>429210</v>
      </c>
      <c r="P127" s="4">
        <v>470790</v>
      </c>
      <c r="Q127" s="4">
        <v>23513434.5</v>
      </c>
      <c r="R127" s="4">
        <v>7121810</v>
      </c>
      <c r="S127" s="4">
        <v>5644007</v>
      </c>
      <c r="T127" s="4">
        <v>20999559.859999999</v>
      </c>
      <c r="U127" s="4">
        <v>2560525</v>
      </c>
      <c r="V127" s="4"/>
      <c r="W127" s="4">
        <v>2013591.6599838899</v>
      </c>
      <c r="X127" s="4">
        <v>1374750</v>
      </c>
      <c r="Y127" s="4">
        <v>1803840</v>
      </c>
      <c r="Z127" s="4">
        <v>2300803</v>
      </c>
      <c r="AA127" s="4">
        <v>8551988.3399999999</v>
      </c>
      <c r="AB127" s="4">
        <v>2343750</v>
      </c>
      <c r="AC127" s="4">
        <v>16316247</v>
      </c>
      <c r="AD127" s="4">
        <v>1050000</v>
      </c>
      <c r="AE127" s="4">
        <v>80202486.480000004</v>
      </c>
      <c r="AF127" s="4">
        <v>1360000</v>
      </c>
      <c r="AG127" s="4">
        <v>93746588.676477998</v>
      </c>
      <c r="AH127" s="4">
        <v>3055193.7387948534</v>
      </c>
    </row>
    <row r="128" spans="1:34" x14ac:dyDescent="0.3">
      <c r="A128" s="260">
        <v>36920</v>
      </c>
      <c r="B128" s="4">
        <v>1250000</v>
      </c>
      <c r="C128" s="4">
        <v>4375178.6900000004</v>
      </c>
      <c r="D128" s="4">
        <v>1247943.5</v>
      </c>
      <c r="E128" s="4"/>
      <c r="F128" s="4"/>
      <c r="G128" s="4"/>
      <c r="H128" s="4">
        <v>1663000</v>
      </c>
      <c r="I128" s="4">
        <v>0</v>
      </c>
      <c r="J128" s="4"/>
      <c r="K128" s="4">
        <v>2.8312206268310547E-7</v>
      </c>
      <c r="L128" s="4">
        <v>0</v>
      </c>
      <c r="M128" s="4">
        <v>137317.57</v>
      </c>
      <c r="N128" s="4">
        <v>0</v>
      </c>
      <c r="O128" s="4">
        <v>1000000</v>
      </c>
      <c r="P128" s="4">
        <v>0</v>
      </c>
      <c r="Q128" s="4">
        <v>23513434.5</v>
      </c>
      <c r="R128" s="4">
        <v>7121810</v>
      </c>
      <c r="S128" s="4">
        <v>5644007</v>
      </c>
      <c r="T128" s="4">
        <v>20999559.859999999</v>
      </c>
      <c r="U128" s="4">
        <v>2560525</v>
      </c>
      <c r="V128" s="4"/>
      <c r="W128" s="4">
        <v>2013591.6599838899</v>
      </c>
      <c r="X128" s="4">
        <v>1374750</v>
      </c>
      <c r="Y128" s="4">
        <v>1803840</v>
      </c>
      <c r="Z128" s="4">
        <v>2300803</v>
      </c>
      <c r="AA128" s="4">
        <v>8551988.3399999999</v>
      </c>
      <c r="AB128" s="4">
        <v>2343750</v>
      </c>
      <c r="AC128" s="4">
        <v>16316247</v>
      </c>
      <c r="AD128" s="4">
        <v>1050000</v>
      </c>
      <c r="AE128" s="4">
        <v>80202486.480000004</v>
      </c>
      <c r="AF128" s="4">
        <v>1360000</v>
      </c>
      <c r="AG128" s="4">
        <v>30637565.036477998</v>
      </c>
      <c r="AH128" s="4">
        <v>2773749.76805293</v>
      </c>
    </row>
    <row r="129" spans="1:34" x14ac:dyDescent="0.3">
      <c r="A129" s="260">
        <v>36921</v>
      </c>
      <c r="B129" s="4">
        <v>1250000</v>
      </c>
      <c r="C129" s="4">
        <v>4375178.6900000004</v>
      </c>
      <c r="D129" s="4">
        <v>1247943.5</v>
      </c>
      <c r="E129" s="4"/>
      <c r="F129" s="4"/>
      <c r="G129" s="4"/>
      <c r="H129" s="4">
        <v>1663000</v>
      </c>
      <c r="I129" s="4">
        <v>0</v>
      </c>
      <c r="J129" s="4"/>
      <c r="K129" s="4">
        <v>2.8312206268310547E-7</v>
      </c>
      <c r="L129" s="4">
        <v>0</v>
      </c>
      <c r="M129" s="4">
        <v>137317.57</v>
      </c>
      <c r="N129" s="4">
        <v>0</v>
      </c>
      <c r="O129" s="4">
        <v>1000000</v>
      </c>
      <c r="P129" s="4">
        <v>0</v>
      </c>
      <c r="Q129" s="4">
        <v>23513434.5</v>
      </c>
      <c r="R129" s="4">
        <v>7121810</v>
      </c>
      <c r="S129" s="4">
        <v>5644007</v>
      </c>
      <c r="T129" s="4">
        <v>20999559.859999999</v>
      </c>
      <c r="U129" s="4">
        <v>2560525</v>
      </c>
      <c r="V129" s="4"/>
      <c r="W129" s="4">
        <v>2013591.6599838899</v>
      </c>
      <c r="X129" s="4">
        <v>1374750</v>
      </c>
      <c r="Y129" s="4">
        <v>1803840</v>
      </c>
      <c r="Z129" s="4">
        <v>2300803</v>
      </c>
      <c r="AA129" s="4">
        <v>8551988.3399999999</v>
      </c>
      <c r="AB129" s="4">
        <v>2343750</v>
      </c>
      <c r="AC129" s="4">
        <v>16316247</v>
      </c>
      <c r="AD129" s="4">
        <v>1050000</v>
      </c>
      <c r="AE129" s="4">
        <v>80202486.480000004</v>
      </c>
      <c r="AF129" s="4">
        <v>1360000</v>
      </c>
      <c r="AG129" s="4">
        <v>30637565.036477998</v>
      </c>
      <c r="AH129" s="4">
        <v>2776315.4209155957</v>
      </c>
    </row>
    <row r="130" spans="1:34" x14ac:dyDescent="0.3">
      <c r="A130" s="260">
        <v>36922</v>
      </c>
      <c r="B130" s="4">
        <v>1250000</v>
      </c>
      <c r="C130" s="4">
        <v>4375178.6900000004</v>
      </c>
      <c r="D130" s="4">
        <v>1247943.5</v>
      </c>
      <c r="E130" s="4"/>
      <c r="F130" s="4"/>
      <c r="G130" s="4"/>
      <c r="H130" s="4">
        <v>1663000</v>
      </c>
      <c r="I130" s="4">
        <v>0</v>
      </c>
      <c r="J130" s="4"/>
      <c r="K130" s="4">
        <v>2.8312206268310547E-7</v>
      </c>
      <c r="L130" s="4">
        <v>0</v>
      </c>
      <c r="M130" s="4">
        <v>137317.57</v>
      </c>
      <c r="N130" s="4">
        <v>0</v>
      </c>
      <c r="O130" s="4">
        <v>1000000</v>
      </c>
      <c r="P130" s="4">
        <v>0</v>
      </c>
      <c r="Q130" s="4">
        <v>23513434.5</v>
      </c>
      <c r="R130" s="4">
        <v>7121810</v>
      </c>
      <c r="S130" s="4">
        <v>5644007</v>
      </c>
      <c r="T130" s="4">
        <v>20999559.859999999</v>
      </c>
      <c r="U130" s="4">
        <v>2560525</v>
      </c>
      <c r="V130" s="4"/>
      <c r="W130" s="4">
        <v>2013591.6599838899</v>
      </c>
      <c r="X130" s="4">
        <v>1374750</v>
      </c>
      <c r="Y130" s="4">
        <v>1803840</v>
      </c>
      <c r="Z130" s="4">
        <v>2300803</v>
      </c>
      <c r="AA130" s="4">
        <v>8551988.3399999999</v>
      </c>
      <c r="AB130" s="4">
        <v>2343750</v>
      </c>
      <c r="AC130" s="4">
        <v>16316247</v>
      </c>
      <c r="AD130" s="4">
        <v>1050000</v>
      </c>
      <c r="AE130" s="4">
        <v>80202486.480000004</v>
      </c>
      <c r="AF130" s="4">
        <v>1360000</v>
      </c>
      <c r="AG130" s="4">
        <v>30637565.036477998</v>
      </c>
      <c r="AH130" s="4">
        <v>2766234.0622034809</v>
      </c>
    </row>
    <row r="131" spans="1:34" x14ac:dyDescent="0.3">
      <c r="A131" s="260">
        <v>36923</v>
      </c>
      <c r="B131" s="4">
        <v>1250000</v>
      </c>
      <c r="C131" s="4">
        <v>4375178.6900000004</v>
      </c>
      <c r="D131" s="4">
        <v>1247943.5</v>
      </c>
      <c r="E131" s="4"/>
      <c r="F131" s="4"/>
      <c r="G131" s="4"/>
      <c r="H131" s="4">
        <v>1663000</v>
      </c>
      <c r="I131" s="4">
        <v>0</v>
      </c>
      <c r="J131" s="4"/>
      <c r="K131" s="4">
        <v>2.8312206268310547E-7</v>
      </c>
      <c r="L131" s="4">
        <v>0</v>
      </c>
      <c r="M131" s="4">
        <v>137317.57</v>
      </c>
      <c r="N131" s="4">
        <v>0</v>
      </c>
      <c r="O131" s="4">
        <v>1000000</v>
      </c>
      <c r="P131" s="4">
        <v>0</v>
      </c>
      <c r="Q131" s="4">
        <v>23513434.5</v>
      </c>
      <c r="R131" s="4">
        <v>7121810</v>
      </c>
      <c r="S131" s="4">
        <v>5644007</v>
      </c>
      <c r="T131" s="4">
        <v>20999559.859999999</v>
      </c>
      <c r="U131" s="4">
        <v>2560525</v>
      </c>
      <c r="V131" s="4"/>
      <c r="W131" s="4">
        <v>2013591.6599838899</v>
      </c>
      <c r="X131" s="4">
        <v>1374750</v>
      </c>
      <c r="Y131" s="4">
        <v>1803840</v>
      </c>
      <c r="Z131" s="4">
        <v>2300803</v>
      </c>
      <c r="AA131" s="4">
        <v>8551988.3399999999</v>
      </c>
      <c r="AB131" s="4">
        <v>2343750</v>
      </c>
      <c r="AC131" s="4">
        <v>16316247</v>
      </c>
      <c r="AD131" s="4">
        <v>1050000</v>
      </c>
      <c r="AE131" s="4">
        <v>80202486.480000004</v>
      </c>
      <c r="AF131" s="4">
        <v>1360000</v>
      </c>
      <c r="AG131" s="4">
        <v>30637565.036477998</v>
      </c>
      <c r="AH131" s="4">
        <v>2785453.5047972752</v>
      </c>
    </row>
    <row r="132" spans="1:34" x14ac:dyDescent="0.3">
      <c r="A132" s="260">
        <v>36924</v>
      </c>
      <c r="B132" s="4">
        <v>1250000</v>
      </c>
      <c r="C132" s="4">
        <v>4375178.6900000004</v>
      </c>
      <c r="D132" s="4">
        <v>1247943.5</v>
      </c>
      <c r="E132" s="4"/>
      <c r="F132" s="4"/>
      <c r="G132" s="4"/>
      <c r="H132" s="4">
        <v>1663000</v>
      </c>
      <c r="I132" s="4">
        <v>0</v>
      </c>
      <c r="J132" s="4"/>
      <c r="K132" s="4">
        <v>2.8312206268310547E-7</v>
      </c>
      <c r="L132" s="4">
        <v>0</v>
      </c>
      <c r="M132" s="4">
        <v>137317.57</v>
      </c>
      <c r="N132" s="4">
        <v>0</v>
      </c>
      <c r="O132" s="4">
        <v>1000000</v>
      </c>
      <c r="P132" s="4">
        <v>0</v>
      </c>
      <c r="Q132" s="4">
        <v>23513434.5</v>
      </c>
      <c r="R132" s="4">
        <v>7121810</v>
      </c>
      <c r="S132" s="4">
        <v>5644007</v>
      </c>
      <c r="T132" s="4">
        <v>20999559.859999999</v>
      </c>
      <c r="U132" s="4">
        <v>2560525</v>
      </c>
      <c r="V132" s="4"/>
      <c r="W132" s="4">
        <v>2013591.6599838899</v>
      </c>
      <c r="X132" s="4">
        <v>1374750</v>
      </c>
      <c r="Y132" s="4">
        <v>1803840</v>
      </c>
      <c r="Z132" s="4">
        <v>2300803</v>
      </c>
      <c r="AA132" s="4">
        <v>8551988.3399999999</v>
      </c>
      <c r="AB132" s="4">
        <v>2343750</v>
      </c>
      <c r="AC132" s="4">
        <v>16316247</v>
      </c>
      <c r="AD132" s="4">
        <v>1050000</v>
      </c>
      <c r="AE132" s="4">
        <v>80202486.480000004</v>
      </c>
      <c r="AF132" s="4">
        <v>1360000</v>
      </c>
      <c r="AG132" s="4">
        <v>30637565.036477998</v>
      </c>
      <c r="AH132" s="4">
        <v>2797853.3045832682</v>
      </c>
    </row>
    <row r="133" spans="1:34" x14ac:dyDescent="0.3">
      <c r="A133" s="260">
        <v>36927</v>
      </c>
      <c r="B133" s="4">
        <v>1250000</v>
      </c>
      <c r="C133" s="4">
        <v>4375178.6900000004</v>
      </c>
      <c r="D133" s="4">
        <v>1247943.5</v>
      </c>
      <c r="E133" s="4"/>
      <c r="F133" s="4"/>
      <c r="G133" s="4"/>
      <c r="H133" s="4">
        <v>1663000</v>
      </c>
      <c r="I133" s="4">
        <v>0</v>
      </c>
      <c r="J133" s="4"/>
      <c r="K133" s="4">
        <v>2.8312206268310547E-7</v>
      </c>
      <c r="L133" s="4">
        <v>0</v>
      </c>
      <c r="M133" s="4">
        <v>137317.57</v>
      </c>
      <c r="N133" s="4">
        <v>0</v>
      </c>
      <c r="O133" s="4">
        <v>1000000</v>
      </c>
      <c r="P133" s="4">
        <v>0</v>
      </c>
      <c r="Q133" s="4">
        <v>23513434.5</v>
      </c>
      <c r="R133" s="4">
        <v>7121810</v>
      </c>
      <c r="S133" s="4">
        <v>5644007</v>
      </c>
      <c r="T133" s="4">
        <v>20999559.859999999</v>
      </c>
      <c r="U133" s="4">
        <v>2560525</v>
      </c>
      <c r="V133" s="4"/>
      <c r="W133" s="4">
        <v>2013591.6599838899</v>
      </c>
      <c r="X133" s="4">
        <v>1374750</v>
      </c>
      <c r="Y133" s="4">
        <v>1803840</v>
      </c>
      <c r="Z133" s="4">
        <v>2300803</v>
      </c>
      <c r="AA133" s="4">
        <v>8551988.3399999999</v>
      </c>
      <c r="AB133" s="4">
        <v>2343750</v>
      </c>
      <c r="AC133" s="4">
        <v>16316247</v>
      </c>
      <c r="AD133" s="4">
        <v>1050000</v>
      </c>
      <c r="AE133" s="4">
        <v>80202486.480000004</v>
      </c>
      <c r="AF133" s="4">
        <v>1360000</v>
      </c>
      <c r="AG133" s="4">
        <v>30637565.036477998</v>
      </c>
      <c r="AH133" s="4">
        <v>2791967.4610180217</v>
      </c>
    </row>
    <row r="134" spans="1:34" x14ac:dyDescent="0.3">
      <c r="A134" s="260">
        <v>36928</v>
      </c>
      <c r="B134" s="4">
        <v>1250000</v>
      </c>
      <c r="C134" s="4">
        <v>4375178.6900000004</v>
      </c>
      <c r="D134" s="4">
        <v>1247943.5</v>
      </c>
      <c r="E134" s="4"/>
      <c r="F134" s="4"/>
      <c r="G134" s="4"/>
      <c r="H134" s="4">
        <v>1663000</v>
      </c>
      <c r="I134" s="4">
        <v>0</v>
      </c>
      <c r="J134" s="4"/>
      <c r="K134" s="4">
        <v>2.8312206268310547E-7</v>
      </c>
      <c r="L134" s="4">
        <v>0</v>
      </c>
      <c r="M134" s="4">
        <v>137317.57</v>
      </c>
      <c r="N134" s="4">
        <v>0</v>
      </c>
      <c r="O134" s="4">
        <v>1000000</v>
      </c>
      <c r="P134" s="4">
        <v>0</v>
      </c>
      <c r="Q134" s="4">
        <v>23513434.5</v>
      </c>
      <c r="R134" s="4">
        <v>7121810</v>
      </c>
      <c r="S134" s="4">
        <v>5644007</v>
      </c>
      <c r="T134" s="4">
        <v>20999559.859999999</v>
      </c>
      <c r="U134" s="4">
        <v>2560525</v>
      </c>
      <c r="V134" s="4"/>
      <c r="W134" s="4">
        <v>2013591.6599838899</v>
      </c>
      <c r="X134" s="4">
        <v>1374750</v>
      </c>
      <c r="Y134" s="4">
        <v>1803840</v>
      </c>
      <c r="Z134" s="4">
        <v>2300803</v>
      </c>
      <c r="AA134" s="4">
        <v>8551988.3399999999</v>
      </c>
      <c r="AB134" s="4">
        <v>2343750</v>
      </c>
      <c r="AC134" s="4">
        <v>16316247</v>
      </c>
      <c r="AD134" s="4">
        <v>1050000</v>
      </c>
      <c r="AE134" s="4">
        <v>80202486.480000004</v>
      </c>
      <c r="AF134" s="4">
        <v>1360000</v>
      </c>
      <c r="AG134" s="4">
        <v>30637565.036477998</v>
      </c>
      <c r="AH134" s="4">
        <v>2797201.8463589656</v>
      </c>
    </row>
    <row r="135" spans="1:34" x14ac:dyDescent="0.3">
      <c r="A135" s="260">
        <v>36929</v>
      </c>
      <c r="B135" s="4">
        <v>1250000</v>
      </c>
      <c r="C135" s="4">
        <v>4375178.6900000004</v>
      </c>
      <c r="D135" s="4">
        <v>1247943.5</v>
      </c>
      <c r="E135" s="4"/>
      <c r="F135" s="4"/>
      <c r="G135" s="4"/>
      <c r="H135" s="4">
        <v>1663000</v>
      </c>
      <c r="I135" s="4">
        <v>0</v>
      </c>
      <c r="J135" s="4"/>
      <c r="K135" s="4">
        <v>2.8312206268310547E-7</v>
      </c>
      <c r="L135" s="4">
        <v>0</v>
      </c>
      <c r="M135" s="4">
        <v>137317.57</v>
      </c>
      <c r="N135" s="4">
        <v>0</v>
      </c>
      <c r="O135" s="4">
        <v>1000000</v>
      </c>
      <c r="P135" s="4">
        <v>0</v>
      </c>
      <c r="Q135" s="4">
        <v>23513434.5</v>
      </c>
      <c r="R135" s="4">
        <v>7121810</v>
      </c>
      <c r="S135" s="4">
        <v>5644007</v>
      </c>
      <c r="T135" s="4">
        <v>20999559.859999999</v>
      </c>
      <c r="U135" s="4">
        <v>2560525</v>
      </c>
      <c r="V135" s="4"/>
      <c r="W135" s="4">
        <v>2013591.6599838899</v>
      </c>
      <c r="X135" s="4">
        <v>1374750</v>
      </c>
      <c r="Y135" s="4">
        <v>1803840</v>
      </c>
      <c r="Z135" s="4">
        <v>2300803</v>
      </c>
      <c r="AA135" s="4">
        <v>8551988.3399999999</v>
      </c>
      <c r="AB135" s="4">
        <v>2343750</v>
      </c>
      <c r="AC135" s="4">
        <v>16316247</v>
      </c>
      <c r="AD135" s="4">
        <v>1050000</v>
      </c>
      <c r="AE135" s="4">
        <v>80202486.480000004</v>
      </c>
      <c r="AF135" s="4">
        <v>1360000</v>
      </c>
      <c r="AG135" s="4">
        <v>30637565.036477998</v>
      </c>
      <c r="AH135" s="4">
        <v>2801706.6318115699</v>
      </c>
    </row>
    <row r="136" spans="1:34" x14ac:dyDescent="0.3">
      <c r="A136" s="260">
        <v>36930</v>
      </c>
      <c r="B136" s="4">
        <v>1250000</v>
      </c>
      <c r="C136" s="4">
        <v>4375178.6900000004</v>
      </c>
      <c r="D136" s="4">
        <v>1247943.5</v>
      </c>
      <c r="E136" s="4"/>
      <c r="F136" s="4"/>
      <c r="G136" s="4"/>
      <c r="H136" s="4">
        <v>1663000</v>
      </c>
      <c r="I136" s="4">
        <v>0</v>
      </c>
      <c r="J136" s="4"/>
      <c r="K136" s="4">
        <v>2.8312206268310547E-7</v>
      </c>
      <c r="L136" s="4">
        <v>0</v>
      </c>
      <c r="M136" s="4">
        <v>137317.57</v>
      </c>
      <c r="N136" s="4">
        <v>0</v>
      </c>
      <c r="O136" s="4">
        <v>1000000</v>
      </c>
      <c r="P136" s="4">
        <v>0</v>
      </c>
      <c r="Q136" s="4">
        <v>23513434.5</v>
      </c>
      <c r="R136" s="4">
        <v>7121810</v>
      </c>
      <c r="S136" s="4">
        <v>5644007</v>
      </c>
      <c r="T136" s="4">
        <v>20999559.859999999</v>
      </c>
      <c r="U136" s="4">
        <v>2560525</v>
      </c>
      <c r="V136" s="4"/>
      <c r="W136" s="4">
        <v>2013591.6599838899</v>
      </c>
      <c r="X136" s="4">
        <v>1374750</v>
      </c>
      <c r="Y136" s="4">
        <v>1803840</v>
      </c>
      <c r="Z136" s="4">
        <v>2300803</v>
      </c>
      <c r="AA136" s="4">
        <v>8551988.3399999999</v>
      </c>
      <c r="AB136" s="4">
        <v>2343750</v>
      </c>
      <c r="AC136" s="4">
        <v>16316247</v>
      </c>
      <c r="AD136" s="4">
        <v>1050000</v>
      </c>
      <c r="AE136" s="4">
        <v>80202486.480000004</v>
      </c>
      <c r="AF136" s="4">
        <v>1360000</v>
      </c>
      <c r="AG136" s="4">
        <v>30637565.036477998</v>
      </c>
      <c r="AH136" s="4">
        <v>2805106.5632188991</v>
      </c>
    </row>
    <row r="137" spans="1:34" x14ac:dyDescent="0.3">
      <c r="A137" s="260">
        <v>36931</v>
      </c>
      <c r="B137" s="4">
        <v>1250000</v>
      </c>
      <c r="C137" s="4">
        <v>4375178.6900000004</v>
      </c>
      <c r="D137" s="4">
        <v>1247943.5</v>
      </c>
      <c r="E137" s="4"/>
      <c r="F137" s="4"/>
      <c r="G137" s="4"/>
      <c r="H137" s="4">
        <v>1663000</v>
      </c>
      <c r="I137" s="4">
        <v>0</v>
      </c>
      <c r="J137" s="4"/>
      <c r="K137" s="4">
        <v>2.8312206268310547E-7</v>
      </c>
      <c r="L137" s="4">
        <v>0</v>
      </c>
      <c r="M137" s="4">
        <v>137317.57</v>
      </c>
      <c r="N137" s="4">
        <v>0</v>
      </c>
      <c r="O137" s="4">
        <v>1000000</v>
      </c>
      <c r="P137" s="4">
        <v>0</v>
      </c>
      <c r="Q137" s="4">
        <v>23513434.5</v>
      </c>
      <c r="R137" s="4">
        <v>7121810</v>
      </c>
      <c r="S137" s="4">
        <v>5644007</v>
      </c>
      <c r="T137" s="4">
        <v>20999559.859999999</v>
      </c>
      <c r="U137" s="4">
        <v>2560525</v>
      </c>
      <c r="V137" s="4"/>
      <c r="W137" s="4">
        <v>2013591.6599838899</v>
      </c>
      <c r="X137" s="4">
        <v>1374750</v>
      </c>
      <c r="Y137" s="4">
        <v>1803840</v>
      </c>
      <c r="Z137" s="4">
        <v>2300803</v>
      </c>
      <c r="AA137" s="4">
        <v>8551988.3399999999</v>
      </c>
      <c r="AB137" s="4">
        <v>2343750</v>
      </c>
      <c r="AC137" s="4">
        <v>16316247</v>
      </c>
      <c r="AD137" s="4">
        <v>1050000</v>
      </c>
      <c r="AE137" s="4">
        <v>80202486.480000004</v>
      </c>
      <c r="AF137" s="4">
        <v>1360000</v>
      </c>
      <c r="AG137" s="4">
        <v>30637565.036477998</v>
      </c>
      <c r="AH137" s="4">
        <v>2805055.3156255549</v>
      </c>
    </row>
    <row r="138" spans="1:34" x14ac:dyDescent="0.3">
      <c r="A138" s="260">
        <v>36934</v>
      </c>
      <c r="B138" s="4">
        <v>1250000</v>
      </c>
      <c r="C138" s="4">
        <v>4375178.6900000004</v>
      </c>
      <c r="D138" s="4">
        <v>1247943.5</v>
      </c>
      <c r="E138" s="4"/>
      <c r="F138" s="4"/>
      <c r="G138" s="4"/>
      <c r="H138" s="4">
        <v>1663000</v>
      </c>
      <c r="I138" s="4">
        <v>0</v>
      </c>
      <c r="J138" s="4"/>
      <c r="K138" s="4">
        <v>2.8312206268310547E-7</v>
      </c>
      <c r="L138" s="4">
        <v>0</v>
      </c>
      <c r="M138" s="4">
        <v>137317.57</v>
      </c>
      <c r="N138" s="4">
        <v>0</v>
      </c>
      <c r="O138" s="4">
        <v>1000000</v>
      </c>
      <c r="P138" s="4">
        <v>0</v>
      </c>
      <c r="Q138" s="4">
        <v>23513434.5</v>
      </c>
      <c r="R138" s="4">
        <v>7121810</v>
      </c>
      <c r="S138" s="4">
        <v>5644007</v>
      </c>
      <c r="T138" s="4">
        <v>20999559.859999999</v>
      </c>
      <c r="U138" s="4">
        <v>2560525</v>
      </c>
      <c r="V138" s="4"/>
      <c r="W138" s="4">
        <v>2013591.6599838899</v>
      </c>
      <c r="X138" s="4">
        <v>1374750</v>
      </c>
      <c r="Y138" s="4">
        <v>1803840</v>
      </c>
      <c r="Z138" s="4">
        <v>2300803</v>
      </c>
      <c r="AA138" s="4">
        <v>8551988.3399999999</v>
      </c>
      <c r="AB138" s="4">
        <v>2343750</v>
      </c>
      <c r="AC138" s="4">
        <v>16316247</v>
      </c>
      <c r="AD138" s="4">
        <v>1050000</v>
      </c>
      <c r="AE138" s="4">
        <v>80202486.480000004</v>
      </c>
      <c r="AF138" s="4">
        <v>1360000</v>
      </c>
      <c r="AG138" s="4">
        <v>30637565.036477998</v>
      </c>
      <c r="AH138" s="4">
        <v>2808744.3049828243</v>
      </c>
    </row>
    <row r="257" ht="14.25" customHeight="1" x14ac:dyDescent="0.3"/>
    <row r="374" spans="1:34" x14ac:dyDescent="0.3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  <c r="AH374" t="s">
        <v>177</v>
      </c>
    </row>
    <row r="376" spans="1:34" x14ac:dyDescent="0.3">
      <c r="A376" s="260">
        <f>+'MPR Raptor'!$U$3</f>
        <v>36934</v>
      </c>
      <c r="B376" s="4">
        <f>INDEX([0]!MPRR, MATCH("Amerada Hess Exposure Raptor I",'MPR Raptor'!$E$3:$E$140,), MATCH("Per Share",'MPR Raptor'!$E$3:$CM$3,))-'Private Cash'!B375</f>
        <v>1250000</v>
      </c>
      <c r="C376" s="4">
        <f>INDEX([0]!MPRR, MATCH("Ameritex Raptor I",'MPR Raptor'!$E$3:$E$140,), MATCH("Per Share",'MPR Raptor'!$E$3:$CM$3,))-'Private Cash'!C375</f>
        <v>4375178.6900000004</v>
      </c>
      <c r="D376" s="4">
        <f>INDEX([0]!MPRR, MATCH("Basic Energy CFPC Raptor I",'MPR Raptor'!$E$3:$E$140,), MATCH("Per Share",'MPR Raptor'!$E$3:$CM$3,))*1000-'Private Cash'!D375</f>
        <v>1247943.5</v>
      </c>
      <c r="E376" s="4"/>
      <c r="F376" s="4"/>
      <c r="G376" s="4"/>
      <c r="H376" s="4">
        <f>INDEX([0]!MPRR, MATCH("City Forest IPC Raptor I",'MPR Raptor'!$E$3:$E$140,), MATCH("Per Share",'MPR Raptor'!$E$3:$CM$3,))-'Private Cash'!H375</f>
        <v>1663000</v>
      </c>
      <c r="I376" s="4">
        <f>INDEX([0]!MPRR, MATCH("Ecogas Loan Raptor I",'MPR Raptor'!$E$3:$E$140,), MATCH("Per Share",'MPR Raptor'!$E$3:$CM$3,))-'Private Cash'!I375</f>
        <v>0</v>
      </c>
      <c r="J376" s="4"/>
      <c r="K376" s="4">
        <f>INDEX([0]!MPRR, MATCH("Heartland Steel Common Raptor I",'MPR Raptor'!$E$3:$E$140,), MATCH("Per Share",'MPR Raptor'!$E$3:$CM$3,))*'Daily Position'!$H$25-'Private Cash'!K375</f>
        <v>2.8312206268310547E-7</v>
      </c>
      <c r="L376" s="4">
        <f>INDEX([0]!MPRR, MATCH("Heartland Steel Common Condor Raptor I",'MPR Raptor'!$E$3:$E$140,), MATCH("Per Share",'MPR Raptor'!$E$3:$CM$3,))-'Private Cash'!L375</f>
        <v>0</v>
      </c>
      <c r="M376" s="4">
        <f>INDEX([0]!MPRR, MATCH("Heartland Contingent Construction Loan Raptor I",'MPR Raptor'!$E$3:$E$140,), MATCH("Per Share",'MPR Raptor'!$E$3:$CM$3,))-'Private Cash'!M375</f>
        <v>137317.57000000012</v>
      </c>
      <c r="N376" s="4">
        <f>INDEX([0]!MPRR, MATCH("Heartland Steel Warrants Raptor I",'MPR Raptor'!$E$3:$E$140,), MATCH("Per Share",'MPR Raptor'!$E$3:$CM$3,))-'Private Cash'!N375</f>
        <v>0</v>
      </c>
      <c r="O376" s="4">
        <f>INDEX([0]!MPRR, MATCH("Hughes Rawls Loan Raptor I",'MPR Raptor'!$E$3:$E$140,), MATCH("Per Share",'MPR Raptor'!$E$3:$CM$3,))-'Private Cash'!O375</f>
        <v>1000000</v>
      </c>
      <c r="P376" s="4">
        <f>INDEX([0]!MPRR, MATCH("Hughes Rawls Note Raptor I",'MPR Raptor'!$E$3:$E$140,), MATCH("Per Share",'MPR Raptor'!$E$3:$CM$3,))-'Private Cash'!P375</f>
        <v>0</v>
      </c>
      <c r="Q376" s="4">
        <f>INDEX([0]!MPRR, MATCH("Hornbeck-Leevac Warrants Raptor I",'MPR Raptor'!$E$3:$E$140,), MATCH("Per Share",'MPR Raptor'!$E$3:$CM$3,))-'Private Cash'!Q375</f>
        <v>23513434.5</v>
      </c>
      <c r="R376" s="4">
        <f>INDEX([0]!MPRR, MATCH("Industrial Holdings Raptor I",'MPR Raptor'!$E$3:$E$140,), MATCH("Per Share",'MPR Raptor'!$E$3:$CM$3,))-'Private Cash'!R375</f>
        <v>7121810</v>
      </c>
      <c r="S376" s="4">
        <f>INDEX([0]!MPRR, MATCH("Invasion Energy Raptor I",'MPR Raptor'!$E$3:$E$140,), MATCH("Per Share",'MPR Raptor'!$E$3:$CM$3,))-'Private Cash'!S375</f>
        <v>5644007</v>
      </c>
      <c r="T376" s="4">
        <f>INDEX([0]!MPRR, MATCH("Juniper Raptor I",'MPR Raptor'!$E$3:$E$140,), MATCH("Per Share",'MPR Raptor'!$E$3:$CM$3,))-'Private Cash'!T375</f>
        <v>20999559.859999999</v>
      </c>
      <c r="U376" s="4">
        <f>INDEX([0]!MPRR, MATCH("Juniper Exposure Raptor I",'MPR Raptor'!$E$3:$E$140,), MATCH("Per Share",'MPR Raptor'!$E$3:$CM$3,))-'Private Cash'!U375</f>
        <v>2560525</v>
      </c>
      <c r="V376" s="4"/>
      <c r="W376" s="4">
        <f>INDEX([0]!MPRR, MATCH("LSI Preferred Raptor I",'MPR Raptor'!$E$3:$E$140,), MATCH("Per Share",'MPR Raptor'!$E$3:$CM$3,))-'Private Cash'!W375</f>
        <v>2013591.6599838899</v>
      </c>
      <c r="X376" s="4">
        <f>INDEX([0]!MPRR, MATCH("LSI Warrants Raptor I",'MPR Raptor'!$E$3:$E$140,), MATCH("Per Share",'MPR Raptor'!$E$3:$CM$3,))-'Private Cash'!X375</f>
        <v>1374750</v>
      </c>
      <c r="Y376" s="4">
        <f>INDEX([0]!MPRR, MATCH("Oconto Falls Common Raptor I",'MPR Raptor'!$E$3:$E$140,), MATCH("Per Share",'MPR Raptor'!$E$3:$CM$3,))-'Private Cash'!Y375</f>
        <v>1803840</v>
      </c>
      <c r="Z376" s="4">
        <f>INDEX([0]!MPRR, MATCH("Oconto Falls IPC Raptor I",'MPR Raptor'!$E$3:$E$140,), MATCH("Per Share",'MPR Raptor'!$E$3:$CM$3,))-'Private Cash'!Z375</f>
        <v>2300803</v>
      </c>
      <c r="AA376" s="4">
        <f>INDEX([0]!MPRR, MATCH("Texland Raptor I",'MPR Raptor'!$E$3:$E$140,), MATCH("Per Share",'MPR Raptor'!$E$3:$CM$3,))-'Private Cash'!AA375</f>
        <v>8551988.3399999999</v>
      </c>
      <c r="AB376" s="4">
        <f>INDEX([0]!MPRR, MATCH("Texland Exposure Raptor I",'MPR Raptor'!$E$3:$E$140,), MATCH("Per Share",'MPR Raptor'!$E$3:$CM$3,))-'Private Cash'!AB375</f>
        <v>2343750</v>
      </c>
      <c r="AC376" s="4">
        <f>INDEX([0]!MPRR, MATCH("Vastar Raptor I",'MPR Raptor'!$E$3:$E$140,), MATCH("Per Share",'MPR Raptor'!$E$3:$CM$3,))-'Private Cash'!AC375</f>
        <v>16316247</v>
      </c>
      <c r="AD376" s="4">
        <f>INDEX([0]!MPRR, MATCH("Vastar Exposure Raptor I",'MPR Raptor'!$E$3:$E$140,), MATCH("Per Share",'MPR Raptor'!$E$3:$CM$3,))-'Private Cash'!AD375</f>
        <v>1050000</v>
      </c>
      <c r="AE376" s="4">
        <f>INDEX([0]!MPRR, MATCH("Venoco Convertible Raptor I",'MPR Raptor'!$E$3:$E$140,), MATCH("Per Share",'MPR Raptor'!$E$3:$CM$3,))*'Daily Position'!$H$45-'Private Cash'!AE375</f>
        <v>80202486.480000004</v>
      </c>
      <c r="AF376" s="4">
        <f>INDEX([0]!MPRR, MATCH("WB Oil &amp; Gas Raptor I",'MPR Raptor'!$E$3:$E$140,), MATCH("Per Share",'MPR Raptor'!$E$3:$CM$3,))*'Daily Position'!$H$46-'Private Cash'!AF375</f>
        <v>1360000</v>
      </c>
      <c r="AG376" s="4">
        <f>INDEX([0]!MPRR, MATCH("Merlin Credit Derivative Raptor I",'MPR Raptor'!$E$3:$E$140,), MATCH("Per Share",'MPR Raptor'!$E$3:$CM$3,))-'Private Cash'!AG375</f>
        <v>30637565.036477998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2809191.2413906981</v>
      </c>
    </row>
    <row r="377" spans="1:34" x14ac:dyDescent="0.3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3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3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3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3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3" workbookViewId="0">
      <pane xSplit="1" ySplit="1" topLeftCell="B137" activePane="bottomRight" state="frozen"/>
      <selection activeCell="A3" sqref="A3"/>
      <selection pane="topRight" activeCell="B3" sqref="B3"/>
      <selection pane="bottomLeft" activeCell="A4" sqref="A4"/>
      <selection pane="bottomRight" activeCell="A138" sqref="A138:IV138"/>
    </sheetView>
  </sheetViews>
  <sheetFormatPr defaultRowHeight="15.6" x14ac:dyDescent="0.3"/>
  <cols>
    <col min="1" max="1" width="8.69921875" style="260" customWidth="1"/>
    <col min="2" max="2" width="11.09765625" style="128" customWidth="1"/>
    <col min="3" max="3" width="12" customWidth="1"/>
    <col min="4" max="4" width="13.8984375" style="128" customWidth="1"/>
    <col min="5" max="5" width="11.09765625" customWidth="1"/>
    <col min="6" max="6" width="13.09765625" style="128" customWidth="1"/>
    <col min="7" max="7" width="14.5" customWidth="1"/>
    <col min="8" max="8" width="11.09765625" style="128" customWidth="1"/>
    <col min="9" max="9" width="13.3984375" customWidth="1"/>
    <col min="10" max="10" width="11.09765625" style="130" customWidth="1"/>
    <col min="11" max="11" width="12.09765625" customWidth="1"/>
    <col min="12" max="12" width="12.09765625" style="128" customWidth="1"/>
    <col min="13" max="13" width="11.09765625" customWidth="1"/>
    <col min="14" max="14" width="11.09765625" style="128" customWidth="1"/>
    <col min="15" max="15" width="12.5" customWidth="1"/>
    <col min="16" max="16" width="9.59765625" style="128" customWidth="1"/>
    <col min="17" max="17" width="12.09765625" style="128" customWidth="1"/>
    <col min="18" max="18" width="11.09765625" style="128" customWidth="1"/>
    <col min="19" max="19" width="11.09765625" customWidth="1"/>
    <col min="20" max="20" width="12.09765625" style="129" customWidth="1"/>
    <col min="21" max="21" width="11.09765625" customWidth="1"/>
    <col min="22" max="22" width="13.3984375" style="128" customWidth="1"/>
    <col min="23" max="23" width="11.09765625" customWidth="1"/>
    <col min="24" max="24" width="11.09765625" style="128" customWidth="1"/>
    <col min="25" max="25" width="11.09765625" customWidth="1"/>
    <col min="26" max="26" width="11.09765625" style="128" customWidth="1"/>
    <col min="27" max="28" width="11.09765625" customWidth="1"/>
    <col min="29" max="29" width="14.3984375" customWidth="1"/>
    <col min="30" max="30" width="11.09765625" customWidth="1"/>
    <col min="31" max="31" width="12.09765625" customWidth="1"/>
    <col min="32" max="32" width="11.09765625" customWidth="1"/>
    <col min="33" max="33" width="12.09765625" customWidth="1"/>
  </cols>
  <sheetData>
    <row r="1" spans="1:34" x14ac:dyDescent="0.3">
      <c r="A1" s="257" t="s">
        <v>161</v>
      </c>
      <c r="B1" s="124"/>
      <c r="C1" s="2"/>
      <c r="D1" s="127"/>
    </row>
    <row r="2" spans="1:34" s="103" customFormat="1" x14ac:dyDescent="0.3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0" customFormat="1" ht="46.8" x14ac:dyDescent="0.3">
      <c r="A3" s="259" t="s">
        <v>1</v>
      </c>
      <c r="B3" s="228" t="s">
        <v>469</v>
      </c>
      <c r="C3" s="229" t="s">
        <v>218</v>
      </c>
      <c r="D3" s="229" t="s">
        <v>440</v>
      </c>
      <c r="E3" s="229" t="s">
        <v>219</v>
      </c>
      <c r="F3" s="229" t="s">
        <v>220</v>
      </c>
      <c r="G3" s="229" t="s">
        <v>180</v>
      </c>
      <c r="H3" s="229" t="s">
        <v>221</v>
      </c>
      <c r="I3" s="230" t="s">
        <v>465</v>
      </c>
      <c r="J3" s="229" t="s">
        <v>222</v>
      </c>
      <c r="K3" s="229" t="s">
        <v>455</v>
      </c>
      <c r="L3" s="229" t="s">
        <v>428</v>
      </c>
      <c r="M3" s="229" t="s">
        <v>456</v>
      </c>
      <c r="N3" s="229" t="s">
        <v>457</v>
      </c>
      <c r="O3" s="229" t="s">
        <v>223</v>
      </c>
      <c r="P3" s="229" t="s">
        <v>224</v>
      </c>
      <c r="Q3" s="229" t="s">
        <v>182</v>
      </c>
      <c r="R3" s="229" t="s">
        <v>225</v>
      </c>
      <c r="S3" s="229" t="s">
        <v>181</v>
      </c>
      <c r="T3" s="229" t="s">
        <v>226</v>
      </c>
      <c r="U3" s="229" t="s">
        <v>233</v>
      </c>
      <c r="V3" s="229" t="s">
        <v>227</v>
      </c>
      <c r="W3" s="229" t="s">
        <v>228</v>
      </c>
      <c r="X3" s="229" t="s">
        <v>229</v>
      </c>
      <c r="Y3" s="229" t="s">
        <v>230</v>
      </c>
      <c r="Z3" s="229" t="s">
        <v>466</v>
      </c>
      <c r="AA3" s="229" t="s">
        <v>231</v>
      </c>
      <c r="AB3" s="229" t="s">
        <v>234</v>
      </c>
      <c r="AC3" s="230" t="s">
        <v>458</v>
      </c>
      <c r="AD3" s="230" t="s">
        <v>459</v>
      </c>
      <c r="AE3" s="229" t="s">
        <v>430</v>
      </c>
      <c r="AF3" s="229" t="s">
        <v>429</v>
      </c>
      <c r="AG3" s="229" t="s">
        <v>183</v>
      </c>
    </row>
    <row r="4" spans="1:34" x14ac:dyDescent="0.3">
      <c r="A4" s="260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1"/>
    </row>
    <row r="5" spans="1:34" x14ac:dyDescent="0.3">
      <c r="A5" s="260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1"/>
    </row>
    <row r="6" spans="1:34" x14ac:dyDescent="0.3">
      <c r="A6" s="260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1"/>
    </row>
    <row r="7" spans="1:34" x14ac:dyDescent="0.3">
      <c r="A7" s="260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1"/>
    </row>
    <row r="8" spans="1:34" x14ac:dyDescent="0.3">
      <c r="A8" s="260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1"/>
    </row>
    <row r="9" spans="1:34" x14ac:dyDescent="0.3">
      <c r="A9" s="260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1"/>
    </row>
    <row r="10" spans="1:34" x14ac:dyDescent="0.3">
      <c r="A10" s="260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1"/>
    </row>
    <row r="11" spans="1:34" x14ac:dyDescent="0.3">
      <c r="A11" s="260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1"/>
    </row>
    <row r="12" spans="1:34" x14ac:dyDescent="0.3">
      <c r="A12" s="260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1"/>
    </row>
    <row r="13" spans="1:34" x14ac:dyDescent="0.3">
      <c r="A13" s="260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1"/>
    </row>
    <row r="14" spans="1:34" x14ac:dyDescent="0.3">
      <c r="A14" s="260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1"/>
    </row>
    <row r="15" spans="1:34" x14ac:dyDescent="0.3">
      <c r="A15" s="260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1"/>
    </row>
    <row r="16" spans="1:34" x14ac:dyDescent="0.3">
      <c r="A16" s="260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1"/>
    </row>
    <row r="17" spans="1:34" x14ac:dyDescent="0.3">
      <c r="A17" s="260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1"/>
    </row>
    <row r="18" spans="1:34" x14ac:dyDescent="0.3">
      <c r="A18" s="260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1"/>
    </row>
    <row r="19" spans="1:34" x14ac:dyDescent="0.3">
      <c r="A19" s="260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3">
      <c r="A20" s="260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3">
      <c r="A21" s="260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3">
      <c r="A22" s="260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3">
      <c r="A23" s="260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3">
      <c r="A24" s="260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3">
      <c r="A25" s="260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3">
      <c r="A26" s="260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3">
      <c r="A27" s="260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3">
      <c r="A28" s="260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3">
      <c r="A29" s="260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3">
      <c r="A30" s="260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3">
      <c r="A31" s="260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3">
      <c r="A32" s="260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260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260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260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3">
      <c r="A36" s="260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260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3">
      <c r="A38" s="260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260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">
      <c r="A40" s="260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">
      <c r="A41" s="260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3">
      <c r="A42" s="260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260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3">
      <c r="A44" s="260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">
      <c r="A45" s="260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3">
      <c r="A46" s="260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3">
      <c r="A47" s="260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3">
      <c r="A48" s="260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3">
      <c r="A49" s="260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3">
      <c r="A50" s="260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">
      <c r="A51" s="260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3">
      <c r="A52" s="260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3">
      <c r="A53" s="260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3">
      <c r="A54" s="260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3">
      <c r="A55" s="260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3">
      <c r="A56" s="260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3">
      <c r="A57" s="260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3">
      <c r="A58" s="260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3">
      <c r="A59" s="260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3">
      <c r="A60" s="260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3">
      <c r="A61" s="260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3">
      <c r="A62" s="260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3">
      <c r="A63" s="260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3">
      <c r="A64" s="260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3">
      <c r="A65" s="260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3">
      <c r="A66" s="260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3">
      <c r="A67" s="260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3">
      <c r="A68" s="260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3">
      <c r="A69" s="260">
        <v>36831</v>
      </c>
      <c r="B69" s="4">
        <v>0</v>
      </c>
      <c r="C69" s="4">
        <v>0</v>
      </c>
      <c r="D69" s="4">
        <v>0</v>
      </c>
      <c r="E69" s="4">
        <v>0</v>
      </c>
      <c r="F69" s="4">
        <f>0-12500000-3.57</f>
        <v>-12500003.57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3">
      <c r="A70" s="260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3">
      <c r="A71" s="260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3">
      <c r="A72" s="260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3">
      <c r="A73" s="260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3">
      <c r="A74" s="260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3">
      <c r="A75" s="260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3">
      <c r="A76" s="260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3">
      <c r="A77" s="260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3">
      <c r="A78" s="260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3">
      <c r="A79" s="260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3">
      <c r="A80" s="260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3">
      <c r="A81" s="260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3">
      <c r="A82" s="260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3">
      <c r="A83" s="260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3">
      <c r="A84" s="260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3">
      <c r="A85" s="260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3">
      <c r="A86" s="260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3">
      <c r="A87" s="260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3">
      <c r="A88" s="260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3">
      <c r="A89" s="260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3">
      <c r="A90" s="260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3">
      <c r="A91" s="260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3">
      <c r="A92" s="260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3">
      <c r="A93" s="260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3">
      <c r="A94" s="260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3">
      <c r="A95" s="260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3">
      <c r="A96" s="260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3">
      <c r="A97" s="260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3">
      <c r="A98" s="260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3">
      <c r="A99" s="260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3">
      <c r="A100" s="260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3">
      <c r="A101" s="260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3">
      <c r="A102" s="260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3">
      <c r="A103" s="260">
        <v>36880</v>
      </c>
      <c r="B103" s="4">
        <v>0</v>
      </c>
      <c r="C103" s="4">
        <v>0</v>
      </c>
      <c r="D103" s="4">
        <f>-D58</f>
        <v>-84413.160000000149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3">
      <c r="A104" s="260">
        <v>36881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3">
      <c r="A105" s="260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3">
      <c r="A106" s="260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3">
      <c r="A107" s="260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3">
      <c r="A108" s="260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109" spans="1:33" s="4" customFormat="1" x14ac:dyDescent="0.3">
      <c r="A109" s="260">
        <v>36889</v>
      </c>
      <c r="B109" s="4">
        <v>0</v>
      </c>
      <c r="C109" s="4">
        <v>0</v>
      </c>
      <c r="D109" s="4">
        <v>0</v>
      </c>
      <c r="E109" s="4">
        <v>-182250</v>
      </c>
      <c r="F109" s="4">
        <v>0</v>
      </c>
      <c r="G109" s="4">
        <v>0</v>
      </c>
      <c r="H109" s="4">
        <v>0</v>
      </c>
      <c r="I109" s="4">
        <v>0</v>
      </c>
      <c r="J109" s="4">
        <v>-125000</v>
      </c>
      <c r="K109" s="4">
        <v>-3.7252902984619141E-9</v>
      </c>
      <c r="L109" s="4">
        <v>0</v>
      </c>
      <c r="M109" s="4">
        <v>-67554.860000000102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-2092500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-650000</v>
      </c>
      <c r="AD109" s="4">
        <v>0</v>
      </c>
      <c r="AE109" s="4">
        <v>0</v>
      </c>
      <c r="AF109" s="4">
        <v>0</v>
      </c>
      <c r="AG109" s="4">
        <v>0</v>
      </c>
    </row>
    <row r="110" spans="1:33" s="4" customFormat="1" x14ac:dyDescent="0.3">
      <c r="A110" s="260">
        <v>36893</v>
      </c>
      <c r="B110" s="4">
        <v>0</v>
      </c>
      <c r="C110" s="4">
        <v>0</v>
      </c>
      <c r="D110" s="4">
        <v>0</v>
      </c>
      <c r="F110" s="4">
        <v>0</v>
      </c>
      <c r="G110" s="4">
        <v>0</v>
      </c>
      <c r="H110" s="4">
        <v>0</v>
      </c>
      <c r="I110" s="4">
        <v>0</v>
      </c>
      <c r="K110" s="4">
        <v>-3.7252902984619141E-9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</row>
    <row r="111" spans="1:33" s="4" customFormat="1" x14ac:dyDescent="0.3">
      <c r="A111" s="260">
        <v>36894</v>
      </c>
      <c r="B111" s="4">
        <v>0</v>
      </c>
      <c r="C111" s="4">
        <v>0</v>
      </c>
      <c r="D111" s="4">
        <v>0</v>
      </c>
      <c r="F111" s="4">
        <v>0</v>
      </c>
      <c r="G111" s="4">
        <v>0</v>
      </c>
      <c r="H111" s="4">
        <v>0</v>
      </c>
      <c r="I111" s="4">
        <v>0</v>
      </c>
      <c r="K111" s="4">
        <v>-3.7252902984619141E-9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</row>
    <row r="112" spans="1:33" s="4" customFormat="1" x14ac:dyDescent="0.3">
      <c r="A112" s="260">
        <v>36895</v>
      </c>
      <c r="B112" s="4">
        <v>0</v>
      </c>
      <c r="C112" s="4">
        <v>0</v>
      </c>
      <c r="D112" s="4">
        <v>0</v>
      </c>
      <c r="F112" s="4">
        <v>0</v>
      </c>
      <c r="G112" s="4">
        <v>0</v>
      </c>
      <c r="H112" s="4">
        <v>0</v>
      </c>
      <c r="I112" s="4">
        <v>0</v>
      </c>
      <c r="K112" s="4">
        <v>-3.7252902984619141E-9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</row>
    <row r="113" spans="1:33" s="4" customFormat="1" x14ac:dyDescent="0.3">
      <c r="A113" s="260">
        <v>36896</v>
      </c>
      <c r="B113" s="4">
        <v>0</v>
      </c>
      <c r="C113" s="4">
        <v>0</v>
      </c>
      <c r="D113" s="4">
        <v>0</v>
      </c>
      <c r="F113" s="4">
        <v>0</v>
      </c>
      <c r="G113" s="4">
        <v>0</v>
      </c>
      <c r="H113" s="4">
        <v>0</v>
      </c>
      <c r="I113" s="4">
        <v>0</v>
      </c>
      <c r="K113" s="4">
        <v>-3.7252902984619141E-9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</row>
    <row r="114" spans="1:33" s="4" customFormat="1" x14ac:dyDescent="0.3">
      <c r="A114" s="260">
        <v>36899</v>
      </c>
      <c r="B114" s="4">
        <v>0</v>
      </c>
      <c r="C114" s="4">
        <v>0</v>
      </c>
      <c r="D114" s="4">
        <v>0</v>
      </c>
      <c r="F114" s="4">
        <v>0</v>
      </c>
      <c r="G114" s="4">
        <v>0</v>
      </c>
      <c r="H114" s="4">
        <v>0</v>
      </c>
      <c r="I114" s="4">
        <v>0</v>
      </c>
      <c r="K114" s="4">
        <v>-3.7252902984619141E-9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</row>
    <row r="115" spans="1:33" s="4" customFormat="1" x14ac:dyDescent="0.3">
      <c r="A115" s="260">
        <v>36900</v>
      </c>
      <c r="B115" s="4">
        <v>0</v>
      </c>
      <c r="C115" s="4">
        <v>0</v>
      </c>
      <c r="D115" s="4">
        <v>0</v>
      </c>
      <c r="H115" s="4">
        <v>0</v>
      </c>
      <c r="I115" s="4">
        <v>0</v>
      </c>
      <c r="K115" s="4">
        <v>-3.7252902984619141E-9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</row>
    <row r="116" spans="1:33" s="4" customFormat="1" x14ac:dyDescent="0.3">
      <c r="A116" s="260">
        <v>36901</v>
      </c>
      <c r="B116" s="4">
        <v>0</v>
      </c>
      <c r="C116" s="4">
        <v>0</v>
      </c>
      <c r="D116" s="4">
        <v>0</v>
      </c>
      <c r="H116" s="4">
        <v>0</v>
      </c>
      <c r="I116" s="4">
        <v>0</v>
      </c>
      <c r="K116" s="4">
        <v>-3.7252902984619141E-9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</row>
    <row r="117" spans="1:33" s="4" customFormat="1" x14ac:dyDescent="0.3">
      <c r="A117" s="260">
        <v>36902</v>
      </c>
      <c r="B117" s="4">
        <v>0</v>
      </c>
      <c r="C117" s="4">
        <v>0</v>
      </c>
      <c r="D117" s="4">
        <v>0</v>
      </c>
      <c r="H117" s="4">
        <v>0</v>
      </c>
      <c r="I117" s="4">
        <v>0</v>
      </c>
      <c r="K117" s="4">
        <v>-3.7252902984619141E-9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</row>
    <row r="118" spans="1:33" s="4" customFormat="1" x14ac:dyDescent="0.3">
      <c r="A118" s="260">
        <v>36903</v>
      </c>
      <c r="B118" s="4">
        <v>0</v>
      </c>
      <c r="C118" s="4">
        <v>0</v>
      </c>
      <c r="D118" s="4">
        <v>0</v>
      </c>
      <c r="H118" s="4">
        <v>0</v>
      </c>
      <c r="I118" s="4">
        <v>0</v>
      </c>
      <c r="K118" s="4">
        <v>-3.7252902984619141E-9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</row>
    <row r="119" spans="1:33" s="4" customFormat="1" x14ac:dyDescent="0.3">
      <c r="A119" s="260">
        <v>36907</v>
      </c>
      <c r="B119" s="4">
        <v>0</v>
      </c>
      <c r="C119" s="4">
        <v>0</v>
      </c>
      <c r="D119" s="4">
        <v>0</v>
      </c>
      <c r="H119" s="4">
        <v>0</v>
      </c>
      <c r="I119" s="4">
        <v>0</v>
      </c>
      <c r="K119" s="4">
        <v>-3.7252902984619141E-9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</row>
    <row r="120" spans="1:33" s="4" customFormat="1" x14ac:dyDescent="0.3">
      <c r="A120" s="260">
        <v>36908</v>
      </c>
      <c r="B120" s="4">
        <v>0</v>
      </c>
      <c r="C120" s="4">
        <v>0</v>
      </c>
      <c r="D120" s="4">
        <v>0</v>
      </c>
      <c r="H120" s="4">
        <v>0</v>
      </c>
      <c r="I120" s="4">
        <v>0</v>
      </c>
      <c r="K120" s="4">
        <v>-3.7252902984619141E-9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</row>
    <row r="121" spans="1:33" s="4" customFormat="1" x14ac:dyDescent="0.3">
      <c r="A121" s="260">
        <v>36909</v>
      </c>
      <c r="B121" s="4">
        <v>0</v>
      </c>
      <c r="C121" s="4">
        <v>0</v>
      </c>
      <c r="D121" s="4">
        <v>0</v>
      </c>
      <c r="H121" s="4">
        <v>0</v>
      </c>
      <c r="I121" s="4">
        <v>0</v>
      </c>
      <c r="K121" s="4">
        <v>-3.7252902984619141E-9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</row>
    <row r="122" spans="1:33" s="4" customFormat="1" x14ac:dyDescent="0.3">
      <c r="A122" s="260">
        <v>36910</v>
      </c>
      <c r="B122" s="4">
        <v>0</v>
      </c>
      <c r="C122" s="4">
        <v>0</v>
      </c>
      <c r="D122" s="4">
        <v>0</v>
      </c>
      <c r="H122" s="4">
        <v>0</v>
      </c>
      <c r="I122" s="4">
        <v>0</v>
      </c>
      <c r="K122" s="4">
        <v>-3.7252902984619141E-9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</row>
    <row r="123" spans="1:33" s="4" customFormat="1" x14ac:dyDescent="0.3">
      <c r="A123" s="260">
        <v>36913</v>
      </c>
      <c r="B123" s="4">
        <v>0</v>
      </c>
      <c r="C123" s="4">
        <v>0</v>
      </c>
      <c r="D123" s="4">
        <v>0</v>
      </c>
      <c r="H123" s="4">
        <v>0</v>
      </c>
      <c r="I123" s="4">
        <v>0</v>
      </c>
      <c r="K123" s="4">
        <v>-3.7252902984619141E-9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</row>
    <row r="124" spans="1:33" s="4" customFormat="1" x14ac:dyDescent="0.3">
      <c r="A124" s="260">
        <v>36914</v>
      </c>
      <c r="B124" s="4">
        <v>0</v>
      </c>
      <c r="C124" s="4">
        <v>0</v>
      </c>
      <c r="D124" s="4">
        <v>0</v>
      </c>
      <c r="H124" s="4">
        <v>0</v>
      </c>
      <c r="I124" s="4">
        <v>0</v>
      </c>
      <c r="K124" s="4">
        <v>-3.7252902984619141E-9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</row>
    <row r="125" spans="1:33" s="4" customFormat="1" x14ac:dyDescent="0.3">
      <c r="A125" s="260">
        <v>36915</v>
      </c>
      <c r="B125" s="4">
        <v>0</v>
      </c>
      <c r="C125" s="4">
        <v>0</v>
      </c>
      <c r="D125" s="4">
        <v>0</v>
      </c>
      <c r="H125" s="4">
        <v>0</v>
      </c>
      <c r="I125" s="4">
        <v>0</v>
      </c>
      <c r="K125" s="4">
        <v>-3.7252902984619141E-9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</row>
    <row r="126" spans="1:33" s="4" customFormat="1" x14ac:dyDescent="0.3">
      <c r="A126" s="260">
        <v>36916</v>
      </c>
      <c r="B126" s="4">
        <v>0</v>
      </c>
      <c r="C126" s="4">
        <v>68426.539999999994</v>
      </c>
      <c r="D126" s="4">
        <v>0</v>
      </c>
      <c r="H126" s="4">
        <v>0</v>
      </c>
      <c r="I126" s="4">
        <v>0</v>
      </c>
      <c r="K126" s="4">
        <v>-3.7252902984619141E-9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131614</v>
      </c>
      <c r="T126" s="4">
        <v>0</v>
      </c>
      <c r="U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-600000</v>
      </c>
      <c r="AD126" s="4">
        <v>-237725.03</v>
      </c>
      <c r="AE126" s="4">
        <v>0</v>
      </c>
      <c r="AF126" s="4">
        <v>0</v>
      </c>
      <c r="AG126" s="4">
        <v>0</v>
      </c>
    </row>
    <row r="127" spans="1:33" s="4" customFormat="1" x14ac:dyDescent="0.3">
      <c r="A127" s="260">
        <v>36917</v>
      </c>
      <c r="B127" s="4">
        <v>0</v>
      </c>
      <c r="C127" s="4">
        <v>0</v>
      </c>
      <c r="D127" s="4">
        <v>0</v>
      </c>
      <c r="H127" s="4">
        <v>0</v>
      </c>
      <c r="I127" s="4">
        <v>0</v>
      </c>
      <c r="K127" s="4">
        <v>-3.7252902984619141E-9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600000</v>
      </c>
      <c r="AD127" s="4">
        <v>0</v>
      </c>
      <c r="AE127" s="4">
        <v>0</v>
      </c>
      <c r="AF127" s="4">
        <v>0</v>
      </c>
      <c r="AG127" s="4">
        <v>0</v>
      </c>
    </row>
    <row r="128" spans="1:33" s="4" customFormat="1" x14ac:dyDescent="0.3">
      <c r="A128" s="260">
        <v>36920</v>
      </c>
      <c r="B128" s="4">
        <v>0</v>
      </c>
      <c r="C128" s="4">
        <v>0</v>
      </c>
      <c r="D128" s="4">
        <v>0</v>
      </c>
      <c r="H128" s="4">
        <v>0</v>
      </c>
      <c r="I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-1000000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</row>
    <row r="129" spans="1:33" s="4" customFormat="1" x14ac:dyDescent="0.3">
      <c r="A129" s="260">
        <v>36921</v>
      </c>
      <c r="B129" s="4">
        <v>0</v>
      </c>
      <c r="C129" s="4">
        <v>0</v>
      </c>
      <c r="D129" s="4">
        <v>0</v>
      </c>
      <c r="H129" s="4">
        <v>0</v>
      </c>
      <c r="I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</row>
    <row r="130" spans="1:33" s="4" customFormat="1" x14ac:dyDescent="0.3">
      <c r="A130" s="260">
        <v>36922</v>
      </c>
      <c r="B130" s="4">
        <v>0</v>
      </c>
      <c r="C130" s="4">
        <v>0</v>
      </c>
      <c r="D130" s="4">
        <v>0</v>
      </c>
      <c r="H130" s="4">
        <v>0</v>
      </c>
      <c r="I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</row>
    <row r="131" spans="1:33" s="4" customFormat="1" x14ac:dyDescent="0.3">
      <c r="A131" s="260">
        <v>36923</v>
      </c>
      <c r="B131" s="4">
        <v>0</v>
      </c>
      <c r="C131" s="4">
        <v>0</v>
      </c>
      <c r="D131" s="4">
        <v>0</v>
      </c>
      <c r="H131" s="4">
        <v>0</v>
      </c>
      <c r="I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</row>
    <row r="132" spans="1:33" s="4" customFormat="1" x14ac:dyDescent="0.3">
      <c r="A132" s="260">
        <v>36924</v>
      </c>
      <c r="B132" s="4">
        <v>0</v>
      </c>
      <c r="C132" s="4">
        <v>0</v>
      </c>
      <c r="D132" s="4">
        <v>0</v>
      </c>
      <c r="H132" s="4">
        <v>0</v>
      </c>
      <c r="I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</row>
    <row r="133" spans="1:33" s="4" customFormat="1" x14ac:dyDescent="0.3">
      <c r="A133" s="260">
        <v>36927</v>
      </c>
      <c r="B133" s="4">
        <v>0</v>
      </c>
      <c r="C133" s="4">
        <v>0</v>
      </c>
      <c r="D133" s="4">
        <v>0</v>
      </c>
      <c r="H133" s="4">
        <v>0</v>
      </c>
      <c r="I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</row>
    <row r="134" spans="1:33" s="4" customFormat="1" x14ac:dyDescent="0.3">
      <c r="A134" s="260">
        <v>36928</v>
      </c>
      <c r="B134" s="4">
        <v>0</v>
      </c>
      <c r="C134" s="4">
        <v>0</v>
      </c>
      <c r="D134" s="4">
        <v>0</v>
      </c>
      <c r="H134" s="4">
        <v>0</v>
      </c>
      <c r="I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-230788.389999999</v>
      </c>
      <c r="AD134" s="4">
        <v>0</v>
      </c>
      <c r="AE134" s="4">
        <v>0</v>
      </c>
      <c r="AF134" s="4">
        <v>0</v>
      </c>
      <c r="AG134" s="4">
        <v>0</v>
      </c>
    </row>
    <row r="135" spans="1:33" s="4" customFormat="1" x14ac:dyDescent="0.3">
      <c r="A135" s="260">
        <v>36929</v>
      </c>
      <c r="B135" s="4">
        <v>0</v>
      </c>
      <c r="C135" s="4">
        <v>0</v>
      </c>
      <c r="D135" s="4">
        <v>0</v>
      </c>
      <c r="H135" s="4">
        <v>0</v>
      </c>
      <c r="I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</row>
    <row r="136" spans="1:33" s="4" customFormat="1" x14ac:dyDescent="0.3">
      <c r="A136" s="260">
        <v>36930</v>
      </c>
      <c r="B136" s="4">
        <v>0</v>
      </c>
      <c r="C136" s="4">
        <v>0</v>
      </c>
      <c r="D136" s="4">
        <v>0</v>
      </c>
      <c r="H136" s="4">
        <v>0</v>
      </c>
      <c r="I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</row>
    <row r="137" spans="1:33" s="4" customFormat="1" x14ac:dyDescent="0.3">
      <c r="A137" s="260">
        <v>36931</v>
      </c>
      <c r="B137" s="4">
        <v>0</v>
      </c>
      <c r="C137" s="4">
        <v>0</v>
      </c>
      <c r="D137" s="4">
        <v>0</v>
      </c>
      <c r="H137" s="4">
        <v>0</v>
      </c>
      <c r="I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</row>
    <row r="138" spans="1:33" s="4" customFormat="1" x14ac:dyDescent="0.3">
      <c r="A138" s="260">
        <v>36934</v>
      </c>
      <c r="B138" s="4">
        <v>0</v>
      </c>
      <c r="C138" s="4">
        <v>0</v>
      </c>
      <c r="D138" s="4">
        <v>0</v>
      </c>
      <c r="H138" s="4">
        <v>0</v>
      </c>
      <c r="I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</row>
    <row r="257" ht="14.25" customHeight="1" x14ac:dyDescent="0.3"/>
    <row r="374" spans="1:33" x14ac:dyDescent="0.3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</row>
    <row r="375" spans="1:33" x14ac:dyDescent="0.3">
      <c r="A375" s="260" t="s">
        <v>7</v>
      </c>
      <c r="B375" s="5">
        <f t="shared" ref="B375:AG375" si="0">SUM(B6:B374)</f>
        <v>0</v>
      </c>
      <c r="C375" s="5">
        <f t="shared" si="0"/>
        <v>356431.84999999957</v>
      </c>
      <c r="D375" s="5">
        <f t="shared" si="0"/>
        <v>0</v>
      </c>
      <c r="E375" s="5">
        <f t="shared" si="0"/>
        <v>-372147.13</v>
      </c>
      <c r="F375" s="5">
        <f t="shared" si="0"/>
        <v>-12565511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-125000</v>
      </c>
      <c r="K375" s="5">
        <f t="shared" si="0"/>
        <v>-2.8312206268310547E-7</v>
      </c>
      <c r="L375" s="5">
        <f t="shared" si="0"/>
        <v>0</v>
      </c>
      <c r="M375" s="5">
        <f t="shared" si="0"/>
        <v>-137317.57000000012</v>
      </c>
      <c r="N375" s="5">
        <f t="shared" si="0"/>
        <v>0</v>
      </c>
      <c r="O375" s="5">
        <f t="shared" si="0"/>
        <v>-1000000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-105390.11999999976</v>
      </c>
      <c r="T375" s="5">
        <f t="shared" si="0"/>
        <v>605530.14</v>
      </c>
      <c r="U375" s="5">
        <f t="shared" si="0"/>
        <v>-605529.73</v>
      </c>
      <c r="V375" s="5">
        <f t="shared" si="0"/>
        <v>-2415598.88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-16316247</v>
      </c>
      <c r="AD375" s="5">
        <f t="shared" si="0"/>
        <v>-887163.67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3">
      <c r="A377" s="260">
        <f>+A379</f>
        <v>36934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H377" s="4">
        <f t="shared" si="1"/>
        <v>0</v>
      </c>
      <c r="I377" s="4">
        <f t="shared" si="1"/>
        <v>0</v>
      </c>
      <c r="K377" s="4">
        <f t="shared" si="1"/>
        <v>0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3">
      <c r="A378" s="260" t="s">
        <v>486</v>
      </c>
      <c r="C378" s="269">
        <f>SUM(B377:AG377)</f>
        <v>0</v>
      </c>
    </row>
    <row r="379" spans="1:33" x14ac:dyDescent="0.3">
      <c r="A379" s="260">
        <f>+'MPR Raptor'!$U$3</f>
        <v>36934</v>
      </c>
      <c r="B379" s="4">
        <f>INDEX([0]!MPRR, MATCH("Amerada Hess Exposure Raptor I",'MPR Raptor'!$E$3:$E$140,), MATCH("Per Share",'MPR Raptor'!$E$3:$CM$3,))</f>
        <v>1250000</v>
      </c>
      <c r="C379" s="4">
        <f>INDEX([0]!MPRR, MATCH("Ameritex Raptor I",'MPR Raptor'!$E$3:$E$140,), MATCH("Per Share",'MPR Raptor'!$E$3:$CM$3,))</f>
        <v>4731610.54</v>
      </c>
      <c r="D379" s="4">
        <f>INDEX([0]!MPRR, MATCH("Basic Energy CFPC Raptor I",'MPR Raptor'!$E$3:$E$140,), MATCH("Per Share",'MPR Raptor'!$E$3:$CM$3,))*1000</f>
        <v>1247943.5</v>
      </c>
      <c r="E379" s="4"/>
      <c r="F379" s="4"/>
      <c r="G379" s="4"/>
      <c r="H379" s="4">
        <f>INDEX([0]!MPRR, MATCH("City Forest IPC Raptor I",'MPR Raptor'!$E$3:$E$140,), MATCH("Per Share",'MPR Raptor'!$E$3:$CM$3,))</f>
        <v>1663000</v>
      </c>
      <c r="I379" s="4">
        <f>INDEX([0]!MPRR, MATCH("Ecogas Loan Raptor I",'MPR Raptor'!$E$3:$E$140,), MATCH("Per Share",'MPR Raptor'!$E$3:$CM$3,))+0</f>
        <v>0</v>
      </c>
      <c r="J379" s="4"/>
      <c r="K379" s="4">
        <f>INDEX([0]!MPRR, MATCH("Heartland Steel Common Raptor I",'MPR Raptor'!$E$3:$E$140,), MATCH("Per Share",'MPR Raptor'!$E$3:$CM$3,))*'Daily Position'!$H$25</f>
        <v>0</v>
      </c>
      <c r="L379" s="4">
        <f>INDEX([0]!MPRR, MATCH("Heartland Steel Common Condor Raptor I",'MPR Raptor'!$E$3:$E$140,), MATCH("Per Share",'MPR Raptor'!$E$3:$CM$3,))</f>
        <v>0</v>
      </c>
      <c r="M379" s="4">
        <f>INDEX([0]!MPRR, MATCH("Heartland Contingent Construction Loan Raptor I",'MPR Raptor'!$E$3:$E$140,), MATCH("Per Share",'MPR Raptor'!$E$3:$CM$3,))</f>
        <v>0</v>
      </c>
      <c r="N379" s="4">
        <f>INDEX([0]!MPRR, MATCH("Heartland Steel Warrants Raptor I",'MPR Raptor'!$E$3:$E$140,), MATCH("Per Share",'MPR Raptor'!$E$3:$CM$3,))</f>
        <v>0</v>
      </c>
      <c r="O379" s="4">
        <f>INDEX([0]!MPRR, MATCH("Hughes Rawls Loan Raptor I",'MPR Raptor'!$E$3:$E$140,), MATCH("Per Share",'MPR Raptor'!$E$3:$CM$3,))</f>
        <v>0</v>
      </c>
      <c r="P379" s="4">
        <f>INDEX([0]!MPRR, MATCH("Hughes Rawls Note Raptor I",'MPR Raptor'!$E$3:$E$140,), MATCH("Per Share",'MPR Raptor'!$E$3:$CM$3,))</f>
        <v>0</v>
      </c>
      <c r="Q379" s="4">
        <f>INDEX([0]!MPRR, MATCH("Hornbeck-Leevac Warrants Raptor I",'MPR Raptor'!$E$3:$E$140,), MATCH("Per Share",'MPR Raptor'!$E$3:$CM$3,))</f>
        <v>23513434.5</v>
      </c>
      <c r="R379" s="4">
        <f>INDEX([0]!MPRR, MATCH("Industrial Holdings Raptor I",'MPR Raptor'!$E$3:$E$140,), MATCH("Per Share",'MPR Raptor'!$E$3:$CM$3,))</f>
        <v>7121810</v>
      </c>
      <c r="S379" s="4">
        <f>INDEX([0]!MPRR, MATCH("Invasion Energy Raptor I",'MPR Raptor'!$E$3:$E$140,), MATCH("Per Share",'MPR Raptor'!$E$3:$CM$3,))</f>
        <v>5538616.8799999999</v>
      </c>
      <c r="T379" s="4">
        <f>INDEX([0]!MPRR, MATCH("Juniper Raptor I",'MPR Raptor'!$E$3:$E$140,), MATCH("Per Share",'MPR Raptor'!$E$3:$CM$3,))</f>
        <v>21605090</v>
      </c>
      <c r="U379" s="4">
        <f>INDEX([0]!MPRR, MATCH("Juniper Exposure Raptor I",'MPR Raptor'!$E$3:$E$140,), MATCH("Per Share",'MPR Raptor'!$E$3:$CM$3,))</f>
        <v>1954995.27</v>
      </c>
      <c r="V379" s="4"/>
      <c r="W379" s="4"/>
      <c r="X379" s="4">
        <f>INDEX([0]!MPRR, MATCH("LSI Warrants Raptor I",'MPR Raptor'!$E$3:$E$140,), MATCH("Per Share",'MPR Raptor'!$E$3:$CM$3,))</f>
        <v>1374750</v>
      </c>
      <c r="Y379" s="4">
        <f>INDEX([0]!MPRR, MATCH("Oconto Falls Common Raptor I",'MPR Raptor'!$E$3:$E$140,), MATCH("Per Share",'MPR Raptor'!$E$3:$CM$3,))</f>
        <v>1803840</v>
      </c>
      <c r="Z379" s="4">
        <f>INDEX([0]!MPRR, MATCH("Oconto Falls IPC Raptor I",'MPR Raptor'!$E$3:$E$140,), MATCH("Per Share",'MPR Raptor'!$E$3:$CM$3,))</f>
        <v>2300803</v>
      </c>
      <c r="AA379" s="4">
        <f>INDEX([0]!MPRR, MATCH("Texland Raptor I",'MPR Raptor'!$E$3:$E$140,), MATCH("Per Share",'MPR Raptor'!$E$3:$CM$3,))</f>
        <v>9231875</v>
      </c>
      <c r="AB379" s="4">
        <f>INDEX([0]!MPRR, MATCH("Texland Exposure Raptor I",'MPR Raptor'!$E$3:$E$140,), MATCH("Per Share",'MPR Raptor'!$E$3:$CM$3,))</f>
        <v>1663862.85</v>
      </c>
      <c r="AC379" s="4">
        <f>INDEX([0]!MPRR, MATCH("Vastar Raptor I",'MPR Raptor'!$E$3:$E$140,), MATCH("Per Share",'MPR Raptor'!$E$3:$CM$3,))</f>
        <v>-2.6193447411060333E-10</v>
      </c>
      <c r="AD379" s="4">
        <f>INDEX([0]!MPRR, MATCH("Vastar Exposure Raptor I",'MPR Raptor'!$E$3:$E$140,), MATCH("Per Share",'MPR Raptor'!$E$3:$CM$3,))</f>
        <v>162836.32999999999</v>
      </c>
      <c r="AE379" s="4">
        <f>INDEX([0]!MPRR, MATCH("Venoco Convertible Raptor I",'MPR Raptor'!$E$3:$E$140,), MATCH("Per Share",'MPR Raptor'!$E$3:$CM$3,))*'Daily Position'!$H$45</f>
        <v>81210625</v>
      </c>
      <c r="AF379" s="4">
        <f>INDEX([0]!MPRR, MATCH("WB Oil &amp; Gas Raptor I",'MPR Raptor'!$E$3:$E$140,), MATCH("Per Share",'MPR Raptor'!$E$3:$CM$3,))*'Daily Position'!$H$46</f>
        <v>1360000</v>
      </c>
      <c r="AG379" s="4">
        <f>INDEX([0]!MPRR, MATCH("Merlin Credit Derivative Raptor I",'MPR Raptor'!$E$3:$E$140,), MATCH("Per Share",'MPR Raptor'!$E$3:$CM$3,))</f>
        <v>30637565.036477998</v>
      </c>
    </row>
    <row r="380" spans="1:33" x14ac:dyDescent="0.3">
      <c r="A380" s="260">
        <f>+A379-1</f>
        <v>36933</v>
      </c>
      <c r="B380" s="4">
        <f>INDEX([0]!MPRR, MATCH("Amerada Hess Exposure Raptor I",'MPR Raptor'!$E$3:$E$140,), MATCH("Value",'MPR Raptor'!$E$3:$CM$3,))</f>
        <v>1250000</v>
      </c>
      <c r="C380" s="4">
        <f>INDEX([0]!MPRR, MATCH("Ameritex Raptor I",'MPR Raptor'!$E$3:$E$140,), MATCH("Value",'MPR Raptor'!$E$3:$CM$3,))</f>
        <v>4731610.54</v>
      </c>
      <c r="D380" s="4">
        <f>INDEX([0]!MPRR, MATCH("Basic Energy CFPC Raptor I",'MPR Raptor'!$E$3:$E$140,), MATCH("Value",'MPR Raptor'!$E$3:$CM$3,))</f>
        <v>1247943.5</v>
      </c>
      <c r="E380" s="4"/>
      <c r="F380" s="4"/>
      <c r="G380" s="4"/>
      <c r="H380" s="4">
        <f>INDEX([0]!MPRR, MATCH("City Forest IPC Raptor I",'MPR Raptor'!$E$3:$E$140,), MATCH("Value",'MPR Raptor'!$E$3:$CM$3,))</f>
        <v>1663000</v>
      </c>
      <c r="I380" s="4">
        <f>INDEX([0]!MPRR, MATCH("Ecogas Loan Raptor I",'MPR Raptor'!$E$3:$E$140,), MATCH("Value",'MPR Raptor'!$E$3:$CM$3,))</f>
        <v>0</v>
      </c>
      <c r="J380" s="4"/>
      <c r="K380" s="4">
        <f>INDEX([0]!MPRR, MATCH("Heartland Steel Common Raptor I",'MPR Raptor'!$E$3:$E$140,), MATCH("Value",'MPR Raptor'!$E$3:$CM$3,))</f>
        <v>0</v>
      </c>
      <c r="L380" s="4">
        <f>INDEX([0]!MPRR, MATCH("Heartland Steel Common Condor Raptor I",'MPR Raptor'!$E$3:$E$140,), MATCH("Value",'MPR Raptor'!$E$3:$CM$3,))</f>
        <v>0</v>
      </c>
      <c r="M380" s="4">
        <f>INDEX([0]!MPRR, MATCH("Heartland Contingent Construction Loan Raptor I",'MPR Raptor'!$E$3:$E$140,), MATCH("Value",'MPR Raptor'!$E$3:$CM$3,))</f>
        <v>0</v>
      </c>
      <c r="N380" s="4">
        <f>INDEX([0]!MPRR, MATCH("Heartland Steel Warrants Raptor I",'MPR Raptor'!$E$3:$E$140,), MATCH("Value",'MPR Raptor'!$E$3:$CM$3,))</f>
        <v>0</v>
      </c>
      <c r="O380" s="4">
        <f>INDEX([0]!MPRR, MATCH("Hughes Rawls Loan Raptor I",'MPR Raptor'!$E$3:$E$140,), MATCH("Value",'MPR Raptor'!$E$3:$CM$3,))</f>
        <v>0</v>
      </c>
      <c r="P380" s="4">
        <f>INDEX([0]!MPRR, MATCH("Hughes Rawls Note Raptor I",'MPR Raptor'!$E$3:$E$140,), MATCH("Value",'MPR Raptor'!$E$3:$CM$3,))</f>
        <v>0</v>
      </c>
      <c r="Q380" s="4">
        <f>INDEX([0]!MPRR, MATCH("Hornbeck-Leevac Warrants Raptor I",'MPR Raptor'!$E$3:$E$140,), MATCH("Value",'MPR Raptor'!$E$3:$CM$3,))</f>
        <v>23513434.5</v>
      </c>
      <c r="R380" s="4">
        <f>INDEX([0]!MPRR, MATCH("Industrial Holdings Raptor I",'MPR Raptor'!$E$3:$E$140,), MATCH("Value",'MPR Raptor'!$E$3:$CM$3,))</f>
        <v>7121810</v>
      </c>
      <c r="S380" s="4">
        <f>INDEX([0]!MPRR, MATCH("Invasion Energy Raptor I",'MPR Raptor'!$E$3:$E$140,), MATCH("Value",'MPR Raptor'!$E$3:$CM$3,))</f>
        <v>5538616.8799999999</v>
      </c>
      <c r="T380" s="4">
        <f>INDEX([0]!MPRR, MATCH("Juniper Raptor I",'MPR Raptor'!$E$3:$E$140,), MATCH("Value",'MPR Raptor'!$E$3:$CM$3,))</f>
        <v>21605090</v>
      </c>
      <c r="U380" s="4">
        <f>INDEX([0]!MPRR, MATCH("Juniper Exposure Raptor I",'MPR Raptor'!$E$3:$E$140,), MATCH("Value",'MPR Raptor'!$E$3:$CM$3,))</f>
        <v>1954995.27</v>
      </c>
      <c r="V380" s="4"/>
      <c r="W380" s="4"/>
      <c r="X380" s="4">
        <f>INDEX([0]!MPRR, MATCH("LSI Warrants Raptor I",'MPR Raptor'!$E$3:$E$140,), MATCH("Value",'MPR Raptor'!$E$3:$CM$3,))</f>
        <v>1374750</v>
      </c>
      <c r="Y380" s="4">
        <f>INDEX([0]!MPRR, MATCH("Oconto Falls Common Raptor I",'MPR Raptor'!$E$3:$E$140,), MATCH("Value",'MPR Raptor'!$E$3:$CM$3,))</f>
        <v>1803840</v>
      </c>
      <c r="Z380" s="4">
        <f>INDEX([0]!MPRR, MATCH("Oconto Falls IPC Raptor I",'MPR Raptor'!$E$3:$E$140,), MATCH("Value",'MPR Raptor'!$E$3:$CM$3,))</f>
        <v>2300803</v>
      </c>
      <c r="AA380" s="4">
        <f>INDEX([0]!MPRR, MATCH("Texland Raptor I",'MPR Raptor'!$E$3:$E$140,), MATCH("Value",'MPR Raptor'!$E$3:$CM$3,))</f>
        <v>9231875</v>
      </c>
      <c r="AB380" s="4">
        <f>INDEX([0]!MPRR, MATCH("Texland Exposure Raptor I",'MPR Raptor'!$E$3:$E$140,), MATCH("Value",'MPR Raptor'!$E$3:$CM$3,))</f>
        <v>1663862.85</v>
      </c>
      <c r="AC380" s="4">
        <f>INDEX([0]!MPRR, MATCH("Vastar Raptor I",'MPR Raptor'!$E$3:$E$140,), MATCH("Value",'MPR Raptor'!$E$3:$CM$3,))</f>
        <v>-2.6193447411060333E-10</v>
      </c>
      <c r="AD380" s="4">
        <f>INDEX([0]!MPRR, MATCH("Vastar Exposure Raptor I",'MPR Raptor'!$E$3:$E$140,), MATCH("Value",'MPR Raptor'!$E$3:$CM$3,))</f>
        <v>162836.32999999999</v>
      </c>
      <c r="AE380" s="4">
        <f>INDEX([0]!MPRR, MATCH("Venoco Convertible Raptor I",'MPR Raptor'!$E$3:$E$140,), MATCH("Value",'MPR Raptor'!$E$3:$CM$3,))</f>
        <v>81210625</v>
      </c>
      <c r="AF380" s="4">
        <f>INDEX([0]!MPRR, MATCH("WB Oil &amp; Gas Raptor I",'MPR Raptor'!$E$3:$E$140,), MATCH("Value",'MPR Raptor'!$E$3:$CM$3,))</f>
        <v>1360000</v>
      </c>
      <c r="AG380" s="4">
        <f>INDEX([0]!MPRR, MATCH("Merlin Credit Derivative Raptor I",'MPR Raptor'!$E$3:$E$140,), MATCH("Value",'MPR Raptor'!$E$3:$CM$3,))</f>
        <v>30637565.036477998</v>
      </c>
    </row>
    <row r="381" spans="1:33" x14ac:dyDescent="0.3">
      <c r="A381" s="260">
        <f>+A379</f>
        <v>36934</v>
      </c>
      <c r="B381" s="4">
        <f>INDEX([0]!MPRR, MATCH("Amerada Hess Exposure Raptor I",'MPR Raptor'!$E$3:$E$140,), MATCH("Asset P&amp;L",'MPR Raptor'!$E$3:$CM$3,))</f>
        <v>0</v>
      </c>
      <c r="C381" s="4">
        <f>INDEX([0]!MPRR, MATCH("Ameritex Raptor I",'MPR Raptor'!$E$3:$E$140,), MATCH("Asset P&amp;L",'MPR Raptor'!$E$3:$CM$3,))</f>
        <v>0</v>
      </c>
      <c r="D381" s="4">
        <f>INDEX([0]!MPRR, MATCH("Basic Energy CFPC Raptor I",'MPR Raptor'!$E$3:$E$140,), MATCH("Asset P&amp;L",'MPR Raptor'!$E$3:$CM$3,))</f>
        <v>0</v>
      </c>
      <c r="E381" s="4"/>
      <c r="F381" s="4"/>
      <c r="G381" s="4"/>
      <c r="H381" s="4">
        <f>INDEX([0]!MPRR, MATCH("City Forest IPC Raptor I",'MPR Raptor'!$E$3:$E$140,), MATCH("Asset P&amp;L",'MPR Raptor'!$E$3:$CM$3,))</f>
        <v>0</v>
      </c>
      <c r="I381" s="4">
        <f>INDEX([0]!MPRR, MATCH("Ecogas Loan Raptor I",'MPR Raptor'!$E$3:$E$140,), MATCH("Asset P&amp;L",'MPR Raptor'!$E$3:$CM$3,))</f>
        <v>0</v>
      </c>
      <c r="J381" s="4"/>
      <c r="K381" s="4">
        <f>INDEX([0]!MPRR, MATCH("Heartland Steel Common Raptor I",'MPR Raptor'!$E$3:$E$140,), MATCH("Asset P&amp;L",'MPR Raptor'!$E$3:$CM$3,))</f>
        <v>0</v>
      </c>
      <c r="L381" s="4">
        <f>INDEX([0]!MPRR, MATCH("Heartland Steel Common Condor Raptor I",'MPR Raptor'!$E$3:$E$140,), MATCH("Asset P&amp;L",'MPR Raptor'!$E$3:$CM$3,))</f>
        <v>0</v>
      </c>
      <c r="M381" s="4">
        <f>INDEX([0]!MPRR, MATCH("Heartland Contingent Construction Loan Raptor I",'MPR Raptor'!$E$3:$E$140,), MATCH("Asset P&amp;L",'MPR Raptor'!$E$3:$CM$3,))</f>
        <v>0</v>
      </c>
      <c r="N381" s="4">
        <f>INDEX([0]!MPRR, MATCH("Heartland Steel Warrants Raptor I",'MPR Raptor'!$E$3:$E$140,), MATCH("Asset P&amp;L",'MPR Raptor'!$E$3:$CM$3,))</f>
        <v>0</v>
      </c>
      <c r="O381" s="4">
        <f>INDEX([0]!MPRR, MATCH("Hughes Rawls Loan Raptor I",'MPR Raptor'!$E$3:$E$140,), MATCH("Asset P&amp;L",'MPR Raptor'!$E$3:$CM$3,))</f>
        <v>0</v>
      </c>
      <c r="P381" s="4">
        <f>INDEX([0]!MPRR, MATCH("Hughes Rawls Note Raptor I",'MPR Raptor'!$E$3:$E$140,), MATCH("Asset P&amp;L",'MPR Raptor'!$E$3:$CM$3,))</f>
        <v>0</v>
      </c>
      <c r="Q381" s="4">
        <f>INDEX([0]!MPRR, MATCH("Hornbeck-Leevac Warrants Raptor I",'MPR Raptor'!$E$3:$E$140,), MATCH("Asset P&amp;L",'MPR Raptor'!$E$3:$CM$3,))</f>
        <v>0</v>
      </c>
      <c r="R381" s="4">
        <f>INDEX([0]!MPRR, MATCH("Industrial Holdings Raptor I",'MPR Raptor'!$E$3:$E$140,), MATCH("Asset P&amp;L",'MPR Raptor'!$E$3:$CM$3,))</f>
        <v>0</v>
      </c>
      <c r="S381" s="4">
        <f>INDEX([0]!MPRR, MATCH("Invasion Energy Raptor I",'MPR Raptor'!$E$3:$E$140,), MATCH("Asset P&amp;L",'MPR Raptor'!$E$3:$CM$3,))</f>
        <v>0</v>
      </c>
      <c r="T381" s="4">
        <f>INDEX([0]!MPRR, MATCH("Juniper Raptor I",'MPR Raptor'!$E$3:$E$140,), MATCH("Asset P&amp;L",'MPR Raptor'!$E$3:$CM$3,))</f>
        <v>0</v>
      </c>
      <c r="U381" s="4">
        <f>INDEX([0]!MPRR, MATCH("Juniper Exposure Raptor I",'MPR Raptor'!$E$3:$E$140,), MATCH("Asset P&amp;L",'MPR Raptor'!$E$3:$CM$3,))</f>
        <v>0</v>
      </c>
      <c r="V381" s="4"/>
      <c r="W381" s="4"/>
      <c r="X381" s="4">
        <f>INDEX([0]!MPRR, MATCH("LSI Warrants Raptor I",'MPR Raptor'!$E$3:$E$140,), MATCH("Asset P&amp;L",'MPR Raptor'!$E$3:$CM$3,))</f>
        <v>0</v>
      </c>
      <c r="Y381" s="4">
        <f>INDEX([0]!MPRR, MATCH("Oconto Falls Common Raptor I",'MPR Raptor'!$E$3:$E$140,), MATCH("Asset P&amp;L",'MPR Raptor'!$E$3:$CM$3,))</f>
        <v>0</v>
      </c>
      <c r="Z381" s="4">
        <f>INDEX([0]!MPRR, MATCH("Oconto Falls IPC Raptor I",'MPR Raptor'!$E$3:$E$140,), MATCH("Asset P&amp;L",'MPR Raptor'!$E$3:$CM$3,))</f>
        <v>0</v>
      </c>
      <c r="AA381" s="4">
        <f>INDEX([0]!MPRR, MATCH("Texland Raptor I",'MPR Raptor'!$E$3:$E$140,), MATCH("Asset P&amp;L",'MPR Raptor'!$E$3:$CM$3,))</f>
        <v>0</v>
      </c>
      <c r="AB381" s="4">
        <f>INDEX([0]!MPRR, MATCH("Texland Exposure Raptor I",'MPR Raptor'!$E$3:$E$140,), MATCH("Asset P&amp;L",'MPR Raptor'!$E$3:$CM$3,))</f>
        <v>0</v>
      </c>
      <c r="AC381" s="4">
        <f>INDEX([0]!MPRR, MATCH("Vastar Raptor I",'MPR Raptor'!$E$3:$E$140,), MATCH("Asset P&amp;L",'MPR Raptor'!$E$3:$CM$3,))</f>
        <v>0</v>
      </c>
      <c r="AD381" s="4">
        <f>INDEX([0]!MPRR, MATCH("Vastar Exposure Raptor I",'MPR Raptor'!$E$3:$E$140,), MATCH("Asset P&amp;L",'MPR Raptor'!$E$3:$CM$3,))</f>
        <v>0</v>
      </c>
      <c r="AE381" s="4">
        <f>INDEX([0]!MPRR, MATCH("Venoco Convertible Raptor I",'MPR Raptor'!$E$3:$E$140,), MATCH("Asset P&amp;L",'MPR Raptor'!$E$3:$CM$3,))</f>
        <v>0</v>
      </c>
      <c r="AF381" s="4">
        <f>INDEX([0]!MPRR, MATCH("WB Oil &amp; Gas Raptor I",'MPR Raptor'!$E$3:$E$140,), MATCH("Asset P&amp;L",'MPR Raptor'!$E$3:$CM$3,))</f>
        <v>0</v>
      </c>
      <c r="AG381" s="4">
        <f>INDEX([0]!MPRR, MATCH("Merlin Credit Derivative Raptor I",'MPR Raptor'!$E$3:$E$140,), MATCH("Asset P&amp;L",'MPR Raptor'!$E$3:$CM$3,))</f>
        <v>0</v>
      </c>
    </row>
    <row r="382" spans="1:33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3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3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3" workbookViewId="0">
      <selection activeCell="D16" sqref="D16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3.09765625" style="7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87</v>
      </c>
    </row>
    <row r="2" spans="1:18" x14ac:dyDescent="0.3">
      <c r="A2" s="7" t="s">
        <v>88</v>
      </c>
      <c r="H2" s="299">
        <f>+Summary!C5</f>
        <v>36934</v>
      </c>
      <c r="I2" s="299"/>
      <c r="J2" s="97"/>
      <c r="L2" s="299">
        <f>H2</f>
        <v>36934</v>
      </c>
      <c r="M2" s="299"/>
      <c r="N2" s="299"/>
      <c r="O2" s="299"/>
      <c r="P2" s="299"/>
    </row>
    <row r="3" spans="1:18" ht="16.2" thickBot="1" x14ac:dyDescent="0.35">
      <c r="H3" s="300" t="s">
        <v>101</v>
      </c>
      <c r="I3" s="300"/>
      <c r="J3" s="98"/>
      <c r="L3" s="300" t="s">
        <v>101</v>
      </c>
      <c r="M3" s="300"/>
      <c r="N3" s="300"/>
      <c r="O3" s="300"/>
      <c r="P3" s="300"/>
    </row>
    <row r="4" spans="1:18" x14ac:dyDescent="0.3">
      <c r="A4" s="294" t="s">
        <v>32</v>
      </c>
      <c r="B4" s="294"/>
      <c r="C4" s="294"/>
      <c r="D4" s="294"/>
      <c r="E4" s="294"/>
      <c r="F4" s="294"/>
      <c r="H4" s="118" t="s">
        <v>102</v>
      </c>
      <c r="I4" s="119"/>
      <c r="J4" s="13"/>
    </row>
    <row r="5" spans="1:18" ht="16.2" thickBot="1" x14ac:dyDescent="0.35">
      <c r="A5" s="295" t="s">
        <v>33</v>
      </c>
      <c r="B5" s="295"/>
      <c r="D5" s="295" t="s">
        <v>34</v>
      </c>
      <c r="E5" s="295"/>
      <c r="H5" s="120" t="s">
        <v>103</v>
      </c>
      <c r="I5" s="131">
        <f>+VLOOKUP(+Summary!C5,ene,2)</f>
        <v>79.8</v>
      </c>
      <c r="J5" s="13"/>
      <c r="L5" s="294" t="s">
        <v>123</v>
      </c>
      <c r="M5" s="294"/>
      <c r="N5" s="294"/>
      <c r="O5" s="294"/>
      <c r="P5" s="294"/>
      <c r="Q5" s="98"/>
    </row>
    <row r="6" spans="1:18" x14ac:dyDescent="0.3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+'Cash-Int-Trans'!H64</f>
        <v>5.9400000000000001E-2</v>
      </c>
      <c r="J6" s="13"/>
      <c r="L6" s="94" t="s">
        <v>147</v>
      </c>
      <c r="M6" s="99">
        <f>H2</f>
        <v>36934</v>
      </c>
      <c r="N6" s="100"/>
      <c r="O6" s="100"/>
      <c r="P6" s="100"/>
      <c r="Q6" s="101"/>
    </row>
    <row r="7" spans="1:18" ht="16.2" thickBot="1" x14ac:dyDescent="0.35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1" t="s">
        <v>162</v>
      </c>
      <c r="I7" s="302"/>
      <c r="J7" s="13"/>
      <c r="L7" s="295" t="s">
        <v>33</v>
      </c>
      <c r="M7" s="295"/>
      <c r="O7" s="295" t="s">
        <v>34</v>
      </c>
      <c r="P7" s="295"/>
    </row>
    <row r="8" spans="1:18" x14ac:dyDescent="0.3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+'Cash-Int-Trans'!B47</f>
        <v>40795469.173593938</v>
      </c>
      <c r="O8" s="7" t="s">
        <v>111</v>
      </c>
      <c r="P8" s="7">
        <f>+E6-'Cash-Int-Trans'!B4+'Cash-Int-Trans'!B9</f>
        <v>0</v>
      </c>
      <c r="Q8" s="17" t="str">
        <f>IF(P8&lt;&gt;0,"Not OK Check Put Value Table", "OK")</f>
        <v>OK</v>
      </c>
    </row>
    <row r="9" spans="1:18" x14ac:dyDescent="0.3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+'Cash-Int-Trans'!B12-'Cash-Int-Trans'!B5</f>
        <v>30637565.039999999</v>
      </c>
    </row>
    <row r="10" spans="1:18" x14ac:dyDescent="0.3">
      <c r="D10" s="7" t="s">
        <v>4</v>
      </c>
      <c r="E10" s="7">
        <v>1000</v>
      </c>
      <c r="H10" s="298" t="s">
        <v>105</v>
      </c>
      <c r="I10" s="298"/>
      <c r="J10" s="13"/>
      <c r="L10" s="7" t="s">
        <v>41</v>
      </c>
      <c r="M10" s="7">
        <f>B8+I15</f>
        <v>401211798.63013697</v>
      </c>
      <c r="N10" s="18"/>
      <c r="O10" s="7" t="s">
        <v>121</v>
      </c>
      <c r="P10" s="7">
        <f>IF(I20&gt;0,0,-I20)</f>
        <v>337903157.74353784</v>
      </c>
    </row>
    <row r="11" spans="1:18" ht="16.2" thickBot="1" x14ac:dyDescent="0.35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36934</v>
      </c>
      <c r="J11" s="13"/>
      <c r="L11" s="7" t="s">
        <v>45</v>
      </c>
      <c r="M11" s="7">
        <f>+Amort!B28</f>
        <v>1302777.7777777778</v>
      </c>
      <c r="O11" s="7" t="s">
        <v>496</v>
      </c>
      <c r="P11" s="7">
        <f>IF(I19&lt;0,-I19,0)</f>
        <v>0</v>
      </c>
      <c r="R11" s="3"/>
    </row>
    <row r="12" spans="1:18" ht="16.2" thickTop="1" x14ac:dyDescent="0.3">
      <c r="H12" s="13" t="s">
        <v>117</v>
      </c>
      <c r="I12" s="16">
        <f>+'Cash-Int-Trans'!B7</f>
        <v>42462896.960000001</v>
      </c>
      <c r="J12" s="29" t="s">
        <v>91</v>
      </c>
      <c r="O12" s="7" t="s">
        <v>39</v>
      </c>
      <c r="P12" s="7">
        <f>E7-I16+'Cash-Int-Trans'!B10+'Cash-Int-Trans'!B13-I21</f>
        <v>464538047.97273451</v>
      </c>
    </row>
    <row r="13" spans="1:18" x14ac:dyDescent="0.3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+'Cash-Int-Trans'!B50</f>
        <v>3180580.2847050373</v>
      </c>
      <c r="J13" s="29"/>
      <c r="L13" s="7" t="s">
        <v>497</v>
      </c>
      <c r="M13" s="7">
        <f>IF(I19&gt;0,I19,0)</f>
        <v>9139116.0000000224</v>
      </c>
      <c r="O13" s="7" t="s">
        <v>43</v>
      </c>
      <c r="P13" s="7">
        <f>IF(+I23+I35+'Cash-Int-Trans'!D28-'Cash-Int-Trans'!D27&gt;'Cash-Int-Trans'!D28,'Cash-Int-Trans'!D28,IF(+I23+I35+'Cash-Int-Trans'!D28&lt;0,0,+I23+I35+'Cash-Int-Trans'!D28-'Cash-Int-Trans'!D27))</f>
        <v>0</v>
      </c>
      <c r="Q13" s="108" t="s">
        <v>156</v>
      </c>
    </row>
    <row r="14" spans="1:18" x14ac:dyDescent="0.3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482</v>
      </c>
      <c r="I14" s="16">
        <f>+Amort!B29</f>
        <v>2916666.666666667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-330629609.17476362</v>
      </c>
    </row>
    <row r="15" spans="1:18" ht="16.2" thickBot="1" x14ac:dyDescent="0.35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481</v>
      </c>
      <c r="I15" s="16">
        <f>-B17*A35/(3*365)</f>
        <v>51211798.630136989</v>
      </c>
      <c r="J15" s="33" t="s">
        <v>59</v>
      </c>
      <c r="L15" s="92" t="s">
        <v>7</v>
      </c>
      <c r="M15" s="12">
        <f>SUM(M8:M14)</f>
        <v>502449161.5815087</v>
      </c>
      <c r="N15" s="20"/>
      <c r="O15" s="92" t="s">
        <v>7</v>
      </c>
      <c r="P15" s="12">
        <f>SUM(P8:P14)</f>
        <v>502449161.5815087</v>
      </c>
      <c r="Q15" s="107" t="s">
        <v>155</v>
      </c>
    </row>
    <row r="16" spans="1:18" ht="16.2" thickTop="1" x14ac:dyDescent="0.3">
      <c r="A16" s="7" t="s">
        <v>53</v>
      </c>
      <c r="B16" s="7">
        <f>SUM(B14:B15)</f>
        <v>536923065</v>
      </c>
      <c r="D16" s="7">
        <f>+D14+D15</f>
        <v>7615930</v>
      </c>
      <c r="H16" s="13" t="s">
        <v>447</v>
      </c>
      <c r="I16" s="40">
        <f>-'Cash-Int-Trans'!B71</f>
        <v>-22810774.4003358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76961168.141172886</v>
      </c>
    </row>
    <row r="18" spans="1:20" ht="16.2" thickBot="1" x14ac:dyDescent="0.35">
      <c r="A18" s="7" t="s">
        <v>58</v>
      </c>
      <c r="B18" s="12">
        <f>B16+B17</f>
        <v>350000000</v>
      </c>
      <c r="C18" s="18" t="s">
        <v>42</v>
      </c>
      <c r="L18" s="234" t="s">
        <v>50</v>
      </c>
      <c r="M18" s="233"/>
      <c r="N18" s="233"/>
      <c r="O18" s="233"/>
      <c r="P18" s="233"/>
    </row>
    <row r="19" spans="1:20" ht="16.2" thickTop="1" x14ac:dyDescent="0.3">
      <c r="H19" s="7" t="s">
        <v>495</v>
      </c>
      <c r="I19" s="7">
        <f>IF(I5&lt;81,(81-I5)*(D14+D15),IF(I5&gt;116,(116-I5)*(+D14+D15),0))</f>
        <v>9139116.0000000224</v>
      </c>
      <c r="J19" s="13"/>
      <c r="L19" s="235" t="s">
        <v>525</v>
      </c>
      <c r="M19" s="7">
        <f>+E9+I33</f>
        <v>36000000</v>
      </c>
      <c r="N19" s="7" t="s">
        <v>526</v>
      </c>
      <c r="P19" s="7">
        <f>+M19/0.0302</f>
        <v>1192052980.1324503</v>
      </c>
      <c r="T19" s="236"/>
    </row>
    <row r="20" spans="1:20" ht="16.2" thickBot="1" x14ac:dyDescent="0.35">
      <c r="A20" s="296" t="s">
        <v>62</v>
      </c>
      <c r="B20" s="296"/>
      <c r="C20" s="296"/>
      <c r="D20" s="296"/>
      <c r="E20" s="296"/>
      <c r="H20" s="7" t="s">
        <v>119</v>
      </c>
      <c r="I20" s="7">
        <f>+'Daily Position'!P59</f>
        <v>-337903157.74353784</v>
      </c>
      <c r="M20" s="93"/>
      <c r="N20" s="104" t="s">
        <v>527</v>
      </c>
      <c r="O20" s="93"/>
      <c r="P20" s="27">
        <f>-B11</f>
        <v>-471001000</v>
      </c>
    </row>
    <row r="21" spans="1:20" x14ac:dyDescent="0.3">
      <c r="A21" s="297" t="s">
        <v>52</v>
      </c>
      <c r="B21" s="297"/>
      <c r="E21" s="7">
        <f>B11</f>
        <v>471001000</v>
      </c>
      <c r="F21" s="34" t="s">
        <v>46</v>
      </c>
      <c r="H21" s="7" t="s">
        <v>120</v>
      </c>
      <c r="I21" s="27">
        <f>+'Daily Position'!Q59</f>
        <v>-73827735.572398722</v>
      </c>
      <c r="J21" s="13"/>
      <c r="K21" s="7"/>
      <c r="M21" s="93"/>
      <c r="N21" s="104" t="s">
        <v>528</v>
      </c>
      <c r="O21" s="93"/>
      <c r="P21" s="13">
        <f>+P19+P20</f>
        <v>721051980.13245034</v>
      </c>
    </row>
    <row r="22" spans="1:20" x14ac:dyDescent="0.3">
      <c r="A22" s="7" t="s">
        <v>64</v>
      </c>
      <c r="B22" s="7" t="s">
        <v>16</v>
      </c>
      <c r="D22" s="7">
        <v>7171418</v>
      </c>
      <c r="H22"/>
      <c r="I22" s="36">
        <f>SUM(I19:I21)</f>
        <v>-402591777.31593657</v>
      </c>
      <c r="J22" s="13"/>
      <c r="K22" s="7"/>
      <c r="N22" s="7" t="s">
        <v>529</v>
      </c>
      <c r="P22" s="7">
        <f>-'Daily Position'!I65</f>
        <v>-625525845.66775024</v>
      </c>
    </row>
    <row r="23" spans="1:20" ht="16.2" thickBot="1" x14ac:dyDescent="0.35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-325630609.17476368</v>
      </c>
      <c r="J23" s="39" t="s">
        <v>66</v>
      </c>
      <c r="N23" s="7" t="s">
        <v>522</v>
      </c>
      <c r="P23" s="277">
        <f>+'Daily Position'!Q61</f>
        <v>-74791624.710549891</v>
      </c>
    </row>
    <row r="24" spans="1:20" ht="16.2" thickTop="1" x14ac:dyDescent="0.3">
      <c r="A24" s="7" t="s">
        <v>70</v>
      </c>
      <c r="E24" s="7">
        <f>SUM(E21:E23)</f>
        <v>883357535</v>
      </c>
      <c r="H24" s="13"/>
      <c r="I24" s="16"/>
      <c r="J24" s="13"/>
      <c r="P24" s="13"/>
    </row>
    <row r="25" spans="1:20" x14ac:dyDescent="0.3">
      <c r="A25" s="7" t="s">
        <v>71</v>
      </c>
      <c r="E25" s="27">
        <f>E6</f>
        <v>41000000</v>
      </c>
      <c r="F25" s="15" t="s">
        <v>37</v>
      </c>
      <c r="H25" s="298" t="s">
        <v>106</v>
      </c>
      <c r="I25" s="298"/>
      <c r="J25" s="13"/>
      <c r="N25" s="7" t="s">
        <v>530</v>
      </c>
      <c r="P25" s="7">
        <f>+P21+P22+P23</f>
        <v>20734509.754150212</v>
      </c>
    </row>
    <row r="26" spans="1:20" x14ac:dyDescent="0.3">
      <c r="E26" s="7">
        <f>E24-E25</f>
        <v>842357535</v>
      </c>
      <c r="H26" s="13" t="s">
        <v>72</v>
      </c>
      <c r="I26" s="16"/>
      <c r="J26" s="13"/>
      <c r="K26" s="7"/>
      <c r="L26" s="13"/>
      <c r="M26" s="13"/>
      <c r="N26" s="13"/>
      <c r="O26" s="13"/>
      <c r="P26" s="13"/>
    </row>
    <row r="27" spans="1:20" x14ac:dyDescent="0.3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3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3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3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3">
      <c r="H31" s="13" t="s">
        <v>499</v>
      </c>
      <c r="I31" s="16">
        <f>I23</f>
        <v>-325630609.17476368</v>
      </c>
      <c r="J31" s="39" t="s">
        <v>66</v>
      </c>
      <c r="L31" s="7" t="s">
        <v>73</v>
      </c>
      <c r="M31" s="7">
        <f>E9+'Cash-Int-Trans'!B17</f>
        <v>36000000</v>
      </c>
    </row>
    <row r="32" spans="1:20" ht="16.2" thickBot="1" x14ac:dyDescent="0.35">
      <c r="A32" s="44" t="s">
        <v>149</v>
      </c>
      <c r="B32" s="45"/>
      <c r="H32" s="13" t="s">
        <v>498</v>
      </c>
      <c r="I32" s="16">
        <f>(D14+D15)*(I5-E14)</f>
        <v>70828148.999999985</v>
      </c>
      <c r="J32" s="39"/>
      <c r="L32" s="7" t="s">
        <v>75</v>
      </c>
      <c r="M32" s="27">
        <f>E10</f>
        <v>1000</v>
      </c>
    </row>
    <row r="33" spans="1:17" x14ac:dyDescent="0.3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+'Cash-Int-Trans'!B17</f>
        <v>6000000</v>
      </c>
      <c r="M33" s="7">
        <f>SUM(M31:M32)</f>
        <v>36001000</v>
      </c>
    </row>
    <row r="34" spans="1:17" x14ac:dyDescent="0.3">
      <c r="A34" s="49">
        <f>+Summary!C5</f>
        <v>36934</v>
      </c>
      <c r="B34" s="13" t="s">
        <v>84</v>
      </c>
      <c r="C34"/>
      <c r="D34"/>
      <c r="E34"/>
      <c r="H34" s="13" t="s">
        <v>150</v>
      </c>
      <c r="I34" s="16">
        <f>-I15</f>
        <v>-51211798.630136989</v>
      </c>
      <c r="J34" s="33" t="s">
        <v>59</v>
      </c>
      <c r="L34" s="7" t="s">
        <v>78</v>
      </c>
      <c r="M34" s="7">
        <f>I23</f>
        <v>-325630609.17476368</v>
      </c>
    </row>
    <row r="35" spans="1:17" ht="16.2" thickBot="1" x14ac:dyDescent="0.35">
      <c r="A35" s="50">
        <f>A34-A33</f>
        <v>300</v>
      </c>
      <c r="B35" s="13" t="s">
        <v>85</v>
      </c>
      <c r="C35"/>
      <c r="D35"/>
      <c r="E35"/>
      <c r="H35" s="13" t="s">
        <v>151</v>
      </c>
      <c r="I35" s="16">
        <f>+'Cash-Int-Trans'!B16</f>
        <v>-41000000</v>
      </c>
      <c r="J35" s="42"/>
      <c r="L35" s="7" t="s">
        <v>79</v>
      </c>
      <c r="M35" s="27">
        <f>I35</f>
        <v>-41000000</v>
      </c>
    </row>
    <row r="36" spans="1:17" ht="16.2" thickBot="1" x14ac:dyDescent="0.35">
      <c r="A36"/>
      <c r="B36"/>
      <c r="C36"/>
      <c r="D36"/>
      <c r="E36"/>
      <c r="H36" s="37" t="s">
        <v>107</v>
      </c>
      <c r="I36" s="38">
        <f>SUM(I29:I35)</f>
        <v>-124091193.80490068</v>
      </c>
      <c r="J36" s="13"/>
      <c r="L36" s="7" t="s">
        <v>80</v>
      </c>
      <c r="M36" s="7">
        <f>SUM(M33:M35)</f>
        <v>-330629609.17476368</v>
      </c>
    </row>
    <row r="37" spans="1:17" ht="16.5" customHeight="1" thickTop="1" x14ac:dyDescent="0.3">
      <c r="A37"/>
      <c r="B37"/>
      <c r="C37"/>
      <c r="D37"/>
      <c r="E37"/>
      <c r="H37" s="7" t="s">
        <v>494</v>
      </c>
      <c r="K37" s="7"/>
      <c r="L37" s="7" t="s">
        <v>157</v>
      </c>
      <c r="M37" s="7">
        <f>P13</f>
        <v>0</v>
      </c>
    </row>
    <row r="38" spans="1:17" ht="15.75" customHeight="1" x14ac:dyDescent="0.3">
      <c r="A38"/>
      <c r="B38"/>
      <c r="C38"/>
      <c r="D38"/>
      <c r="E38"/>
      <c r="K38" s="7"/>
      <c r="L38" s="7" t="s">
        <v>158</v>
      </c>
      <c r="M38" s="27">
        <f>P14</f>
        <v>-330629609.17476362</v>
      </c>
    </row>
    <row r="39" spans="1:17" ht="15.75" customHeight="1" x14ac:dyDescent="0.3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3">
      <c r="A40"/>
      <c r="B40"/>
      <c r="C40"/>
      <c r="D40"/>
      <c r="E40"/>
      <c r="L40" s="7" t="s">
        <v>152</v>
      </c>
      <c r="M40" s="7">
        <f>ROUND(M36-SUM(M37:M38),0)</f>
        <v>0</v>
      </c>
      <c r="N40" s="106" t="str">
        <f>IF(M40=0,"OK","Not OK")</f>
        <v>OK</v>
      </c>
    </row>
    <row r="41" spans="1:17" x14ac:dyDescent="0.3">
      <c r="A41"/>
      <c r="B41"/>
      <c r="C41"/>
      <c r="D41"/>
      <c r="E41"/>
      <c r="I41" s="7"/>
    </row>
    <row r="42" spans="1:17" x14ac:dyDescent="0.3">
      <c r="A42"/>
      <c r="B42"/>
      <c r="C42"/>
      <c r="D42"/>
      <c r="E42"/>
      <c r="I42" s="7"/>
    </row>
    <row r="43" spans="1:17" x14ac:dyDescent="0.3">
      <c r="A43"/>
      <c r="B43"/>
      <c r="C43"/>
      <c r="D43"/>
      <c r="E43"/>
      <c r="I43" s="7"/>
      <c r="L43" s="234" t="s">
        <v>50</v>
      </c>
      <c r="M43" s="233"/>
      <c r="N43" s="233"/>
      <c r="O43" s="233"/>
      <c r="P43" s="233"/>
      <c r="Q43" s="16"/>
    </row>
    <row r="44" spans="1:17" x14ac:dyDescent="0.3">
      <c r="A44"/>
      <c r="B44"/>
      <c r="C44"/>
      <c r="D44"/>
      <c r="E44"/>
      <c r="F44" s="7"/>
      <c r="H44" s="8"/>
      <c r="L44" s="235" t="s">
        <v>52</v>
      </c>
      <c r="M44" s="235"/>
      <c r="P44" s="7">
        <f>M15</f>
        <v>502449161.5815087</v>
      </c>
      <c r="Q44" s="107" t="s">
        <v>155</v>
      </c>
    </row>
    <row r="45" spans="1:17" x14ac:dyDescent="0.3">
      <c r="A45"/>
      <c r="B45"/>
      <c r="C45"/>
      <c r="D45"/>
      <c r="E45"/>
      <c r="F45" s="7"/>
      <c r="I45" s="7"/>
      <c r="L45" s="7" t="s">
        <v>475</v>
      </c>
      <c r="M45" s="93">
        <f>+'Daily Position'!I47</f>
        <v>93746590</v>
      </c>
      <c r="N45" s="93"/>
      <c r="O45" s="93">
        <f>-P9</f>
        <v>-30637565.039999999</v>
      </c>
      <c r="P45" s="7">
        <f>+M45+O45</f>
        <v>63109024.960000001</v>
      </c>
    </row>
    <row r="46" spans="1:17" x14ac:dyDescent="0.3">
      <c r="A46"/>
      <c r="B46"/>
      <c r="C46"/>
      <c r="D46"/>
      <c r="E46"/>
      <c r="F46" s="7"/>
      <c r="I46" s="7"/>
      <c r="L46" s="7" t="s">
        <v>154</v>
      </c>
      <c r="M46" s="93">
        <f>+'Daily Position'!I59-M45</f>
        <v>639935139.07000005</v>
      </c>
      <c r="N46" s="93"/>
      <c r="O46" s="93">
        <f>-P10</f>
        <v>-337903157.74353784</v>
      </c>
      <c r="P46" s="27">
        <f>+M46+O46</f>
        <v>302031981.32646221</v>
      </c>
    </row>
    <row r="47" spans="1:17" x14ac:dyDescent="0.3">
      <c r="A47"/>
      <c r="B47"/>
      <c r="C47"/>
      <c r="D47"/>
      <c r="E47"/>
      <c r="F47" s="7"/>
      <c r="I47" s="7"/>
      <c r="L47" s="7" t="s">
        <v>153</v>
      </c>
      <c r="P47" s="7">
        <f>+P44+P45+P46</f>
        <v>867590167.86797094</v>
      </c>
    </row>
    <row r="48" spans="1:17" x14ac:dyDescent="0.3">
      <c r="A48"/>
      <c r="B48"/>
      <c r="C48"/>
      <c r="D48"/>
      <c r="E48"/>
      <c r="F48" s="7"/>
      <c r="I48" s="7"/>
      <c r="L48" s="7" t="s">
        <v>54</v>
      </c>
      <c r="P48" s="30">
        <f>E27</f>
        <v>3.0200000000000001E-2</v>
      </c>
    </row>
    <row r="49" spans="1:17" x14ac:dyDescent="0.3">
      <c r="A49"/>
      <c r="B49"/>
      <c r="C49"/>
      <c r="D49"/>
      <c r="E49"/>
      <c r="F49" s="7"/>
      <c r="I49" s="7"/>
      <c r="L49" s="7" t="s">
        <v>57</v>
      </c>
      <c r="P49" s="7">
        <f>P47*P48</f>
        <v>26201223.069612723</v>
      </c>
    </row>
    <row r="50" spans="1:17" x14ac:dyDescent="0.3">
      <c r="A50"/>
      <c r="B50"/>
      <c r="C50"/>
      <c r="D50"/>
      <c r="E50"/>
      <c r="F50" s="7"/>
      <c r="I50" s="7"/>
      <c r="L50" s="7" t="s">
        <v>60</v>
      </c>
      <c r="P50" s="7">
        <f>P13</f>
        <v>0</v>
      </c>
      <c r="Q50" s="108" t="s">
        <v>156</v>
      </c>
    </row>
    <row r="51" spans="1:17" x14ac:dyDescent="0.3">
      <c r="A51"/>
      <c r="B51"/>
      <c r="C51"/>
      <c r="D51"/>
      <c r="E51"/>
      <c r="F51" s="7"/>
      <c r="I51" s="7"/>
      <c r="L51" s="35" t="s">
        <v>61</v>
      </c>
      <c r="M51" s="36"/>
      <c r="N51" s="36"/>
      <c r="O51" s="36"/>
      <c r="P51" s="109" t="str">
        <f>IF(P50&gt;=P49,"Test Passed","Test Failed")</f>
        <v>Test Failed</v>
      </c>
      <c r="Q51" s="108"/>
    </row>
    <row r="52" spans="1:17" x14ac:dyDescent="0.3">
      <c r="A52"/>
      <c r="B52"/>
      <c r="C52"/>
      <c r="D52"/>
      <c r="E52"/>
      <c r="F52" s="7"/>
      <c r="I52" s="7"/>
      <c r="L52" s="13" t="s">
        <v>63</v>
      </c>
      <c r="M52" s="13"/>
      <c r="N52" s="13"/>
      <c r="O52" s="13"/>
      <c r="P52" s="13">
        <f>P50-P49</f>
        <v>-26201223.069612723</v>
      </c>
    </row>
    <row r="53" spans="1:17" x14ac:dyDescent="0.3">
      <c r="A53"/>
      <c r="B53"/>
      <c r="C53"/>
      <c r="D53"/>
      <c r="E53"/>
      <c r="F53" s="7"/>
      <c r="I53" s="7"/>
      <c r="L53" s="37" t="s">
        <v>116</v>
      </c>
      <c r="M53" s="37"/>
      <c r="N53" s="37"/>
      <c r="O53" s="37"/>
      <c r="P53" s="37">
        <f>IF(P52&lt;0,0,P52/P48)</f>
        <v>0</v>
      </c>
    </row>
    <row r="54" spans="1:17" x14ac:dyDescent="0.3">
      <c r="A54"/>
      <c r="B54"/>
      <c r="C54"/>
      <c r="D54"/>
      <c r="E54"/>
      <c r="F54" s="7"/>
      <c r="I54" s="7"/>
    </row>
    <row r="55" spans="1:17" x14ac:dyDescent="0.3">
      <c r="A55"/>
      <c r="B55"/>
      <c r="C55"/>
      <c r="D55"/>
      <c r="E55"/>
      <c r="I55" s="7"/>
    </row>
    <row r="56" spans="1:17" x14ac:dyDescent="0.3">
      <c r="A56"/>
      <c r="B56"/>
      <c r="C56"/>
      <c r="D56"/>
      <c r="E56"/>
    </row>
    <row r="57" spans="1:17" x14ac:dyDescent="0.3">
      <c r="A57"/>
      <c r="B57"/>
      <c r="C57"/>
      <c r="D57"/>
      <c r="E57"/>
    </row>
    <row r="58" spans="1:17" x14ac:dyDescent="0.3">
      <c r="A58"/>
      <c r="B58"/>
      <c r="C58"/>
      <c r="D58"/>
      <c r="E58"/>
    </row>
    <row r="59" spans="1:17" x14ac:dyDescent="0.3">
      <c r="A59"/>
      <c r="B59"/>
      <c r="C59"/>
      <c r="D59"/>
      <c r="E59"/>
    </row>
    <row r="60" spans="1:17" x14ac:dyDescent="0.3">
      <c r="A60"/>
      <c r="B60"/>
      <c r="C60"/>
      <c r="D60"/>
      <c r="E60"/>
    </row>
    <row r="61" spans="1:17" x14ac:dyDescent="0.3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18"/>
  <sheetViews>
    <sheetView showGridLines="0" workbookViewId="0">
      <selection activeCell="B71" sqref="B71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  <col min="7" max="7" width="10.5" customWidth="1"/>
  </cols>
  <sheetData>
    <row r="1" spans="1:4" ht="16.2" thickBot="1" x14ac:dyDescent="0.35">
      <c r="A1" s="305" t="s">
        <v>113</v>
      </c>
      <c r="B1" s="305"/>
    </row>
    <row r="3" spans="1:4" x14ac:dyDescent="0.3">
      <c r="A3" s="13" t="s">
        <v>125</v>
      </c>
      <c r="B3" s="14"/>
      <c r="C3" s="7"/>
    </row>
    <row r="4" spans="1:4" x14ac:dyDescent="0.3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3">
      <c r="A5" s="8" t="s">
        <v>552</v>
      </c>
      <c r="B5" s="16">
        <f>IF(Summary!C5&lt;'Cash-Int-Trans'!D5,0,36066314-30637565.04)</f>
        <v>5428748.9600000009</v>
      </c>
      <c r="C5" s="7"/>
      <c r="D5" s="1">
        <v>36910</v>
      </c>
    </row>
    <row r="6" spans="1:4" x14ac:dyDescent="0.3">
      <c r="A6" s="7"/>
      <c r="B6" s="14"/>
      <c r="C6" s="7"/>
    </row>
    <row r="7" spans="1:4" ht="16.2" thickBot="1" x14ac:dyDescent="0.35">
      <c r="A7" s="7" t="s">
        <v>90</v>
      </c>
      <c r="B7" s="268">
        <f>SUM(B3:B6)</f>
        <v>42462896.960000001</v>
      </c>
      <c r="C7" s="29" t="s">
        <v>91</v>
      </c>
    </row>
    <row r="8" spans="1:4" ht="16.2" thickTop="1" x14ac:dyDescent="0.3">
      <c r="A8" s="7"/>
      <c r="B8" s="14"/>
      <c r="C8" s="7"/>
    </row>
    <row r="9" spans="1:4" x14ac:dyDescent="0.3">
      <c r="A9" s="7" t="s">
        <v>99</v>
      </c>
      <c r="B9" s="14">
        <f>IF(Summary!C5&lt;'Cash-Int-Trans'!D9,0,-Financials!E6+B4)</f>
        <v>-3965852</v>
      </c>
      <c r="C9" s="7"/>
      <c r="D9" s="1">
        <v>36741</v>
      </c>
    </row>
    <row r="10" spans="1:4" x14ac:dyDescent="0.3">
      <c r="A10" s="7" t="s">
        <v>483</v>
      </c>
      <c r="B10" s="14">
        <f>-B9</f>
        <v>3965852</v>
      </c>
      <c r="C10" s="7"/>
      <c r="D10" s="1">
        <f>+D9</f>
        <v>36741</v>
      </c>
    </row>
    <row r="11" spans="1:4" x14ac:dyDescent="0.3">
      <c r="A11" s="7"/>
      <c r="B11" s="7"/>
      <c r="C11" s="7"/>
    </row>
    <row r="12" spans="1:4" x14ac:dyDescent="0.3">
      <c r="A12" s="7" t="s">
        <v>476</v>
      </c>
      <c r="B12" s="14">
        <f>IF(Summary!C5&lt;'Cash-Int-Trans'!D12,0,36066314)</f>
        <v>36066314</v>
      </c>
      <c r="C12" s="7"/>
      <c r="D12" s="1">
        <v>36741</v>
      </c>
    </row>
    <row r="13" spans="1:4" x14ac:dyDescent="0.3">
      <c r="A13" s="7" t="s">
        <v>478</v>
      </c>
      <c r="B13" s="14">
        <f>-B12</f>
        <v>-36066314</v>
      </c>
      <c r="C13" s="7"/>
      <c r="D13" s="1">
        <f>+D12</f>
        <v>36741</v>
      </c>
    </row>
    <row r="14" spans="1:4" x14ac:dyDescent="0.3">
      <c r="A14" s="7"/>
      <c r="B14" s="7"/>
      <c r="C14" s="7"/>
    </row>
    <row r="15" spans="1:4" x14ac:dyDescent="0.3">
      <c r="A15" s="7" t="s">
        <v>100</v>
      </c>
      <c r="B15" s="14"/>
      <c r="C15" s="7"/>
    </row>
    <row r="16" spans="1:4" x14ac:dyDescent="0.3">
      <c r="A16" s="7" t="s">
        <v>484</v>
      </c>
      <c r="B16" s="14">
        <f>IF(Summary!C5&lt;'Cash-Int-Trans'!D16,0,-41000000)</f>
        <v>-41000000</v>
      </c>
      <c r="C16" s="7"/>
      <c r="D16" s="1">
        <v>36741</v>
      </c>
    </row>
    <row r="17" spans="1:6" x14ac:dyDescent="0.3">
      <c r="A17" s="7" t="s">
        <v>485</v>
      </c>
      <c r="B17" s="14">
        <f>IF(Summary!$C$5&lt;'Cash-Int-Trans'!D17,0,6000000)</f>
        <v>6000000</v>
      </c>
      <c r="C17" s="7"/>
      <c r="D17" s="1">
        <v>36741</v>
      </c>
    </row>
    <row r="18" spans="1:6" x14ac:dyDescent="0.3">
      <c r="A18" s="7"/>
      <c r="B18" s="14"/>
      <c r="C18" s="7"/>
      <c r="D18" s="1"/>
    </row>
    <row r="19" spans="1:6" x14ac:dyDescent="0.3">
      <c r="A19" s="7" t="s">
        <v>489</v>
      </c>
      <c r="B19" s="14">
        <f>IF(Summary!$C$5&lt;'Cash-Int-Trans'!D19,0,-Amort!D11)</f>
        <v>-1613888.888888889</v>
      </c>
      <c r="C19" s="7"/>
      <c r="D19" s="1">
        <v>36800</v>
      </c>
    </row>
    <row r="20" spans="1:6" x14ac:dyDescent="0.3">
      <c r="A20" s="7" t="s">
        <v>488</v>
      </c>
      <c r="B20" s="14">
        <f>-B19</f>
        <v>1613888.888888889</v>
      </c>
      <c r="C20" s="7"/>
      <c r="D20" s="1">
        <f>+D19</f>
        <v>36800</v>
      </c>
    </row>
    <row r="21" spans="1:6" x14ac:dyDescent="0.3">
      <c r="A21" s="7"/>
      <c r="B21" s="14"/>
      <c r="C21" s="7"/>
    </row>
    <row r="22" spans="1:6" ht="16.2" thickBot="1" x14ac:dyDescent="0.35">
      <c r="A22" s="305" t="s">
        <v>448</v>
      </c>
      <c r="B22" s="305"/>
      <c r="C22" s="305"/>
      <c r="D22" s="305"/>
      <c r="E22" s="305"/>
      <c r="F22" s="305"/>
    </row>
    <row r="24" spans="1:6" x14ac:dyDescent="0.3">
      <c r="A24" t="s">
        <v>129</v>
      </c>
      <c r="B24" s="1">
        <f>+Summary!C5</f>
        <v>36934</v>
      </c>
    </row>
    <row r="25" spans="1:6" x14ac:dyDescent="0.3">
      <c r="A25" t="s">
        <v>449</v>
      </c>
      <c r="B25" s="1">
        <v>36634</v>
      </c>
      <c r="D25" s="4">
        <f>IF(B24&gt;(B25-1),30000000,0)</f>
        <v>30000000</v>
      </c>
    </row>
    <row r="26" spans="1:6" x14ac:dyDescent="0.3">
      <c r="A26" t="s">
        <v>450</v>
      </c>
      <c r="B26" s="1">
        <v>36741</v>
      </c>
      <c r="D26" s="4">
        <f>IF(B24&gt;(B26-1),6000000,0)</f>
        <v>6000000</v>
      </c>
    </row>
    <row r="27" spans="1:6" ht="17.399999999999999" x14ac:dyDescent="0.45">
      <c r="A27" t="s">
        <v>451</v>
      </c>
      <c r="B27" s="1">
        <f>+Summary!C5</f>
        <v>36934</v>
      </c>
      <c r="D27" s="219">
        <f>IF(B27&gt;B26,+(+B27-B26)/365*0.12*D26,0)</f>
        <v>380712.32876712334</v>
      </c>
    </row>
    <row r="28" spans="1:6" x14ac:dyDescent="0.3">
      <c r="A28" t="s">
        <v>452</v>
      </c>
      <c r="D28" s="5">
        <f>SUM(D25:D27)</f>
        <v>36380712.328767121</v>
      </c>
    </row>
    <row r="29" spans="1:6" x14ac:dyDescent="0.3">
      <c r="A29" s="7"/>
      <c r="B29" s="14"/>
      <c r="C29" s="7"/>
    </row>
    <row r="30" spans="1:6" ht="16.2" thickBot="1" x14ac:dyDescent="0.35">
      <c r="A30" s="305" t="s">
        <v>108</v>
      </c>
      <c r="B30" s="305"/>
    </row>
    <row r="32" spans="1:6" x14ac:dyDescent="0.3">
      <c r="A32" t="s">
        <v>27</v>
      </c>
      <c r="B32" s="7">
        <f>+Financials!B6</f>
        <v>71001000</v>
      </c>
      <c r="D32" s="1">
        <v>36634</v>
      </c>
    </row>
    <row r="34" spans="1:5" x14ac:dyDescent="0.3">
      <c r="A34" t="s">
        <v>109</v>
      </c>
      <c r="B34" s="7">
        <f>+Financials!I23</f>
        <v>-325630609.17476368</v>
      </c>
    </row>
    <row r="35" spans="1:5" x14ac:dyDescent="0.3">
      <c r="A35" t="s">
        <v>110</v>
      </c>
      <c r="B35" s="7">
        <f>-Financials!I15</f>
        <v>-51211798.630136989</v>
      </c>
    </row>
    <row r="36" spans="1:5" x14ac:dyDescent="0.3">
      <c r="A36" s="7" t="str">
        <f>+Financials!H20</f>
        <v>Unrealized Gains / (Losses)</v>
      </c>
      <c r="B36" s="7">
        <f>-Financials!I20-Financials!I19</f>
        <v>328764041.74353784</v>
      </c>
    </row>
    <row r="38" spans="1:5" x14ac:dyDescent="0.3">
      <c r="A38" t="s">
        <v>112</v>
      </c>
    </row>
    <row r="39" spans="1:5" x14ac:dyDescent="0.3">
      <c r="A39" t="s">
        <v>114</v>
      </c>
      <c r="B39" s="7">
        <f>+Financials!B7-Financials!M9</f>
        <v>0</v>
      </c>
    </row>
    <row r="40" spans="1:5" x14ac:dyDescent="0.3">
      <c r="A40" t="s">
        <v>45</v>
      </c>
      <c r="B40" s="7">
        <f>0-Financials!M11</f>
        <v>-1302777.7777777778</v>
      </c>
    </row>
    <row r="41" spans="1:5" x14ac:dyDescent="0.3">
      <c r="A41" t="s">
        <v>115</v>
      </c>
      <c r="B41" s="7">
        <f>-Financials!E7+Financials!P12</f>
        <v>64538047.972734511</v>
      </c>
    </row>
    <row r="42" spans="1:5" x14ac:dyDescent="0.3">
      <c r="A42" t="s">
        <v>487</v>
      </c>
      <c r="B42" s="7">
        <f>-Financials!E6+Financials!P8+Financials!P9</f>
        <v>-10362434.960000001</v>
      </c>
      <c r="E42" s="7"/>
    </row>
    <row r="44" spans="1:5" x14ac:dyDescent="0.3">
      <c r="A44" t="s">
        <v>100</v>
      </c>
      <c r="B44" s="7">
        <f>+B16</f>
        <v>-41000000</v>
      </c>
    </row>
    <row r="45" spans="1:5" x14ac:dyDescent="0.3">
      <c r="A45" t="s">
        <v>124</v>
      </c>
      <c r="B45" s="7">
        <f>+B17</f>
        <v>6000000</v>
      </c>
    </row>
    <row r="47" spans="1:5" ht="16.2" thickBot="1" x14ac:dyDescent="0.35">
      <c r="A47" t="s">
        <v>29</v>
      </c>
      <c r="B47" s="12">
        <f>SUM(B32:B46)</f>
        <v>40795469.173593938</v>
      </c>
      <c r="D47" s="7">
        <f>+B32+B16+B17+B50+B20</f>
        <v>40795469.173593923</v>
      </c>
      <c r="E47" s="7"/>
    </row>
    <row r="48" spans="1:5" ht="16.2" thickTop="1" x14ac:dyDescent="0.3"/>
    <row r="49" spans="1:8" ht="16.2" thickBot="1" x14ac:dyDescent="0.35">
      <c r="A49" s="305" t="s">
        <v>159</v>
      </c>
      <c r="B49" s="305"/>
      <c r="C49" s="305"/>
      <c r="D49" s="305"/>
      <c r="E49" s="305"/>
      <c r="F49" s="305"/>
    </row>
    <row r="50" spans="1:8" x14ac:dyDescent="0.3">
      <c r="A50" s="110" t="s">
        <v>118</v>
      </c>
      <c r="B50" s="111">
        <f>+B56+B62+B68</f>
        <v>3180580.2847050373</v>
      </c>
    </row>
    <row r="51" spans="1:8" x14ac:dyDescent="0.3">
      <c r="A51" s="53"/>
      <c r="E51" s="216" t="s">
        <v>82</v>
      </c>
      <c r="F51" s="217"/>
    </row>
    <row r="52" spans="1:8" x14ac:dyDescent="0.3">
      <c r="A52" t="s">
        <v>1</v>
      </c>
      <c r="B52" s="1">
        <v>36634</v>
      </c>
      <c r="E52" s="47">
        <v>36631</v>
      </c>
      <c r="F52" s="48">
        <v>6.9199999999999998E-2</v>
      </c>
    </row>
    <row r="53" spans="1:8" x14ac:dyDescent="0.3">
      <c r="A53" t="s">
        <v>27</v>
      </c>
      <c r="B53" s="7">
        <v>71001000</v>
      </c>
      <c r="E53" s="47">
        <v>36661</v>
      </c>
      <c r="F53" s="48">
        <v>7.3300000000000004E-2</v>
      </c>
    </row>
    <row r="54" spans="1:8" x14ac:dyDescent="0.3">
      <c r="A54" t="s">
        <v>1</v>
      </c>
      <c r="B54" s="1">
        <f>IF(Summary!$C$5&lt;'Cash-Int-Trans'!B52,+'Cash-Int-Trans'!B52,IF(Summary!$C$5&gt;'Cash-Int-Trans'!D54,'Cash-Int-Trans'!D54,Summary!$C$5))</f>
        <v>36741</v>
      </c>
      <c r="D54" s="1">
        <v>36741</v>
      </c>
      <c r="E54" s="47">
        <v>36692</v>
      </c>
      <c r="F54" s="48">
        <v>7.3999999999999996E-2</v>
      </c>
    </row>
    <row r="55" spans="1:8" x14ac:dyDescent="0.3">
      <c r="A55" t="s">
        <v>81</v>
      </c>
      <c r="B55" s="3">
        <f>+B54-B52</f>
        <v>107</v>
      </c>
      <c r="E55" s="47">
        <v>36722</v>
      </c>
      <c r="F55" s="48">
        <v>7.3300000000000004E-2</v>
      </c>
    </row>
    <row r="56" spans="1:8" x14ac:dyDescent="0.3">
      <c r="A56" t="s">
        <v>28</v>
      </c>
      <c r="B56" s="54">
        <f>+B53*(F56+0.0045)/360*B55</f>
        <v>1623881.6212500003</v>
      </c>
      <c r="E56" s="51" t="s">
        <v>86</v>
      </c>
      <c r="F56" s="52">
        <f>AVERAGE(F52:F55)</f>
        <v>7.2450000000000014E-2</v>
      </c>
    </row>
    <row r="58" spans="1:8" x14ac:dyDescent="0.3">
      <c r="A58" t="s">
        <v>1</v>
      </c>
      <c r="B58" s="1">
        <f>+D54</f>
        <v>36741</v>
      </c>
      <c r="E58" s="47">
        <v>36722</v>
      </c>
      <c r="F58" s="48">
        <v>7.3300000000000004E-2</v>
      </c>
    </row>
    <row r="59" spans="1:8" x14ac:dyDescent="0.3">
      <c r="A59" t="s">
        <v>27</v>
      </c>
      <c r="B59" s="7">
        <v>37624882</v>
      </c>
      <c r="E59" s="1">
        <v>36753</v>
      </c>
      <c r="F59" s="48">
        <v>7.2400000000000006E-2</v>
      </c>
    </row>
    <row r="60" spans="1:8" x14ac:dyDescent="0.3">
      <c r="A60" t="s">
        <v>1</v>
      </c>
      <c r="B60" s="1">
        <f>IF(Summary!$C$5&lt;'Cash-Int-Trans'!B58,+'Cash-Int-Trans'!B58,IF(Summary!$C$5&gt;'Cash-Int-Trans'!D60,'Cash-Int-Trans'!D60,Summary!$C$5))</f>
        <v>36800</v>
      </c>
      <c r="D60" s="1">
        <v>36800</v>
      </c>
      <c r="E60" s="1">
        <v>36784</v>
      </c>
      <c r="F60" s="48">
        <v>7.1999999999999995E-2</v>
      </c>
    </row>
    <row r="61" spans="1:8" x14ac:dyDescent="0.3">
      <c r="A61" t="s">
        <v>81</v>
      </c>
      <c r="B61" s="3">
        <f>+B60-B58</f>
        <v>59</v>
      </c>
      <c r="D61" s="7"/>
      <c r="E61" s="51" t="s">
        <v>86</v>
      </c>
      <c r="F61" s="52">
        <f>AVERAGE(F58:F60)</f>
        <v>7.2566666666666668E-2</v>
      </c>
    </row>
    <row r="62" spans="1:8" x14ac:dyDescent="0.3">
      <c r="A62" t="s">
        <v>28</v>
      </c>
      <c r="B62" s="54">
        <f>+B59*(F61+0.0045)/360*B61</f>
        <v>475216.1948014815</v>
      </c>
    </row>
    <row r="64" spans="1:8" x14ac:dyDescent="0.3">
      <c r="A64" t="s">
        <v>1</v>
      </c>
      <c r="B64" s="1">
        <f>+D60</f>
        <v>36800</v>
      </c>
      <c r="E64" s="1">
        <v>36784</v>
      </c>
      <c r="F64" s="48">
        <v>7.1999999999999995E-2</v>
      </c>
      <c r="G64" s="1">
        <v>36906</v>
      </c>
      <c r="H64" s="48">
        <v>5.9400000000000001E-2</v>
      </c>
    </row>
    <row r="65" spans="1:7" x14ac:dyDescent="0.3">
      <c r="A65" t="s">
        <v>27</v>
      </c>
      <c r="B65" s="7">
        <v>39713987</v>
      </c>
      <c r="E65" s="1">
        <v>36814</v>
      </c>
      <c r="F65" s="48">
        <v>7.1800000000000003E-2</v>
      </c>
      <c r="G65" s="1">
        <v>36937</v>
      </c>
    </row>
    <row r="66" spans="1:7" x14ac:dyDescent="0.3">
      <c r="A66" t="s">
        <v>1</v>
      </c>
      <c r="B66" s="1">
        <f>IF(Summary!$C$5&lt;'Cash-Int-Trans'!B64,+'Cash-Int-Trans'!B64,Summary!$C$5)</f>
        <v>36934</v>
      </c>
      <c r="E66" s="1">
        <v>36845</v>
      </c>
      <c r="F66" s="48">
        <v>7.1300000000000002E-2</v>
      </c>
      <c r="G66" s="1">
        <v>36965</v>
      </c>
    </row>
    <row r="67" spans="1:7" x14ac:dyDescent="0.3">
      <c r="A67" t="s">
        <v>81</v>
      </c>
      <c r="B67" s="3">
        <f>+B66-B64</f>
        <v>134</v>
      </c>
      <c r="E67" s="1">
        <v>36875</v>
      </c>
      <c r="F67" s="48">
        <v>6.88E-2</v>
      </c>
      <c r="G67" s="1">
        <v>36996</v>
      </c>
    </row>
    <row r="68" spans="1:7" x14ac:dyDescent="0.3">
      <c r="A68" t="s">
        <v>28</v>
      </c>
      <c r="B68" s="54">
        <f>+B65*(F68+0.0045)/360*B67</f>
        <v>1081482.4686535557</v>
      </c>
      <c r="E68" s="51" t="s">
        <v>86</v>
      </c>
      <c r="F68" s="52">
        <f>AVERAGE(F64:F67,H64:H67)</f>
        <v>6.8659999999999999E-2</v>
      </c>
    </row>
    <row r="70" spans="1:7" ht="16.2" thickBot="1" x14ac:dyDescent="0.35">
      <c r="A70" s="305" t="s">
        <v>191</v>
      </c>
      <c r="B70" s="305"/>
      <c r="C70" s="305"/>
      <c r="D70" s="305"/>
      <c r="E70" s="305"/>
      <c r="F70" s="305"/>
    </row>
    <row r="71" spans="1:7" x14ac:dyDescent="0.3">
      <c r="A71" s="110" t="s">
        <v>188</v>
      </c>
      <c r="B71" s="111">
        <f>+B73+E78+E82+E86+E90+E94+E98+E102+E106+E110+E114+E118</f>
        <v>22810774.4003358</v>
      </c>
    </row>
    <row r="72" spans="1:7" x14ac:dyDescent="0.3">
      <c r="A72" s="53"/>
    </row>
    <row r="73" spans="1:7" x14ac:dyDescent="0.3">
      <c r="A73" t="s">
        <v>192</v>
      </c>
      <c r="B73" s="3">
        <f>+Amort!B61</f>
        <v>22823748.821611091</v>
      </c>
      <c r="E73" s="303"/>
      <c r="F73" s="304"/>
    </row>
    <row r="74" spans="1:7" x14ac:dyDescent="0.3">
      <c r="B74" s="3"/>
      <c r="E74" s="216"/>
      <c r="F74" s="217"/>
    </row>
    <row r="75" spans="1:7" x14ac:dyDescent="0.3">
      <c r="A75" t="s">
        <v>444</v>
      </c>
      <c r="B75" s="7"/>
      <c r="E75" s="47"/>
      <c r="F75" s="48"/>
    </row>
    <row r="76" spans="1:7" x14ac:dyDescent="0.3">
      <c r="A76" t="s">
        <v>193</v>
      </c>
      <c r="B76" s="1">
        <v>36741</v>
      </c>
      <c r="D76" t="s">
        <v>1</v>
      </c>
      <c r="E76" s="1">
        <f>IF(Summary!C5&gt;Amort!A43,Amort!A43,Summary!C5)</f>
        <v>36800</v>
      </c>
      <c r="F76" s="48"/>
    </row>
    <row r="77" spans="1:7" x14ac:dyDescent="0.3">
      <c r="A77" t="s">
        <v>194</v>
      </c>
      <c r="B77" s="3">
        <f>+B10</f>
        <v>3965852</v>
      </c>
      <c r="D77" t="s">
        <v>81</v>
      </c>
      <c r="E77" s="3">
        <f>IF(E76&gt;B76,+E76-B76,0)</f>
        <v>59</v>
      </c>
      <c r="F77" s="48"/>
    </row>
    <row r="78" spans="1:7" x14ac:dyDescent="0.3">
      <c r="A78" s="7" t="str">
        <f>+A9</f>
        <v>Cash Settlement on Put</v>
      </c>
      <c r="D78" t="s">
        <v>443</v>
      </c>
      <c r="E78" s="54">
        <f>+B77*0.07/360*E77</f>
        <v>45497.135444444444</v>
      </c>
    </row>
    <row r="79" spans="1:7" x14ac:dyDescent="0.3">
      <c r="A79" s="7"/>
      <c r="E79" s="54"/>
    </row>
    <row r="80" spans="1:7" x14ac:dyDescent="0.3">
      <c r="A80" t="s">
        <v>193</v>
      </c>
      <c r="B80" s="1">
        <f>+D13</f>
        <v>36741</v>
      </c>
      <c r="D80" t="s">
        <v>1</v>
      </c>
      <c r="E80" s="1">
        <f>IF(Summary!C5&gt;Amort!A43,Amort!A43,Summary!C5)</f>
        <v>36800</v>
      </c>
    </row>
    <row r="81" spans="1:5" x14ac:dyDescent="0.3">
      <c r="A81" t="s">
        <v>194</v>
      </c>
      <c r="B81" s="3">
        <f>+B13</f>
        <v>-36066314</v>
      </c>
      <c r="D81" t="s">
        <v>81</v>
      </c>
      <c r="E81" s="3">
        <f>IF(E80&gt;B80,+E80-B80,0)</f>
        <v>59</v>
      </c>
    </row>
    <row r="82" spans="1:5" x14ac:dyDescent="0.3">
      <c r="A82" s="7" t="str">
        <f>+A12</f>
        <v>Merlin Credit Derivative Put Premium</v>
      </c>
      <c r="D82" t="s">
        <v>443</v>
      </c>
      <c r="E82" s="54">
        <f>+B81*0.07/360*E81</f>
        <v>-413760.76894444448</v>
      </c>
    </row>
    <row r="83" spans="1:5" x14ac:dyDescent="0.3">
      <c r="A83" s="7"/>
      <c r="E83" s="54"/>
    </row>
    <row r="84" spans="1:5" x14ac:dyDescent="0.3">
      <c r="A84" t="s">
        <v>193</v>
      </c>
      <c r="B84" s="1">
        <f>+B86</f>
        <v>36831</v>
      </c>
      <c r="D84" t="s">
        <v>1</v>
      </c>
      <c r="E84" s="1">
        <f>IF(Summary!$C$5&gt;Amort!$A$44,Amort!$A$44,Summary!$C$5)</f>
        <v>36934</v>
      </c>
    </row>
    <row r="85" spans="1:5" x14ac:dyDescent="0.3">
      <c r="A85" t="s">
        <v>194</v>
      </c>
      <c r="B85" s="3">
        <f>-'Daily Position'!Q20</f>
        <v>-65511</v>
      </c>
      <c r="D85" t="s">
        <v>81</v>
      </c>
      <c r="E85" s="3">
        <f>IF(E84&gt;B84,+E84-B84,0)</f>
        <v>103</v>
      </c>
    </row>
    <row r="86" spans="1:5" x14ac:dyDescent="0.3">
      <c r="A86" t="s">
        <v>554</v>
      </c>
      <c r="B86" s="1">
        <f>+'Daily Position'!J20</f>
        <v>36831</v>
      </c>
      <c r="D86" t="s">
        <v>443</v>
      </c>
      <c r="E86" s="54">
        <f>+B85*0.07/360*E85</f>
        <v>-1312.0397500000001</v>
      </c>
    </row>
    <row r="87" spans="1:5" x14ac:dyDescent="0.3">
      <c r="A87" s="7"/>
      <c r="E87" s="54"/>
    </row>
    <row r="88" spans="1:5" x14ac:dyDescent="0.3">
      <c r="A88" t="s">
        <v>193</v>
      </c>
      <c r="B88" s="1">
        <v>36844</v>
      </c>
      <c r="D88" t="s">
        <v>1</v>
      </c>
      <c r="E88" s="1">
        <f>IF(Summary!$C$5&gt;Amort!$A$44,Amort!$A$44,Summary!$C$5)</f>
        <v>36934</v>
      </c>
    </row>
    <row r="89" spans="1:5" x14ac:dyDescent="0.3">
      <c r="A89" t="s">
        <v>194</v>
      </c>
      <c r="B89" s="3">
        <f>-(+'Daily Position'!Q10+'Daily Position'!Q51)</f>
        <v>-299117.99815116153</v>
      </c>
      <c r="D89" t="s">
        <v>81</v>
      </c>
      <c r="E89" s="3">
        <f>IF(E88&gt;B88,+E88-B88,0)</f>
        <v>90</v>
      </c>
    </row>
    <row r="90" spans="1:5" x14ac:dyDescent="0.3">
      <c r="A90" t="s">
        <v>533</v>
      </c>
      <c r="B90" s="1">
        <f>+'Daily Position'!J10</f>
        <v>36839</v>
      </c>
      <c r="D90" t="s">
        <v>443</v>
      </c>
      <c r="E90" s="54">
        <f>+B89*0.07/360*E89</f>
        <v>-5234.5649676453277</v>
      </c>
    </row>
    <row r="91" spans="1:5" x14ac:dyDescent="0.3">
      <c r="B91" s="1"/>
      <c r="E91" s="54"/>
    </row>
    <row r="92" spans="1:5" x14ac:dyDescent="0.3">
      <c r="A92" t="s">
        <v>193</v>
      </c>
      <c r="B92" s="1">
        <v>36873</v>
      </c>
      <c r="D92" t="s">
        <v>1</v>
      </c>
      <c r="E92" s="1">
        <f>IF(Summary!$C$5&gt;Amort!$A$44,Amort!$A$44,Summary!$C$5)</f>
        <v>36934</v>
      </c>
    </row>
    <row r="93" spans="1:5" x14ac:dyDescent="0.3">
      <c r="A93" t="s">
        <v>194</v>
      </c>
      <c r="B93" s="3">
        <f>-(+'Daily Position'!Q13+'Daily Position'!Q54)</f>
        <v>1166000.1205500006</v>
      </c>
      <c r="D93" t="s">
        <v>81</v>
      </c>
      <c r="E93" s="3">
        <f>IF(E92&gt;B92,+E92-B92,0)</f>
        <v>61</v>
      </c>
    </row>
    <row r="94" spans="1:5" x14ac:dyDescent="0.3">
      <c r="A94" t="s">
        <v>534</v>
      </c>
      <c r="B94" s="1">
        <f>+'Daily Position'!J13</f>
        <v>36868</v>
      </c>
      <c r="D94" t="s">
        <v>443</v>
      </c>
      <c r="E94" s="54">
        <f>+B93*0.07/360*E93</f>
        <v>13830.056985412508</v>
      </c>
    </row>
    <row r="96" spans="1:5" x14ac:dyDescent="0.3">
      <c r="A96" t="s">
        <v>193</v>
      </c>
      <c r="B96" s="1">
        <v>36879</v>
      </c>
      <c r="D96" t="s">
        <v>1</v>
      </c>
      <c r="E96" s="1">
        <f>IF(Summary!$C$5&gt;Amort!$A$44,Amort!$A$44,Summary!$C$5)</f>
        <v>36934</v>
      </c>
    </row>
    <row r="97" spans="1:5" x14ac:dyDescent="0.3">
      <c r="A97" t="s">
        <v>194</v>
      </c>
      <c r="B97" s="3">
        <f>-(+'Daily Position'!Q12+'Daily Position'!Q53)</f>
        <v>-599260.14000000013</v>
      </c>
      <c r="D97" t="s">
        <v>81</v>
      </c>
      <c r="E97" s="3">
        <f>IF(E96&gt;B96,+E96-B96,0)</f>
        <v>55</v>
      </c>
    </row>
    <row r="98" spans="1:5" x14ac:dyDescent="0.3">
      <c r="A98" t="s">
        <v>535</v>
      </c>
      <c r="B98" s="1">
        <v>36874</v>
      </c>
      <c r="D98" t="s">
        <v>443</v>
      </c>
      <c r="E98" s="54">
        <f>+B97*0.07/360*E97</f>
        <v>-6408.7542750000021</v>
      </c>
    </row>
    <row r="99" spans="1:5" x14ac:dyDescent="0.3">
      <c r="B99" s="3"/>
    </row>
    <row r="100" spans="1:5" x14ac:dyDescent="0.3">
      <c r="A100" t="s">
        <v>193</v>
      </c>
      <c r="B100" s="1">
        <v>36893</v>
      </c>
      <c r="D100" t="s">
        <v>1</v>
      </c>
      <c r="E100" s="1">
        <f>IF(Summary!$C$5&gt;Amort!$A$44,Amort!$A$44,Summary!$C$5)</f>
        <v>36934</v>
      </c>
    </row>
    <row r="101" spans="1:5" x14ac:dyDescent="0.3">
      <c r="A101" t="s">
        <v>194</v>
      </c>
      <c r="B101" s="3">
        <f>-'Daily Position'!Q19-'Daily Position'!Q36</f>
        <v>2417178.9900000002</v>
      </c>
      <c r="D101" t="s">
        <v>81</v>
      </c>
      <c r="E101" s="3">
        <f>IF(E100&gt;B100,+E100-B100,0)</f>
        <v>41</v>
      </c>
    </row>
    <row r="102" spans="1:5" x14ac:dyDescent="0.3">
      <c r="A102" t="s">
        <v>536</v>
      </c>
      <c r="B102" s="1">
        <v>36888</v>
      </c>
      <c r="D102" t="s">
        <v>443</v>
      </c>
      <c r="E102" s="54">
        <f>+B101*0.07/360*E101</f>
        <v>19270.288059166669</v>
      </c>
    </row>
    <row r="104" spans="1:5" x14ac:dyDescent="0.3">
      <c r="A104" t="s">
        <v>193</v>
      </c>
      <c r="B104" s="1">
        <v>36894</v>
      </c>
      <c r="D104" t="s">
        <v>1</v>
      </c>
      <c r="E104" s="1">
        <f>IF(Summary!$C$5&gt;Amort!$A$44,Amort!$A$44,Summary!$C$5)</f>
        <v>36934</v>
      </c>
    </row>
    <row r="105" spans="1:5" x14ac:dyDescent="0.3">
      <c r="A105" t="s">
        <v>194</v>
      </c>
      <c r="B105" s="3">
        <f>-'Daily Position'!Q24</f>
        <v>887500</v>
      </c>
      <c r="D105" t="s">
        <v>81</v>
      </c>
      <c r="E105" s="3">
        <f>IF(E104&gt;B104,+E104-B104,0)</f>
        <v>40</v>
      </c>
    </row>
    <row r="106" spans="1:5" x14ac:dyDescent="0.3">
      <c r="A106" t="s">
        <v>537</v>
      </c>
      <c r="B106" s="1">
        <v>36889</v>
      </c>
      <c r="D106" t="s">
        <v>443</v>
      </c>
      <c r="E106" s="54">
        <f>+B105*0.07/360*E105</f>
        <v>6902.7777777777783</v>
      </c>
    </row>
    <row r="108" spans="1:5" x14ac:dyDescent="0.3">
      <c r="A108" t="s">
        <v>193</v>
      </c>
      <c r="B108" s="1">
        <v>36907</v>
      </c>
      <c r="D108" t="s">
        <v>1</v>
      </c>
      <c r="E108" s="1">
        <f>IF(Summary!$C$5&gt;Amort!$A$44,Amort!$A$44,Summary!$C$5)</f>
        <v>36934</v>
      </c>
    </row>
    <row r="109" spans="1:5" x14ac:dyDescent="0.3">
      <c r="A109" t="s">
        <v>194</v>
      </c>
      <c r="B109" s="3">
        <f>-'Daily Position'!Q6</f>
        <v>132061.01999999999</v>
      </c>
      <c r="D109" t="s">
        <v>81</v>
      </c>
      <c r="E109" s="3">
        <f>IF(E108&gt;B108,+E108-B108,0)</f>
        <v>27</v>
      </c>
    </row>
    <row r="110" spans="1:5" x14ac:dyDescent="0.3">
      <c r="A110" t="s">
        <v>538</v>
      </c>
      <c r="B110" s="1">
        <v>36902</v>
      </c>
      <c r="D110" t="s">
        <v>443</v>
      </c>
      <c r="E110" s="54">
        <f>+B109*0.07/360*E109</f>
        <v>693.32035499999995</v>
      </c>
    </row>
    <row r="112" spans="1:5" x14ac:dyDescent="0.3">
      <c r="A112" t="s">
        <v>193</v>
      </c>
      <c r="B112" s="1">
        <v>36910</v>
      </c>
      <c r="D112" t="s">
        <v>1</v>
      </c>
      <c r="E112" s="1">
        <f>IF(Summary!$C$5&gt;Amort!$A$44,Amort!$A$44,Summary!$C$5)</f>
        <v>36934</v>
      </c>
    </row>
    <row r="113" spans="1:5" x14ac:dyDescent="0.3">
      <c r="A113" t="s">
        <v>194</v>
      </c>
      <c r="B113" s="3">
        <f>-'Daily Position'!Q5</f>
        <v>7079860.9399998812</v>
      </c>
      <c r="D113" t="s">
        <v>81</v>
      </c>
      <c r="E113" s="3">
        <f>IF(E112&gt;B112,+E112-B112,0)</f>
        <v>24</v>
      </c>
    </row>
    <row r="114" spans="1:5" x14ac:dyDescent="0.3">
      <c r="A114" t="s">
        <v>539</v>
      </c>
      <c r="B114" s="1">
        <v>36907</v>
      </c>
      <c r="D114" t="s">
        <v>443</v>
      </c>
      <c r="E114" s="54">
        <f>+B113*0.07/360*E113</f>
        <v>33039.351053332786</v>
      </c>
    </row>
    <row r="116" spans="1:5" x14ac:dyDescent="0.3">
      <c r="A116" t="s">
        <v>193</v>
      </c>
      <c r="B116" s="1">
        <v>36910</v>
      </c>
      <c r="D116" t="s">
        <v>1</v>
      </c>
      <c r="E116" s="1">
        <f>IF(Summary!$C$5&gt;Amort!$A$44,Amort!$A$44,Summary!$C$5)</f>
        <v>36934</v>
      </c>
    </row>
    <row r="117" spans="1:5" x14ac:dyDescent="0.3">
      <c r="A117" t="s">
        <v>194</v>
      </c>
      <c r="B117" s="3">
        <f>-'Daily Position'!Q47</f>
        <v>63109023.640000001</v>
      </c>
      <c r="D117" t="s">
        <v>81</v>
      </c>
      <c r="E117" s="3">
        <f>IF(E116&gt;B116,+E116-B116,0)</f>
        <v>24</v>
      </c>
    </row>
    <row r="118" spans="1:5" x14ac:dyDescent="0.3">
      <c r="A118" t="s">
        <v>553</v>
      </c>
      <c r="B118" s="1">
        <f>+B116</f>
        <v>36910</v>
      </c>
      <c r="D118" t="s">
        <v>443</v>
      </c>
      <c r="E118" s="54">
        <f>+B117*0.07/360*E117</f>
        <v>294508.77698666672</v>
      </c>
    </row>
  </sheetData>
  <mergeCells count="6">
    <mergeCell ref="E73:F73"/>
    <mergeCell ref="A30:B30"/>
    <mergeCell ref="A22:F22"/>
    <mergeCell ref="A1:B1"/>
    <mergeCell ref="A49:F49"/>
    <mergeCell ref="A70:F70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9" max="16383" man="1"/>
    <brk id="47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80"/>
  <sheetViews>
    <sheetView topLeftCell="A38" workbookViewId="0">
      <selection activeCell="D43" sqref="D43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185</v>
      </c>
      <c r="B1" s="6"/>
      <c r="G1" s="8"/>
      <c r="H1" s="8"/>
    </row>
    <row r="2" spans="1:9" x14ac:dyDescent="0.3">
      <c r="B2" s="112" t="s">
        <v>160</v>
      </c>
    </row>
    <row r="3" spans="1:9" x14ac:dyDescent="0.3">
      <c r="A3" s="7" t="s">
        <v>22</v>
      </c>
      <c r="B3" s="113">
        <v>50000000</v>
      </c>
    </row>
    <row r="4" spans="1:9" x14ac:dyDescent="0.3">
      <c r="A4" s="7" t="s">
        <v>23</v>
      </c>
      <c r="B4" s="114">
        <v>7.0000000000000007E-2</v>
      </c>
    </row>
    <row r="5" spans="1:9" x14ac:dyDescent="0.3">
      <c r="A5" s="7" t="s">
        <v>24</v>
      </c>
      <c r="B5" s="115">
        <f>5*12</f>
        <v>60</v>
      </c>
    </row>
    <row r="6" spans="1:9" x14ac:dyDescent="0.3">
      <c r="A6" s="7" t="s">
        <v>25</v>
      </c>
      <c r="B6" s="116">
        <v>2</v>
      </c>
    </row>
    <row r="7" spans="1:9" x14ac:dyDescent="0.3">
      <c r="A7" s="7" t="s">
        <v>26</v>
      </c>
      <c r="B7" s="7">
        <v>0</v>
      </c>
    </row>
    <row r="9" spans="1:9" s="9" customFormat="1" ht="26.4" x14ac:dyDescent="0.25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189</v>
      </c>
    </row>
    <row r="10" spans="1:9" x14ac:dyDescent="0.3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3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3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3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3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3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3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3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3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3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3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2" thickBot="1" x14ac:dyDescent="0.35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2" thickTop="1" x14ac:dyDescent="0.3">
      <c r="A22" s="117"/>
      <c r="B22" s="117"/>
    </row>
    <row r="23" spans="1:9" s="104" customFormat="1" x14ac:dyDescent="0.3">
      <c r="A23" s="306">
        <f>+Summary!C5</f>
        <v>36934</v>
      </c>
      <c r="B23" s="306"/>
      <c r="E23" s="104" t="s">
        <v>95</v>
      </c>
      <c r="F23" s="104">
        <f>VLOOKUP(+A23,Amort,2)</f>
        <v>1</v>
      </c>
    </row>
    <row r="24" spans="1:9" s="104" customFormat="1" x14ac:dyDescent="0.3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3">
      <c r="A25" s="104" t="s">
        <v>93</v>
      </c>
      <c r="B25" s="136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3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3">
      <c r="A27" s="117" t="s">
        <v>98</v>
      </c>
      <c r="B27" s="104">
        <f>A23-F24</f>
        <v>134</v>
      </c>
      <c r="E27" s="117"/>
    </row>
    <row r="28" spans="1:9" s="104" customFormat="1" x14ac:dyDescent="0.3">
      <c r="A28" s="117" t="s">
        <v>30</v>
      </c>
      <c r="B28" s="104">
        <f>F25*B27/(F26-F24)</f>
        <v>1302777.7777777778</v>
      </c>
    </row>
    <row r="29" spans="1:9" s="104" customFormat="1" x14ac:dyDescent="0.3">
      <c r="A29" s="117" t="s">
        <v>31</v>
      </c>
      <c r="B29" s="104">
        <f>+B25+B28</f>
        <v>2916666.666666667</v>
      </c>
    </row>
    <row r="30" spans="1:9" s="104" customFormat="1" x14ac:dyDescent="0.3"/>
    <row r="31" spans="1:9" s="104" customFormat="1" x14ac:dyDescent="0.3"/>
    <row r="32" spans="1:9" s="104" customFormat="1" x14ac:dyDescent="0.3"/>
    <row r="33" spans="1:9" s="104" customFormat="1" x14ac:dyDescent="0.3"/>
    <row r="34" spans="1:9" s="104" customFormat="1" x14ac:dyDescent="0.3"/>
    <row r="35" spans="1:9" s="104" customFormat="1" x14ac:dyDescent="0.3">
      <c r="A35" s="6" t="s">
        <v>186</v>
      </c>
      <c r="B35" s="6"/>
      <c r="C35" s="7"/>
      <c r="D35" s="7"/>
      <c r="E35" s="7"/>
      <c r="F35" s="7"/>
      <c r="G35" s="8"/>
      <c r="H35" s="103"/>
    </row>
    <row r="36" spans="1:9" s="104" customFormat="1" x14ac:dyDescent="0.3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3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3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3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3">
      <c r="A40" s="7"/>
      <c r="B40" s="7"/>
      <c r="C40" s="7"/>
      <c r="D40" s="7"/>
      <c r="E40" s="7"/>
      <c r="F40" s="7"/>
      <c r="G40" s="7"/>
      <c r="H40" s="103"/>
    </row>
    <row r="41" spans="1:9" s="104" customFormat="1" ht="27" x14ac:dyDescent="0.3">
      <c r="A41" s="9"/>
      <c r="B41" s="11" t="s">
        <v>95</v>
      </c>
      <c r="C41" s="10" t="s">
        <v>27</v>
      </c>
      <c r="D41" s="10" t="s">
        <v>441</v>
      </c>
      <c r="E41" s="10" t="s">
        <v>22</v>
      </c>
      <c r="F41" s="10" t="s">
        <v>28</v>
      </c>
      <c r="G41" s="10" t="s">
        <v>29</v>
      </c>
      <c r="H41" s="10" t="s">
        <v>189</v>
      </c>
    </row>
    <row r="42" spans="1:9" s="104" customFormat="1" x14ac:dyDescent="0.3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3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3">
      <c r="A44" s="1">
        <v>36982</v>
      </c>
      <c r="B44" s="105">
        <f t="shared" si="9"/>
        <v>2</v>
      </c>
      <c r="C44" s="7">
        <f t="shared" si="10"/>
        <v>380442385.47761112</v>
      </c>
      <c r="D44" s="7">
        <f>+E80</f>
        <v>74183024.784623429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468088843.57052559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3">
      <c r="A45" s="1">
        <v>37165</v>
      </c>
      <c r="B45" s="105">
        <f t="shared" si="9"/>
        <v>3</v>
      </c>
      <c r="C45" s="7">
        <f t="shared" si="10"/>
        <v>468088843.57052559</v>
      </c>
      <c r="D45" s="7">
        <v>0</v>
      </c>
      <c r="E45" s="7">
        <v>0</v>
      </c>
      <c r="F45" s="7">
        <f t="shared" si="12"/>
        <v>16656161.350384537</v>
      </c>
      <c r="G45" s="7">
        <f t="shared" si="13"/>
        <v>484745004.92091012</v>
      </c>
      <c r="H45" s="7">
        <f t="shared" si="11"/>
        <v>43030705.769786671</v>
      </c>
      <c r="I45" s="1">
        <f t="shared" si="8"/>
        <v>37165</v>
      </c>
    </row>
    <row r="46" spans="1:9" s="104" customFormat="1" x14ac:dyDescent="0.3">
      <c r="A46" s="1">
        <v>37347</v>
      </c>
      <c r="B46" s="105">
        <f t="shared" si="9"/>
        <v>4</v>
      </c>
      <c r="C46" s="7">
        <f t="shared" si="10"/>
        <v>484745004.92091012</v>
      </c>
      <c r="D46" s="7">
        <v>0</v>
      </c>
      <c r="E46" s="7">
        <v>0</v>
      </c>
      <c r="F46" s="7">
        <f t="shared" si="12"/>
        <v>17154587.11858999</v>
      </c>
      <c r="G46" s="7">
        <f t="shared" si="13"/>
        <v>501899592.03950012</v>
      </c>
      <c r="H46" s="7">
        <f t="shared" si="11"/>
        <v>60185292.888376661</v>
      </c>
      <c r="I46" s="1">
        <f t="shared" si="8"/>
        <v>37347</v>
      </c>
    </row>
    <row r="47" spans="1:9" s="104" customFormat="1" x14ac:dyDescent="0.3">
      <c r="A47" s="1">
        <v>37530</v>
      </c>
      <c r="B47" s="105">
        <f t="shared" si="9"/>
        <v>5</v>
      </c>
      <c r="C47" s="7">
        <f t="shared" si="10"/>
        <v>501899592.03950012</v>
      </c>
      <c r="D47" s="7">
        <v>0</v>
      </c>
      <c r="E47" s="7">
        <v>0</v>
      </c>
      <c r="F47" s="7">
        <f t="shared" si="12"/>
        <v>17859260.483405545</v>
      </c>
      <c r="G47" s="7">
        <f t="shared" si="13"/>
        <v>519758852.52290565</v>
      </c>
      <c r="H47" s="7">
        <f t="shared" si="11"/>
        <v>78044553.371782213</v>
      </c>
      <c r="I47" s="1">
        <f t="shared" si="8"/>
        <v>37530</v>
      </c>
    </row>
    <row r="48" spans="1:9" s="104" customFormat="1" x14ac:dyDescent="0.3">
      <c r="A48" s="1">
        <v>37712</v>
      </c>
      <c r="B48" s="105">
        <f t="shared" si="9"/>
        <v>6</v>
      </c>
      <c r="C48" s="7">
        <f t="shared" si="10"/>
        <v>519758852.52290565</v>
      </c>
      <c r="D48" s="7">
        <v>0</v>
      </c>
      <c r="E48" s="7">
        <v>0</v>
      </c>
      <c r="F48" s="7">
        <f t="shared" si="12"/>
        <v>18393688.280949496</v>
      </c>
      <c r="G48" s="7">
        <f t="shared" si="13"/>
        <v>538152540.80385518</v>
      </c>
      <c r="H48" s="7">
        <f t="shared" si="11"/>
        <v>96438241.652731717</v>
      </c>
      <c r="I48" s="1">
        <f t="shared" si="8"/>
        <v>37712</v>
      </c>
    </row>
    <row r="49" spans="1:9" s="104" customFormat="1" x14ac:dyDescent="0.3">
      <c r="A49" s="1">
        <v>37895</v>
      </c>
      <c r="B49" s="105">
        <f t="shared" si="9"/>
        <v>7</v>
      </c>
      <c r="C49" s="7">
        <f t="shared" si="10"/>
        <v>538152540.80385518</v>
      </c>
      <c r="D49" s="7">
        <v>0</v>
      </c>
      <c r="E49" s="7">
        <v>0</v>
      </c>
      <c r="F49" s="7">
        <f t="shared" si="12"/>
        <v>19149261.243603848</v>
      </c>
      <c r="G49" s="7">
        <f t="shared" si="13"/>
        <v>557301802.04745901</v>
      </c>
      <c r="H49" s="7">
        <f t="shared" si="11"/>
        <v>115587502.89633557</v>
      </c>
      <c r="I49" s="1">
        <f t="shared" si="8"/>
        <v>37895</v>
      </c>
    </row>
    <row r="50" spans="1:9" s="104" customFormat="1" x14ac:dyDescent="0.3">
      <c r="A50" s="1">
        <v>38078</v>
      </c>
      <c r="B50" s="105">
        <f t="shared" si="9"/>
        <v>8</v>
      </c>
      <c r="C50" s="7">
        <f t="shared" si="10"/>
        <v>557301802.04745901</v>
      </c>
      <c r="D50" s="7">
        <v>0</v>
      </c>
      <c r="E50" s="7">
        <v>0</v>
      </c>
      <c r="F50" s="7">
        <f t="shared" si="12"/>
        <v>19830655.789522085</v>
      </c>
      <c r="G50" s="7">
        <f t="shared" si="13"/>
        <v>577132457.83698106</v>
      </c>
      <c r="H50" s="7">
        <f t="shared" si="11"/>
        <v>135418158.68585765</v>
      </c>
      <c r="I50" s="1">
        <f t="shared" si="8"/>
        <v>38078</v>
      </c>
    </row>
    <row r="51" spans="1:9" s="104" customFormat="1" x14ac:dyDescent="0.3">
      <c r="A51" s="1">
        <v>38261</v>
      </c>
      <c r="B51" s="105">
        <f t="shared" si="9"/>
        <v>9</v>
      </c>
      <c r="C51" s="7">
        <f t="shared" si="10"/>
        <v>577132457.83698106</v>
      </c>
      <c r="D51" s="7">
        <v>0</v>
      </c>
      <c r="E51" s="7">
        <v>0</v>
      </c>
      <c r="F51" s="7">
        <f t="shared" si="12"/>
        <v>20536296.624699242</v>
      </c>
      <c r="G51" s="7">
        <f t="shared" si="13"/>
        <v>597668754.46168029</v>
      </c>
      <c r="H51" s="7">
        <f t="shared" si="11"/>
        <v>155954455.31055689</v>
      </c>
      <c r="I51" s="1">
        <f t="shared" si="8"/>
        <v>38261</v>
      </c>
    </row>
    <row r="52" spans="1:9" s="104" customFormat="1" x14ac:dyDescent="0.3">
      <c r="A52" s="1">
        <v>38443</v>
      </c>
      <c r="B52" s="105">
        <f t="shared" si="9"/>
        <v>10</v>
      </c>
      <c r="C52" s="7">
        <f t="shared" si="10"/>
        <v>597668754.46168029</v>
      </c>
      <c r="D52" s="7">
        <v>0</v>
      </c>
      <c r="E52" s="7">
        <v>0</v>
      </c>
      <c r="F52" s="7">
        <f t="shared" si="12"/>
        <v>21150833.144005023</v>
      </c>
      <c r="G52" s="7">
        <f t="shared" si="13"/>
        <v>618819587.60568535</v>
      </c>
      <c r="H52" s="7">
        <f t="shared" si="11"/>
        <v>177105288.45456192</v>
      </c>
      <c r="I52" s="1">
        <f t="shared" si="8"/>
        <v>38443</v>
      </c>
    </row>
    <row r="53" spans="1:9" s="104" customFormat="1" ht="16.2" thickBot="1" x14ac:dyDescent="0.35">
      <c r="A53" s="1"/>
      <c r="B53" s="1"/>
      <c r="C53" s="7"/>
      <c r="D53" s="12">
        <f>SUM(D43:D52)</f>
        <v>41714299.151123427</v>
      </c>
      <c r="E53" s="12">
        <f>SUM(E43:E52)</f>
        <v>0</v>
      </c>
      <c r="F53" s="12">
        <f>SUM(F43:F52)</f>
        <v>177105288.45456192</v>
      </c>
      <c r="G53" s="7"/>
      <c r="H53" s="13"/>
    </row>
    <row r="54" spans="1:9" s="104" customFormat="1" ht="16.2" thickTop="1" x14ac:dyDescent="0.3">
      <c r="A54" s="117"/>
      <c r="B54" s="117"/>
    </row>
    <row r="55" spans="1:9" s="104" customFormat="1" x14ac:dyDescent="0.3">
      <c r="A55" s="306">
        <f>+Summary!C5</f>
        <v>36934</v>
      </c>
      <c r="B55" s="306"/>
      <c r="E55" s="104" t="s">
        <v>95</v>
      </c>
      <c r="F55" s="104">
        <f>VLOOKUP(+A55,Note,2)</f>
        <v>1</v>
      </c>
    </row>
    <row r="56" spans="1:9" x14ac:dyDescent="0.3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3">
      <c r="A57" s="104" t="s">
        <v>190</v>
      </c>
      <c r="B57" s="136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3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3">
      <c r="A59" s="117" t="s">
        <v>98</v>
      </c>
      <c r="B59" s="104">
        <f>A55-F56</f>
        <v>134</v>
      </c>
      <c r="C59" s="104"/>
      <c r="D59" s="104"/>
      <c r="E59" s="117"/>
      <c r="F59" s="104"/>
      <c r="G59" s="104"/>
    </row>
    <row r="60" spans="1:9" x14ac:dyDescent="0.3">
      <c r="A60" s="117" t="s">
        <v>187</v>
      </c>
      <c r="B60" s="104">
        <f>F57*B59/(F58-F56)</f>
        <v>9912637.7104999814</v>
      </c>
      <c r="C60" s="104"/>
      <c r="D60" s="104"/>
      <c r="E60" s="104"/>
      <c r="F60" s="104"/>
      <c r="G60" s="104"/>
    </row>
    <row r="61" spans="1:9" x14ac:dyDescent="0.3">
      <c r="A61" s="117" t="s">
        <v>188</v>
      </c>
      <c r="B61" s="104">
        <f>+B57+B60</f>
        <v>22823748.821611091</v>
      </c>
      <c r="C61" s="104"/>
      <c r="D61" s="104"/>
      <c r="E61" s="104"/>
      <c r="F61" s="104"/>
      <c r="G61" s="104"/>
    </row>
    <row r="63" spans="1:9" x14ac:dyDescent="0.3">
      <c r="A63" s="7" t="s">
        <v>445</v>
      </c>
    </row>
    <row r="64" spans="1:9" x14ac:dyDescent="0.3">
      <c r="A64" s="1">
        <f>+'Cash-Int-Trans'!B76</f>
        <v>36741</v>
      </c>
      <c r="B64" s="7" t="s">
        <v>442</v>
      </c>
      <c r="E64" s="7">
        <f>+'Cash-Int-Trans'!B77</f>
        <v>3965852</v>
      </c>
    </row>
    <row r="65" spans="1:5" x14ac:dyDescent="0.3">
      <c r="A65" s="1">
        <f>+A64</f>
        <v>36741</v>
      </c>
      <c r="B65" s="7" t="s">
        <v>446</v>
      </c>
      <c r="C65" s="1"/>
      <c r="D65" s="1">
        <f>+'Cash-Int-Trans'!E76</f>
        <v>36800</v>
      </c>
      <c r="E65" s="104">
        <f>+'Cash-Int-Trans'!E78</f>
        <v>45497.135444444444</v>
      </c>
    </row>
    <row r="66" spans="1:5" x14ac:dyDescent="0.3">
      <c r="A66" s="1">
        <f>+'Cash-Int-Trans'!B80</f>
        <v>36741</v>
      </c>
      <c r="B66" s="7" t="s">
        <v>477</v>
      </c>
      <c r="E66" s="104">
        <f>+'Cash-Int-Trans'!B81</f>
        <v>-36066314</v>
      </c>
    </row>
    <row r="67" spans="1:5" x14ac:dyDescent="0.3">
      <c r="A67" s="1">
        <f>+A66</f>
        <v>36741</v>
      </c>
      <c r="B67" s="7" t="s">
        <v>446</v>
      </c>
      <c r="C67" s="1"/>
      <c r="D67" s="1">
        <f>+'Cash-Int-Trans'!E76</f>
        <v>36800</v>
      </c>
      <c r="E67" s="218">
        <f>+'Cash-Int-Trans'!E82</f>
        <v>-413760.76894444448</v>
      </c>
    </row>
    <row r="68" spans="1:5" x14ac:dyDescent="0.3">
      <c r="E68" s="7">
        <f>SUM(E64:E67)</f>
        <v>-32468725.633500002</v>
      </c>
    </row>
    <row r="70" spans="1:5" x14ac:dyDescent="0.3">
      <c r="A70" s="1">
        <f>+'Cash-Int-Trans'!B84</f>
        <v>36831</v>
      </c>
      <c r="B70" s="7" t="str">
        <f>+'Cash-Int-Trans'!A86</f>
        <v>Brigham Debt</v>
      </c>
      <c r="D70" s="1"/>
      <c r="E70" s="7">
        <f>+'Cash-Int-Trans'!B85</f>
        <v>-65511</v>
      </c>
    </row>
    <row r="71" spans="1:5" x14ac:dyDescent="0.3">
      <c r="A71" s="1">
        <f>+'Cash-Int-Trans'!B88</f>
        <v>36844</v>
      </c>
      <c r="B71" s="7" t="str">
        <f>+'Cash-Int-Trans'!A90</f>
        <v>Place Termination</v>
      </c>
      <c r="D71" s="1"/>
      <c r="E71" s="7">
        <f>+'Cash-Int-Trans'!B89</f>
        <v>-299117.99815116153</v>
      </c>
    </row>
    <row r="72" spans="1:5" x14ac:dyDescent="0.3">
      <c r="A72" s="1">
        <f>+'Cash-Int-Trans'!B92</f>
        <v>36873</v>
      </c>
      <c r="B72" s="7" t="str">
        <f>+'Cash-Int-Trans'!A94</f>
        <v>Quicksilver Termination</v>
      </c>
      <c r="D72" s="1"/>
      <c r="E72" s="7">
        <f>+'Cash-Int-Trans'!B93</f>
        <v>1166000.1205500006</v>
      </c>
    </row>
    <row r="73" spans="1:5" x14ac:dyDescent="0.3">
      <c r="A73" s="1">
        <f>+'Cash-Int-Trans'!B96</f>
        <v>36879</v>
      </c>
      <c r="B73" s="7" t="str">
        <f>+'Cash-Int-Trans'!A98</f>
        <v>DEVX Pref Termination</v>
      </c>
      <c r="D73" s="1"/>
      <c r="E73" s="7">
        <f>+'Cash-Int-Trans'!B97</f>
        <v>-599260.14000000013</v>
      </c>
    </row>
    <row r="74" spans="1:5" x14ac:dyDescent="0.3">
      <c r="A74" s="1">
        <f>+'Cash-Int-Trans'!B100</f>
        <v>36893</v>
      </c>
      <c r="B74" s="7" t="str">
        <f>+'Cash-Int-Trans'!A102</f>
        <v>Black Bay and Keathley Termination</v>
      </c>
      <c r="D74" s="1"/>
      <c r="E74" s="7">
        <f>+'Cash-Int-Trans'!B101</f>
        <v>2417178.9900000002</v>
      </c>
    </row>
    <row r="75" spans="1:5" x14ac:dyDescent="0.3">
      <c r="A75" s="1">
        <f>+'Cash-Int-Trans'!B104</f>
        <v>36894</v>
      </c>
      <c r="B75" s="7" t="str">
        <f>+'Cash-Int-Trans'!A106</f>
        <v>Geo. Pursuit Termination</v>
      </c>
      <c r="D75" s="1"/>
      <c r="E75" s="7">
        <f>+'Cash-Int-Trans'!B105</f>
        <v>887500</v>
      </c>
    </row>
    <row r="76" spans="1:5" x14ac:dyDescent="0.3">
      <c r="A76" s="1">
        <f>+'Cash-Int-Trans'!B108</f>
        <v>36907</v>
      </c>
      <c r="B76" s="7" t="str">
        <f>+'Cash-Int-Trans'!A110</f>
        <v>Avici Termination</v>
      </c>
      <c r="D76" s="1"/>
      <c r="E76" s="7">
        <f>+'Cash-Int-Trans'!B109</f>
        <v>132061.01999999999</v>
      </c>
    </row>
    <row r="77" spans="1:5" x14ac:dyDescent="0.3">
      <c r="A77" s="1">
        <f>+'Cash-Int-Trans'!B112</f>
        <v>36910</v>
      </c>
      <c r="B77" s="7" t="str">
        <f>+'Cash-Int-Trans'!A114</f>
        <v>Active Power Termination</v>
      </c>
      <c r="D77" s="1"/>
      <c r="E77" s="7">
        <f>+'Cash-Int-Trans'!B113</f>
        <v>7079860.9399998812</v>
      </c>
    </row>
    <row r="78" spans="1:5" x14ac:dyDescent="0.3">
      <c r="A78" s="1">
        <f>+'Cash-Int-Trans'!B116</f>
        <v>36910</v>
      </c>
      <c r="B78" s="7" t="str">
        <f>+'Cash-Int-Trans'!A118</f>
        <v>Merlin</v>
      </c>
      <c r="D78" s="1"/>
      <c r="E78" s="7">
        <f>+'Cash-Int-Trans'!B117</f>
        <v>63109023.640000001</v>
      </c>
    </row>
    <row r="79" spans="1:5" x14ac:dyDescent="0.3">
      <c r="A79" s="1"/>
      <c r="B79" s="7" t="s">
        <v>443</v>
      </c>
      <c r="D79" s="1"/>
      <c r="E79" s="27">
        <f>+'Cash-Int-Trans'!E86+'Cash-Int-Trans'!E90+'Cash-Int-Trans'!E94+'Cash-Int-Trans'!E98+'Cash-Int-Trans'!E102+'Cash-Int-Trans'!E106+'Cash-Int-Trans'!E110+'Cash-Int-Trans'!E114+'Cash-Int-Trans'!E118</f>
        <v>355289.21222471114</v>
      </c>
    </row>
    <row r="80" spans="1:5" x14ac:dyDescent="0.3">
      <c r="A80" s="1"/>
      <c r="D80" s="1"/>
      <c r="E80" s="7">
        <f>SUM(E70:E79)</f>
        <v>74183024.784623429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80"/>
  <sheetViews>
    <sheetView topLeftCell="F1" workbookViewId="0">
      <selection activeCell="F1" sqref="A1:IV65536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7.6992187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69921875" hidden="1" customWidth="1"/>
    <col min="23" max="23" width="13.5" hidden="1" customWidth="1"/>
    <col min="24" max="24" width="6" hidden="1" customWidth="1"/>
    <col min="25" max="25" width="13.5" hidden="1" customWidth="1"/>
    <col min="26" max="26" width="5.59765625" hidden="1" customWidth="1"/>
    <col min="27" max="27" width="6" hidden="1" customWidth="1"/>
    <col min="28" max="28" width="5.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3.09765625" bestFit="1" customWidth="1"/>
    <col min="33" max="33" width="9.59765625" bestFit="1" customWidth="1"/>
    <col min="34" max="34" width="14.8984375" bestFit="1" customWidth="1"/>
    <col min="35" max="35" width="10.59765625" bestFit="1" customWidth="1"/>
    <col min="36" max="36" width="14.3984375" bestFit="1" customWidth="1"/>
    <col min="37" max="37" width="9.59765625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3.5" hidden="1" customWidth="1"/>
    <col min="49" max="49" width="9.59765625" hidden="1" customWidth="1"/>
    <col min="50" max="50" width="14.8984375" hidden="1" customWidth="1"/>
    <col min="51" max="51" width="10.59765625" hidden="1" customWidth="1"/>
    <col min="52" max="52" width="14.3984375" hidden="1" customWidth="1"/>
    <col min="53" max="53" width="9.5976562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3" hidden="1" customWidth="1"/>
    <col min="59" max="59" width="9.59765625" hidden="1" customWidth="1"/>
    <col min="60" max="60" width="13.5" hidden="1" customWidth="1"/>
    <col min="61" max="61" width="10.59765625" hidden="1" customWidth="1"/>
    <col min="62" max="62" width="13" hidden="1" customWidth="1"/>
    <col min="63" max="63" width="9.5976562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3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1.19921875" hidden="1" customWidth="1"/>
    <col min="79" max="79" width="14.398437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3" hidden="1" customWidth="1"/>
    <col min="88" max="88" width="9.5976562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42"/>
      <c r="B1" s="142"/>
      <c r="C1" s="142"/>
      <c r="D1" s="142"/>
      <c r="E1" s="142"/>
      <c r="F1" s="142"/>
      <c r="G1" s="142"/>
      <c r="H1" s="142"/>
      <c r="I1" s="143"/>
      <c r="J1" s="144" t="s">
        <v>236</v>
      </c>
      <c r="K1" s="144" t="s">
        <v>237</v>
      </c>
      <c r="L1" s="145"/>
      <c r="M1" s="144"/>
      <c r="N1" s="146"/>
      <c r="O1" s="145" t="s">
        <v>238</v>
      </c>
      <c r="P1" s="145" t="s">
        <v>239</v>
      </c>
      <c r="Q1" s="145" t="s">
        <v>240</v>
      </c>
      <c r="R1" s="307" t="s">
        <v>241</v>
      </c>
      <c r="S1" s="307"/>
      <c r="T1" s="307"/>
      <c r="U1" s="240" t="s">
        <v>238</v>
      </c>
      <c r="V1" s="145" t="s">
        <v>4</v>
      </c>
      <c r="W1" s="145"/>
      <c r="X1" s="147"/>
      <c r="Y1" s="145"/>
      <c r="Z1" s="147"/>
      <c r="AA1" s="147"/>
      <c r="AB1" s="147"/>
      <c r="AC1" s="240" t="s">
        <v>242</v>
      </c>
      <c r="AD1" s="313" t="s">
        <v>243</v>
      </c>
      <c r="AE1" s="310"/>
      <c r="AF1" s="310"/>
      <c r="AG1" s="310"/>
      <c r="AH1" s="310"/>
      <c r="AI1" s="310"/>
      <c r="AJ1" s="310"/>
      <c r="AK1" s="310"/>
      <c r="AL1" s="148"/>
      <c r="AM1" s="147"/>
      <c r="AN1" s="148"/>
      <c r="AO1" s="147"/>
      <c r="AP1" s="147"/>
      <c r="AQ1" s="147" t="s">
        <v>244</v>
      </c>
      <c r="AR1" s="146"/>
      <c r="AS1" s="145" t="s">
        <v>238</v>
      </c>
      <c r="AT1" s="308" t="s">
        <v>245</v>
      </c>
      <c r="AU1" s="308"/>
      <c r="AV1" s="308"/>
      <c r="AW1" s="308"/>
      <c r="AX1" s="308"/>
      <c r="AY1" s="308"/>
      <c r="AZ1" s="308"/>
      <c r="BA1" s="308"/>
      <c r="BB1" s="147" t="s">
        <v>236</v>
      </c>
      <c r="BC1" s="147" t="s">
        <v>237</v>
      </c>
      <c r="BD1" s="308" t="s">
        <v>246</v>
      </c>
      <c r="BE1" s="308"/>
      <c r="BF1" s="308"/>
      <c r="BG1" s="308"/>
      <c r="BH1" s="308"/>
      <c r="BI1" s="308"/>
      <c r="BJ1" s="308"/>
      <c r="BK1" s="308"/>
      <c r="BL1" s="147" t="s">
        <v>237</v>
      </c>
      <c r="BM1" s="147" t="s">
        <v>247</v>
      </c>
      <c r="BN1" s="147" t="s">
        <v>248</v>
      </c>
      <c r="BO1" s="147" t="s">
        <v>249</v>
      </c>
      <c r="BP1" s="147"/>
      <c r="BQ1" s="145"/>
      <c r="BR1" s="144"/>
      <c r="BS1" s="147"/>
      <c r="BT1" s="147" t="s">
        <v>250</v>
      </c>
      <c r="BU1" s="221" t="s">
        <v>251</v>
      </c>
      <c r="BV1" s="147"/>
      <c r="BW1" s="147" t="s">
        <v>250</v>
      </c>
      <c r="BX1" s="147" t="s">
        <v>252</v>
      </c>
      <c r="BY1" s="145"/>
      <c r="BZ1" s="145"/>
      <c r="CA1" s="145"/>
      <c r="CB1" s="145"/>
      <c r="CC1" s="145"/>
      <c r="CD1" s="145"/>
      <c r="CE1" s="145"/>
      <c r="CF1" s="145"/>
      <c r="CG1" s="309" t="s">
        <v>253</v>
      </c>
      <c r="CH1" s="309"/>
      <c r="CI1" s="309"/>
      <c r="CJ1" s="309"/>
      <c r="CK1" s="144" t="s">
        <v>254</v>
      </c>
      <c r="CL1" s="144" t="s">
        <v>255</v>
      </c>
    </row>
    <row r="2" spans="1:90" x14ac:dyDescent="0.3">
      <c r="A2" s="149"/>
      <c r="B2" s="149"/>
      <c r="C2" s="149" t="s">
        <v>256</v>
      </c>
      <c r="D2" s="149"/>
      <c r="E2" s="149"/>
      <c r="F2" s="149"/>
      <c r="G2" s="149"/>
      <c r="H2" s="149" t="s">
        <v>257</v>
      </c>
      <c r="I2" s="150"/>
      <c r="J2" s="151" t="s">
        <v>258</v>
      </c>
      <c r="K2" s="151" t="s">
        <v>258</v>
      </c>
      <c r="L2" s="152"/>
      <c r="M2" s="151" t="s">
        <v>259</v>
      </c>
      <c r="N2" s="138"/>
      <c r="O2" s="152" t="s">
        <v>140</v>
      </c>
      <c r="P2" s="152" t="s">
        <v>260</v>
      </c>
      <c r="Q2" s="152" t="s">
        <v>260</v>
      </c>
      <c r="R2" s="152"/>
      <c r="S2" s="152"/>
      <c r="T2" s="152"/>
      <c r="U2" s="241" t="s">
        <v>140</v>
      </c>
      <c r="V2" s="152" t="s">
        <v>261</v>
      </c>
      <c r="W2" s="152" t="s">
        <v>262</v>
      </c>
      <c r="X2" s="152" t="s">
        <v>263</v>
      </c>
      <c r="Y2" s="152" t="s">
        <v>58</v>
      </c>
      <c r="Z2" s="152" t="s">
        <v>262</v>
      </c>
      <c r="AA2" s="152" t="s">
        <v>263</v>
      </c>
      <c r="AB2" s="152" t="s">
        <v>58</v>
      </c>
      <c r="AC2" s="241" t="s">
        <v>238</v>
      </c>
      <c r="AD2" s="310" t="s">
        <v>264</v>
      </c>
      <c r="AE2" s="310"/>
      <c r="AF2" s="310"/>
      <c r="AG2" s="310"/>
      <c r="AH2" s="311" t="s">
        <v>265</v>
      </c>
      <c r="AI2" s="308"/>
      <c r="AJ2" s="308"/>
      <c r="AK2" s="312"/>
      <c r="AL2" s="153">
        <v>36525</v>
      </c>
      <c r="AM2" s="154" t="s">
        <v>516</v>
      </c>
      <c r="AN2" s="152" t="s">
        <v>266</v>
      </c>
      <c r="AO2" s="152" t="s">
        <v>267</v>
      </c>
      <c r="AP2" s="152" t="s">
        <v>268</v>
      </c>
      <c r="AQ2" s="152" t="s">
        <v>269</v>
      </c>
      <c r="AR2" s="138" t="s">
        <v>270</v>
      </c>
      <c r="AS2" s="152" t="s">
        <v>140</v>
      </c>
      <c r="AT2" s="310" t="s">
        <v>271</v>
      </c>
      <c r="AU2" s="310"/>
      <c r="AV2" s="310"/>
      <c r="AW2" s="310"/>
      <c r="AX2" s="310" t="s">
        <v>266</v>
      </c>
      <c r="AY2" s="310"/>
      <c r="AZ2" s="310"/>
      <c r="BA2" s="310"/>
      <c r="BB2" s="152" t="s">
        <v>269</v>
      </c>
      <c r="BC2" s="152" t="s">
        <v>269</v>
      </c>
      <c r="BD2" s="310" t="s">
        <v>271</v>
      </c>
      <c r="BE2" s="310"/>
      <c r="BF2" s="310"/>
      <c r="BG2" s="310"/>
      <c r="BH2" s="310" t="s">
        <v>266</v>
      </c>
      <c r="BI2" s="310"/>
      <c r="BJ2" s="310"/>
      <c r="BK2" s="310"/>
      <c r="BL2" s="152" t="s">
        <v>268</v>
      </c>
      <c r="BM2" s="152" t="s">
        <v>272</v>
      </c>
      <c r="BN2" s="152" t="s">
        <v>273</v>
      </c>
      <c r="BO2" s="152" t="s">
        <v>274</v>
      </c>
      <c r="BP2" s="155" t="s">
        <v>237</v>
      </c>
      <c r="BQ2" s="152" t="s">
        <v>275</v>
      </c>
      <c r="BR2" s="151" t="s">
        <v>21</v>
      </c>
      <c r="BS2" s="152" t="s">
        <v>276</v>
      </c>
      <c r="BT2" s="152" t="s">
        <v>255</v>
      </c>
      <c r="BU2" s="222" t="s">
        <v>277</v>
      </c>
      <c r="BV2" s="155" t="s">
        <v>278</v>
      </c>
      <c r="BW2" s="152" t="s">
        <v>269</v>
      </c>
      <c r="BX2" s="152" t="s">
        <v>269</v>
      </c>
      <c r="BY2" s="152" t="s">
        <v>264</v>
      </c>
      <c r="BZ2" s="152" t="s">
        <v>271</v>
      </c>
      <c r="CA2" s="152" t="s">
        <v>265</v>
      </c>
      <c r="CB2" s="152" t="s">
        <v>266</v>
      </c>
      <c r="CC2" s="152" t="s">
        <v>264</v>
      </c>
      <c r="CD2" s="152" t="s">
        <v>271</v>
      </c>
      <c r="CE2" s="152" t="s">
        <v>265</v>
      </c>
      <c r="CF2" s="152" t="s">
        <v>266</v>
      </c>
      <c r="CG2" s="310" t="s">
        <v>279</v>
      </c>
      <c r="CH2" s="310"/>
      <c r="CI2" s="310"/>
      <c r="CJ2" s="310"/>
      <c r="CK2" s="151" t="s">
        <v>280</v>
      </c>
      <c r="CL2" s="151" t="s">
        <v>254</v>
      </c>
    </row>
    <row r="3" spans="1:90" x14ac:dyDescent="0.3">
      <c r="A3" s="156" t="s">
        <v>281</v>
      </c>
      <c r="B3" s="156" t="s">
        <v>282</v>
      </c>
      <c r="C3" s="156" t="s">
        <v>283</v>
      </c>
      <c r="D3" s="156" t="s">
        <v>284</v>
      </c>
      <c r="E3" s="156" t="s">
        <v>262</v>
      </c>
      <c r="F3" s="156" t="s">
        <v>145</v>
      </c>
      <c r="G3" s="156" t="s">
        <v>259</v>
      </c>
      <c r="H3" s="156" t="s">
        <v>285</v>
      </c>
      <c r="I3" s="157" t="s">
        <v>276</v>
      </c>
      <c r="J3" s="158" t="s">
        <v>286</v>
      </c>
      <c r="K3" s="158" t="s">
        <v>286</v>
      </c>
      <c r="L3" s="159" t="s">
        <v>267</v>
      </c>
      <c r="M3" s="158" t="s">
        <v>287</v>
      </c>
      <c r="N3" s="158" t="s">
        <v>270</v>
      </c>
      <c r="O3" s="159" t="s">
        <v>288</v>
      </c>
      <c r="P3" s="159" t="s">
        <v>288</v>
      </c>
      <c r="Q3" s="159" t="s">
        <v>288</v>
      </c>
      <c r="R3" s="160" t="s">
        <v>289</v>
      </c>
      <c r="S3" s="160" t="s">
        <v>289</v>
      </c>
      <c r="T3" s="160" t="s">
        <v>289</v>
      </c>
      <c r="U3" s="242">
        <v>36934</v>
      </c>
      <c r="V3" s="160" t="s">
        <v>290</v>
      </c>
      <c r="W3" s="160" t="s">
        <v>7</v>
      </c>
      <c r="X3" s="160" t="s">
        <v>7</v>
      </c>
      <c r="Y3" s="160" t="s">
        <v>7</v>
      </c>
      <c r="Z3" s="160" t="s">
        <v>291</v>
      </c>
      <c r="AA3" s="160" t="s">
        <v>291</v>
      </c>
      <c r="AB3" s="160" t="s">
        <v>291</v>
      </c>
      <c r="AC3" s="242" t="s">
        <v>140</v>
      </c>
      <c r="AD3" s="161" t="s">
        <v>292</v>
      </c>
      <c r="AE3" s="161" t="s">
        <v>293</v>
      </c>
      <c r="AF3" s="161" t="s">
        <v>294</v>
      </c>
      <c r="AG3" s="161" t="s">
        <v>295</v>
      </c>
      <c r="AH3" s="243" t="s">
        <v>292</v>
      </c>
      <c r="AI3" s="161" t="s">
        <v>293</v>
      </c>
      <c r="AJ3" s="161" t="s">
        <v>294</v>
      </c>
      <c r="AK3" s="244" t="s">
        <v>295</v>
      </c>
      <c r="AL3" s="161" t="s">
        <v>296</v>
      </c>
      <c r="AM3" s="160" t="s">
        <v>297</v>
      </c>
      <c r="AN3" s="160" t="s">
        <v>298</v>
      </c>
      <c r="AO3" s="160" t="s">
        <v>299</v>
      </c>
      <c r="AP3" s="160" t="s">
        <v>297</v>
      </c>
      <c r="AQ3" s="160" t="s">
        <v>300</v>
      </c>
      <c r="AR3" s="162" t="s">
        <v>299</v>
      </c>
      <c r="AS3" s="159" t="s">
        <v>301</v>
      </c>
      <c r="AT3" s="161" t="s">
        <v>292</v>
      </c>
      <c r="AU3" s="161" t="s">
        <v>293</v>
      </c>
      <c r="AV3" s="161" t="s">
        <v>294</v>
      </c>
      <c r="AW3" s="161" t="s">
        <v>295</v>
      </c>
      <c r="AX3" s="161" t="s">
        <v>292</v>
      </c>
      <c r="AY3" s="161" t="s">
        <v>293</v>
      </c>
      <c r="AZ3" s="161" t="s">
        <v>294</v>
      </c>
      <c r="BA3" s="161" t="s">
        <v>295</v>
      </c>
      <c r="BB3" s="159" t="s">
        <v>288</v>
      </c>
      <c r="BC3" s="159" t="s">
        <v>288</v>
      </c>
      <c r="BD3" s="161" t="s">
        <v>292</v>
      </c>
      <c r="BE3" s="161" t="s">
        <v>293</v>
      </c>
      <c r="BF3" s="161" t="s">
        <v>294</v>
      </c>
      <c r="BG3" s="161" t="s">
        <v>295</v>
      </c>
      <c r="BH3" s="161" t="s">
        <v>292</v>
      </c>
      <c r="BI3" s="161" t="s">
        <v>293</v>
      </c>
      <c r="BJ3" s="161" t="s">
        <v>294</v>
      </c>
      <c r="BK3" s="161" t="s">
        <v>295</v>
      </c>
      <c r="BL3" s="160" t="s">
        <v>297</v>
      </c>
      <c r="BM3" s="160" t="s">
        <v>302</v>
      </c>
      <c r="BN3" s="160" t="s">
        <v>303</v>
      </c>
      <c r="BO3" s="160" t="s">
        <v>304</v>
      </c>
      <c r="BP3" s="161" t="s">
        <v>294</v>
      </c>
      <c r="BQ3" s="159" t="s">
        <v>288</v>
      </c>
      <c r="BR3" s="158" t="s">
        <v>305</v>
      </c>
      <c r="BS3" s="159" t="s">
        <v>285</v>
      </c>
      <c r="BT3" s="159" t="s">
        <v>298</v>
      </c>
      <c r="BU3" s="223" t="s">
        <v>306</v>
      </c>
      <c r="BV3" s="161" t="s">
        <v>307</v>
      </c>
      <c r="BW3" s="159" t="s">
        <v>308</v>
      </c>
      <c r="BX3" s="159" t="s">
        <v>308</v>
      </c>
      <c r="BY3" s="159" t="s">
        <v>309</v>
      </c>
      <c r="BZ3" s="159" t="s">
        <v>309</v>
      </c>
      <c r="CA3" s="159" t="s">
        <v>309</v>
      </c>
      <c r="CB3" s="159" t="s">
        <v>309</v>
      </c>
      <c r="CC3" s="159" t="s">
        <v>310</v>
      </c>
      <c r="CD3" s="159" t="s">
        <v>310</v>
      </c>
      <c r="CE3" s="159" t="s">
        <v>310</v>
      </c>
      <c r="CF3" s="159" t="s">
        <v>310</v>
      </c>
      <c r="CG3" s="161" t="s">
        <v>292</v>
      </c>
      <c r="CH3" s="161" t="s">
        <v>293</v>
      </c>
      <c r="CI3" s="161" t="s">
        <v>294</v>
      </c>
      <c r="CJ3" s="161" t="s">
        <v>295</v>
      </c>
      <c r="CK3" s="158" t="s">
        <v>287</v>
      </c>
      <c r="CL3" s="158" t="s">
        <v>287</v>
      </c>
    </row>
    <row r="4" spans="1:90" outlineLevel="3" x14ac:dyDescent="0.3">
      <c r="A4" s="137" t="s">
        <v>311</v>
      </c>
      <c r="B4" s="137" t="s">
        <v>312</v>
      </c>
      <c r="C4" s="137" t="s">
        <v>313</v>
      </c>
      <c r="D4" s="137" t="s">
        <v>314</v>
      </c>
      <c r="E4" s="137" t="s">
        <v>195</v>
      </c>
      <c r="F4" s="137" t="s">
        <v>196</v>
      </c>
      <c r="G4" s="137" t="s">
        <v>315</v>
      </c>
      <c r="H4" s="137" t="s">
        <v>316</v>
      </c>
      <c r="I4" s="163" t="s">
        <v>317</v>
      </c>
      <c r="J4" s="164">
        <v>1</v>
      </c>
      <c r="K4" s="165">
        <v>1</v>
      </c>
      <c r="L4" s="166">
        <v>0</v>
      </c>
      <c r="M4" s="167">
        <v>0</v>
      </c>
      <c r="N4" s="167">
        <v>1</v>
      </c>
      <c r="O4" s="166">
        <v>5538616.8799999999</v>
      </c>
      <c r="P4" s="168">
        <v>5538616.8799999999</v>
      </c>
      <c r="Q4" s="169">
        <v>0</v>
      </c>
      <c r="R4" s="169" t="s">
        <v>318</v>
      </c>
      <c r="S4" s="279">
        <v>1</v>
      </c>
      <c r="T4" s="169">
        <v>0</v>
      </c>
      <c r="U4" s="245">
        <v>5538616.8799999999</v>
      </c>
      <c r="V4" s="166" t="s">
        <v>319</v>
      </c>
      <c r="W4" s="166">
        <v>0</v>
      </c>
      <c r="X4" s="166">
        <v>0</v>
      </c>
      <c r="Y4" s="166">
        <v>0</v>
      </c>
      <c r="Z4" s="166">
        <v>0</v>
      </c>
      <c r="AA4" s="166">
        <v>0</v>
      </c>
      <c r="AB4" s="166">
        <v>0</v>
      </c>
      <c r="AC4" s="245">
        <v>5538616.8799999999</v>
      </c>
      <c r="AD4" s="166">
        <v>0</v>
      </c>
      <c r="AE4" s="166">
        <v>0</v>
      </c>
      <c r="AF4" s="166">
        <v>0</v>
      </c>
      <c r="AG4" s="166">
        <v>0</v>
      </c>
      <c r="AH4" s="246">
        <v>0</v>
      </c>
      <c r="AI4" s="166">
        <v>0</v>
      </c>
      <c r="AJ4" s="166">
        <v>0</v>
      </c>
      <c r="AK4" s="247">
        <v>0</v>
      </c>
      <c r="AL4" s="170">
        <v>0</v>
      </c>
      <c r="AM4" s="166">
        <v>5407002.8799999999</v>
      </c>
      <c r="AN4" s="167">
        <v>0</v>
      </c>
      <c r="AO4" s="170">
        <v>0</v>
      </c>
      <c r="AP4" s="166">
        <v>5407002.8799999999</v>
      </c>
      <c r="AQ4" s="171">
        <v>1</v>
      </c>
      <c r="AR4" s="166">
        <v>5538616.8799999999</v>
      </c>
      <c r="AS4" s="166">
        <v>5538616.8799999999</v>
      </c>
      <c r="AT4" s="166">
        <v>0</v>
      </c>
      <c r="AU4" s="166">
        <v>0</v>
      </c>
      <c r="AV4" s="166">
        <v>0</v>
      </c>
      <c r="AW4" s="166">
        <v>0</v>
      </c>
      <c r="AX4" s="166">
        <v>0</v>
      </c>
      <c r="AY4" s="166">
        <v>0</v>
      </c>
      <c r="AZ4" s="166">
        <v>0</v>
      </c>
      <c r="BA4" s="166">
        <v>0</v>
      </c>
      <c r="BB4" s="166" t="s">
        <v>196</v>
      </c>
      <c r="BC4" s="166" t="s">
        <v>196</v>
      </c>
      <c r="BD4" s="166">
        <v>0</v>
      </c>
      <c r="BE4" s="166">
        <v>0</v>
      </c>
      <c r="BF4" s="166">
        <v>0</v>
      </c>
      <c r="BG4" s="166">
        <v>0</v>
      </c>
      <c r="BH4" s="166">
        <v>0</v>
      </c>
      <c r="BI4" s="166">
        <v>0</v>
      </c>
      <c r="BJ4" s="166">
        <v>0</v>
      </c>
      <c r="BK4" s="166">
        <v>0</v>
      </c>
      <c r="BL4" s="166">
        <v>5407002.8799999999</v>
      </c>
      <c r="BM4" s="166" t="s">
        <v>320</v>
      </c>
      <c r="BN4" s="166">
        <v>0</v>
      </c>
      <c r="BO4" s="166" t="b">
        <v>0</v>
      </c>
      <c r="BP4" s="166">
        <v>0</v>
      </c>
      <c r="BQ4" s="172">
        <v>0</v>
      </c>
      <c r="BR4" s="167">
        <v>0</v>
      </c>
      <c r="BS4" s="173">
        <v>76</v>
      </c>
      <c r="BT4" s="167">
        <v>0</v>
      </c>
      <c r="BU4" s="231">
        <v>0</v>
      </c>
      <c r="BV4" s="167">
        <v>92</v>
      </c>
      <c r="BW4" s="174">
        <v>0</v>
      </c>
      <c r="BX4" s="174">
        <v>0</v>
      </c>
      <c r="BY4" s="166">
        <v>0</v>
      </c>
      <c r="BZ4" s="166">
        <v>0</v>
      </c>
      <c r="CA4" s="166">
        <v>131614</v>
      </c>
      <c r="CB4" s="166">
        <v>131614</v>
      </c>
      <c r="CC4" s="166">
        <v>0</v>
      </c>
      <c r="CD4" s="166">
        <v>0</v>
      </c>
      <c r="CE4" s="166">
        <v>0</v>
      </c>
      <c r="CF4" s="166">
        <v>0</v>
      </c>
      <c r="CG4" s="166">
        <v>0</v>
      </c>
      <c r="CH4" s="166">
        <v>0</v>
      </c>
      <c r="CI4" s="166">
        <v>0</v>
      </c>
      <c r="CJ4" s="166">
        <v>0</v>
      </c>
      <c r="CK4" s="167">
        <v>0</v>
      </c>
      <c r="CL4" s="167">
        <v>0</v>
      </c>
    </row>
    <row r="5" spans="1:90" s="189" customFormat="1" ht="20.100000000000001" customHeight="1" outlineLevel="2" x14ac:dyDescent="0.3">
      <c r="A5" s="175" t="s">
        <v>321</v>
      </c>
      <c r="B5" s="176"/>
      <c r="C5" s="176"/>
      <c r="D5" s="176"/>
      <c r="E5" s="176"/>
      <c r="F5" s="176"/>
      <c r="G5" s="176"/>
      <c r="H5" s="176"/>
      <c r="I5" s="177"/>
      <c r="J5" s="178"/>
      <c r="K5" s="179"/>
      <c r="L5" s="180"/>
      <c r="M5" s="181"/>
      <c r="N5" s="181"/>
      <c r="O5" s="180"/>
      <c r="P5" s="182"/>
      <c r="Q5" s="183"/>
      <c r="R5" s="183">
        <v>0</v>
      </c>
      <c r="S5" s="280">
        <v>1</v>
      </c>
      <c r="T5" s="183">
        <v>0</v>
      </c>
      <c r="U5" s="248">
        <v>5538616.8799999999</v>
      </c>
      <c r="V5" s="180"/>
      <c r="W5" s="180">
        <v>0</v>
      </c>
      <c r="X5" s="180">
        <v>0</v>
      </c>
      <c r="Y5" s="180">
        <v>0</v>
      </c>
      <c r="Z5" s="180">
        <v>0</v>
      </c>
      <c r="AA5" s="180">
        <v>0</v>
      </c>
      <c r="AB5" s="180">
        <v>0</v>
      </c>
      <c r="AC5" s="248">
        <v>5538616.8799999999</v>
      </c>
      <c r="AD5" s="180">
        <v>0</v>
      </c>
      <c r="AE5" s="180">
        <v>0</v>
      </c>
      <c r="AF5" s="180">
        <v>0</v>
      </c>
      <c r="AG5" s="180">
        <v>0</v>
      </c>
      <c r="AH5" s="249">
        <v>0</v>
      </c>
      <c r="AI5" s="180">
        <v>0</v>
      </c>
      <c r="AJ5" s="180">
        <v>0</v>
      </c>
      <c r="AK5" s="250">
        <v>0</v>
      </c>
      <c r="AL5" s="184"/>
      <c r="AM5" s="180">
        <v>5407002.8799999999</v>
      </c>
      <c r="AN5" s="181"/>
      <c r="AO5" s="184"/>
      <c r="AP5" s="180">
        <v>5407002.8799999999</v>
      </c>
      <c r="AQ5" s="185"/>
      <c r="AR5" s="180"/>
      <c r="AS5" s="180"/>
      <c r="AT5" s="180">
        <v>0</v>
      </c>
      <c r="AU5" s="180">
        <v>0</v>
      </c>
      <c r="AV5" s="180">
        <v>0</v>
      </c>
      <c r="AW5" s="180">
        <v>0</v>
      </c>
      <c r="AX5" s="180">
        <v>0</v>
      </c>
      <c r="AY5" s="180">
        <v>0</v>
      </c>
      <c r="AZ5" s="180">
        <v>0</v>
      </c>
      <c r="BA5" s="180">
        <v>0</v>
      </c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6"/>
      <c r="BR5" s="181"/>
      <c r="BS5" s="187"/>
      <c r="BT5" s="181"/>
      <c r="BU5" s="224"/>
      <c r="BV5" s="181"/>
      <c r="BW5" s="188"/>
      <c r="BX5" s="188"/>
      <c r="BY5" s="180"/>
      <c r="BZ5" s="180"/>
      <c r="CA5" s="180">
        <v>131614</v>
      </c>
      <c r="CB5" s="180"/>
      <c r="CC5" s="180"/>
      <c r="CD5" s="180"/>
      <c r="CE5" s="180"/>
      <c r="CF5" s="180"/>
      <c r="CG5" s="180"/>
      <c r="CH5" s="180"/>
      <c r="CI5" s="180"/>
      <c r="CJ5" s="180"/>
      <c r="CK5" s="181"/>
      <c r="CL5" s="181"/>
    </row>
    <row r="6" spans="1:90" s="200" customFormat="1" ht="30" customHeight="1" outlineLevel="1" x14ac:dyDescent="0.3">
      <c r="A6" s="176"/>
      <c r="B6" s="175" t="s">
        <v>324</v>
      </c>
      <c r="C6" s="176"/>
      <c r="D6" s="176"/>
      <c r="E6" s="176"/>
      <c r="F6" s="176"/>
      <c r="G6" s="176"/>
      <c r="H6" s="176"/>
      <c r="I6" s="177"/>
      <c r="J6" s="190"/>
      <c r="K6" s="190"/>
      <c r="L6" s="191"/>
      <c r="M6" s="192"/>
      <c r="N6" s="192"/>
      <c r="O6" s="191"/>
      <c r="P6" s="193"/>
      <c r="Q6" s="194"/>
      <c r="R6" s="194">
        <v>0</v>
      </c>
      <c r="S6" s="281">
        <v>1</v>
      </c>
      <c r="T6" s="194">
        <v>0</v>
      </c>
      <c r="U6" s="251">
        <v>5538616.8799999999</v>
      </c>
      <c r="V6" s="191"/>
      <c r="W6" s="191">
        <v>0</v>
      </c>
      <c r="X6" s="191">
        <v>0</v>
      </c>
      <c r="Y6" s="191">
        <v>0</v>
      </c>
      <c r="Z6" s="191">
        <v>0</v>
      </c>
      <c r="AA6" s="191">
        <v>0</v>
      </c>
      <c r="AB6" s="191">
        <v>0</v>
      </c>
      <c r="AC6" s="251">
        <v>5538616.8799999999</v>
      </c>
      <c r="AD6" s="191">
        <v>0</v>
      </c>
      <c r="AE6" s="191">
        <v>0</v>
      </c>
      <c r="AF6" s="191">
        <v>0</v>
      </c>
      <c r="AG6" s="191">
        <v>0</v>
      </c>
      <c r="AH6" s="252">
        <v>0</v>
      </c>
      <c r="AI6" s="191">
        <v>0</v>
      </c>
      <c r="AJ6" s="191">
        <v>0</v>
      </c>
      <c r="AK6" s="253">
        <v>0</v>
      </c>
      <c r="AL6" s="195"/>
      <c r="AM6" s="191">
        <v>5407002.8799999999</v>
      </c>
      <c r="AN6" s="192"/>
      <c r="AO6" s="195"/>
      <c r="AP6" s="191">
        <v>5407002.8799999999</v>
      </c>
      <c r="AQ6" s="196"/>
      <c r="AR6" s="191"/>
      <c r="AS6" s="191"/>
      <c r="AT6" s="191">
        <v>0</v>
      </c>
      <c r="AU6" s="191">
        <v>0</v>
      </c>
      <c r="AV6" s="191">
        <v>0</v>
      </c>
      <c r="AW6" s="191">
        <v>0</v>
      </c>
      <c r="AX6" s="191">
        <v>0</v>
      </c>
      <c r="AY6" s="191">
        <v>0</v>
      </c>
      <c r="AZ6" s="191">
        <v>0</v>
      </c>
      <c r="BA6" s="191">
        <v>0</v>
      </c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7"/>
      <c r="BR6" s="192"/>
      <c r="BS6" s="198"/>
      <c r="BT6" s="192"/>
      <c r="BU6" s="225"/>
      <c r="BV6" s="192"/>
      <c r="BW6" s="199"/>
      <c r="BX6" s="199"/>
      <c r="BY6" s="191"/>
      <c r="BZ6" s="191"/>
      <c r="CA6" s="191">
        <v>131614</v>
      </c>
      <c r="CB6" s="191"/>
      <c r="CC6" s="191"/>
      <c r="CD6" s="191"/>
      <c r="CE6" s="191"/>
      <c r="CF6" s="191"/>
      <c r="CG6" s="191"/>
      <c r="CH6" s="191"/>
      <c r="CI6" s="191"/>
      <c r="CJ6" s="191"/>
      <c r="CK6" s="192"/>
      <c r="CL6" s="192"/>
    </row>
    <row r="7" spans="1:90" outlineLevel="3" x14ac:dyDescent="0.3">
      <c r="A7" s="137" t="s">
        <v>431</v>
      </c>
      <c r="B7" s="137" t="s">
        <v>432</v>
      </c>
      <c r="C7" s="137" t="s">
        <v>433</v>
      </c>
      <c r="D7" s="137" t="s">
        <v>434</v>
      </c>
      <c r="E7" s="137" t="s">
        <v>435</v>
      </c>
      <c r="F7" s="137" t="s">
        <v>436</v>
      </c>
      <c r="G7" s="137" t="s">
        <v>437</v>
      </c>
      <c r="H7" s="137" t="s">
        <v>322</v>
      </c>
      <c r="I7" s="163" t="s">
        <v>317</v>
      </c>
      <c r="J7" s="165">
        <v>1092426</v>
      </c>
      <c r="K7" s="165">
        <v>1092426</v>
      </c>
      <c r="L7" s="167">
        <v>0</v>
      </c>
      <c r="M7" s="167">
        <v>0</v>
      </c>
      <c r="N7" s="167">
        <v>1</v>
      </c>
      <c r="O7" s="166">
        <v>23.875</v>
      </c>
      <c r="P7" s="168">
        <v>25.0625</v>
      </c>
      <c r="Q7" s="168">
        <v>-1.1875</v>
      </c>
      <c r="R7" s="169">
        <v>0</v>
      </c>
      <c r="S7" s="279">
        <v>1</v>
      </c>
      <c r="T7" s="169">
        <v>0</v>
      </c>
      <c r="U7" s="245">
        <v>26081670.75</v>
      </c>
      <c r="V7" s="166" t="s">
        <v>319</v>
      </c>
      <c r="W7" s="166">
        <v>0</v>
      </c>
      <c r="X7" s="166">
        <v>0</v>
      </c>
      <c r="Y7" s="166">
        <v>0</v>
      </c>
      <c r="Z7" s="166">
        <v>0</v>
      </c>
      <c r="AA7" s="166">
        <v>0</v>
      </c>
      <c r="AB7" s="166">
        <v>0</v>
      </c>
      <c r="AC7" s="245">
        <v>27378926.625</v>
      </c>
      <c r="AD7" s="166">
        <v>-1297255.875</v>
      </c>
      <c r="AE7" s="166">
        <v>0</v>
      </c>
      <c r="AF7" s="166">
        <v>1297255.875</v>
      </c>
      <c r="AG7" s="166">
        <v>0</v>
      </c>
      <c r="AH7" s="246">
        <v>-813505.51666666567</v>
      </c>
      <c r="AI7" s="166">
        <v>0</v>
      </c>
      <c r="AJ7" s="166">
        <v>813505.51666666567</v>
      </c>
      <c r="AK7" s="247">
        <v>0</v>
      </c>
      <c r="AL7" s="170">
        <v>0</v>
      </c>
      <c r="AM7" s="166">
        <v>26925615.25</v>
      </c>
      <c r="AN7" s="167">
        <v>0</v>
      </c>
      <c r="AO7" s="170">
        <v>0</v>
      </c>
      <c r="AP7" s="166">
        <v>104012148.25</v>
      </c>
      <c r="AQ7" s="171">
        <v>1</v>
      </c>
      <c r="AR7" s="166">
        <v>26081670.75</v>
      </c>
      <c r="AS7" s="166">
        <v>23.875</v>
      </c>
      <c r="AT7" s="166">
        <v>-12699452.25</v>
      </c>
      <c r="AU7" s="166">
        <v>0</v>
      </c>
      <c r="AV7" s="166">
        <v>12699452.25</v>
      </c>
      <c r="AW7" s="166">
        <v>0</v>
      </c>
      <c r="AX7" s="166">
        <v>-813505.51666666567</v>
      </c>
      <c r="AY7" s="166">
        <v>0</v>
      </c>
      <c r="AZ7" s="166">
        <v>813505.51666666567</v>
      </c>
      <c r="BA7" s="166">
        <v>0</v>
      </c>
      <c r="BB7" s="166">
        <v>23.875</v>
      </c>
      <c r="BC7" s="166">
        <v>25.0625</v>
      </c>
      <c r="BD7" s="166">
        <v>-11402196.375</v>
      </c>
      <c r="BE7" s="166">
        <v>0</v>
      </c>
      <c r="BF7" s="166">
        <v>11402196.375</v>
      </c>
      <c r="BG7" s="166">
        <v>0</v>
      </c>
      <c r="BH7" s="166">
        <v>483750.35833333433</v>
      </c>
      <c r="BI7" s="166">
        <v>0</v>
      </c>
      <c r="BJ7" s="166">
        <v>-483750.35833333433</v>
      </c>
      <c r="BK7" s="166">
        <v>0</v>
      </c>
      <c r="BL7" s="166">
        <v>104012148.25</v>
      </c>
      <c r="BM7" s="166" t="s">
        <v>323</v>
      </c>
      <c r="BN7" s="166">
        <v>0</v>
      </c>
      <c r="BO7" s="166" t="b">
        <v>0</v>
      </c>
      <c r="BP7" s="166">
        <v>-483750.35833333433</v>
      </c>
      <c r="BQ7" s="168">
        <v>3</v>
      </c>
      <c r="BR7" s="167">
        <v>3277278</v>
      </c>
      <c r="BS7" s="173">
        <v>58</v>
      </c>
      <c r="BT7" s="167">
        <v>-1297255.875</v>
      </c>
      <c r="BU7" s="231">
        <v>0</v>
      </c>
      <c r="BV7" s="167">
        <v>45</v>
      </c>
      <c r="BW7" s="174">
        <v>23.875</v>
      </c>
      <c r="BX7" s="174">
        <v>0</v>
      </c>
      <c r="BY7" s="166">
        <v>0</v>
      </c>
      <c r="BZ7" s="166">
        <v>0</v>
      </c>
      <c r="CA7" s="166">
        <v>-30438.983333333301</v>
      </c>
      <c r="CB7" s="166">
        <v>-30438.983333333301</v>
      </c>
      <c r="CC7" s="166">
        <v>0</v>
      </c>
      <c r="CD7" s="166">
        <v>0</v>
      </c>
      <c r="CE7" s="166">
        <v>0</v>
      </c>
      <c r="CF7" s="166">
        <v>0</v>
      </c>
      <c r="CG7" s="166">
        <v>483750.35833333433</v>
      </c>
      <c r="CH7" s="166">
        <v>0</v>
      </c>
      <c r="CI7" s="166">
        <v>-483750.35833333433</v>
      </c>
      <c r="CJ7" s="166">
        <v>0</v>
      </c>
      <c r="CK7" s="167">
        <v>0</v>
      </c>
      <c r="CL7" s="167">
        <v>0</v>
      </c>
    </row>
    <row r="8" spans="1:90" s="189" customFormat="1" ht="20.100000000000001" customHeight="1" outlineLevel="2" x14ac:dyDescent="0.3">
      <c r="A8" s="176" t="s">
        <v>438</v>
      </c>
      <c r="B8" s="176"/>
      <c r="C8" s="176"/>
      <c r="D8" s="176"/>
      <c r="E8" s="176"/>
      <c r="F8" s="176"/>
      <c r="G8" s="176"/>
      <c r="H8" s="176"/>
      <c r="I8" s="177"/>
      <c r="J8" s="179"/>
      <c r="K8" s="179"/>
      <c r="L8" s="181"/>
      <c r="M8" s="181"/>
      <c r="N8" s="181"/>
      <c r="O8" s="180"/>
      <c r="P8" s="182"/>
      <c r="Q8" s="182"/>
      <c r="R8" s="183">
        <v>0</v>
      </c>
      <c r="S8" s="280">
        <v>1</v>
      </c>
      <c r="T8" s="183">
        <v>0</v>
      </c>
      <c r="U8" s="248">
        <v>26081670.75</v>
      </c>
      <c r="V8" s="180"/>
      <c r="W8" s="180">
        <v>0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248">
        <v>27378926.625</v>
      </c>
      <c r="AD8" s="180">
        <v>-1297255.875</v>
      </c>
      <c r="AE8" s="180">
        <v>0</v>
      </c>
      <c r="AF8" s="180">
        <v>1297255.875</v>
      </c>
      <c r="AG8" s="180">
        <v>0</v>
      </c>
      <c r="AH8" s="249">
        <v>-813505.51666666567</v>
      </c>
      <c r="AI8" s="180">
        <v>0</v>
      </c>
      <c r="AJ8" s="180">
        <v>813505.51666666567</v>
      </c>
      <c r="AK8" s="250">
        <v>0</v>
      </c>
      <c r="AL8" s="184"/>
      <c r="AM8" s="180">
        <v>26925615.25</v>
      </c>
      <c r="AN8" s="181"/>
      <c r="AO8" s="184"/>
      <c r="AP8" s="180">
        <v>104012148.25</v>
      </c>
      <c r="AQ8" s="185"/>
      <c r="AR8" s="180"/>
      <c r="AS8" s="180"/>
      <c r="AT8" s="180">
        <v>-12699452.25</v>
      </c>
      <c r="AU8" s="180">
        <v>0</v>
      </c>
      <c r="AV8" s="180">
        <v>12699452.25</v>
      </c>
      <c r="AW8" s="180">
        <v>0</v>
      </c>
      <c r="AX8" s="180">
        <v>-813505.51666666567</v>
      </c>
      <c r="AY8" s="180">
        <v>0</v>
      </c>
      <c r="AZ8" s="180">
        <v>813505.51666666567</v>
      </c>
      <c r="BA8" s="180">
        <v>0</v>
      </c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2"/>
      <c r="BR8" s="181"/>
      <c r="BS8" s="187"/>
      <c r="BT8" s="181"/>
      <c r="BU8" s="224"/>
      <c r="BV8" s="181"/>
      <c r="BW8" s="188"/>
      <c r="BX8" s="188"/>
      <c r="BY8" s="180"/>
      <c r="BZ8" s="180"/>
      <c r="CA8" s="180">
        <v>-30438.983333333301</v>
      </c>
      <c r="CB8" s="180"/>
      <c r="CC8" s="180"/>
      <c r="CD8" s="180"/>
      <c r="CE8" s="180"/>
      <c r="CF8" s="180"/>
      <c r="CG8" s="180"/>
      <c r="CH8" s="180"/>
      <c r="CI8" s="180"/>
      <c r="CJ8" s="180"/>
      <c r="CK8" s="181"/>
      <c r="CL8" s="181"/>
    </row>
    <row r="9" spans="1:90" s="200" customFormat="1" ht="30" customHeight="1" outlineLevel="1" x14ac:dyDescent="0.3">
      <c r="A9" s="176"/>
      <c r="B9" s="176" t="s">
        <v>439</v>
      </c>
      <c r="C9" s="176"/>
      <c r="D9" s="176"/>
      <c r="E9" s="176"/>
      <c r="F9" s="176"/>
      <c r="G9" s="176"/>
      <c r="H9" s="176"/>
      <c r="I9" s="177"/>
      <c r="J9" s="190"/>
      <c r="K9" s="190"/>
      <c r="L9" s="192"/>
      <c r="M9" s="192"/>
      <c r="N9" s="192"/>
      <c r="O9" s="191"/>
      <c r="P9" s="193"/>
      <c r="Q9" s="193"/>
      <c r="R9" s="194">
        <v>0</v>
      </c>
      <c r="S9" s="281">
        <v>1</v>
      </c>
      <c r="T9" s="194">
        <v>0</v>
      </c>
      <c r="U9" s="251">
        <v>26081670.75</v>
      </c>
      <c r="V9" s="191"/>
      <c r="W9" s="191">
        <v>0</v>
      </c>
      <c r="X9" s="191">
        <v>0</v>
      </c>
      <c r="Y9" s="191">
        <v>0</v>
      </c>
      <c r="Z9" s="191">
        <v>0</v>
      </c>
      <c r="AA9" s="191">
        <v>0</v>
      </c>
      <c r="AB9" s="191">
        <v>0</v>
      </c>
      <c r="AC9" s="251">
        <v>27378926.625</v>
      </c>
      <c r="AD9" s="191">
        <v>-1297255.875</v>
      </c>
      <c r="AE9" s="191">
        <v>0</v>
      </c>
      <c r="AF9" s="191">
        <v>1297255.875</v>
      </c>
      <c r="AG9" s="191">
        <v>0</v>
      </c>
      <c r="AH9" s="252">
        <v>-813505.51666666567</v>
      </c>
      <c r="AI9" s="191">
        <v>0</v>
      </c>
      <c r="AJ9" s="191">
        <v>813505.51666666567</v>
      </c>
      <c r="AK9" s="253">
        <v>0</v>
      </c>
      <c r="AL9" s="195"/>
      <c r="AM9" s="191">
        <v>26925615.25</v>
      </c>
      <c r="AN9" s="192"/>
      <c r="AO9" s="195"/>
      <c r="AP9" s="191">
        <v>104012148.25</v>
      </c>
      <c r="AQ9" s="196"/>
      <c r="AR9" s="191"/>
      <c r="AS9" s="191"/>
      <c r="AT9" s="191">
        <v>-12699452.25</v>
      </c>
      <c r="AU9" s="191">
        <v>0</v>
      </c>
      <c r="AV9" s="191">
        <v>12699452.25</v>
      </c>
      <c r="AW9" s="191">
        <v>0</v>
      </c>
      <c r="AX9" s="191">
        <v>-813505.51666666567</v>
      </c>
      <c r="AY9" s="191">
        <v>0</v>
      </c>
      <c r="AZ9" s="191">
        <v>813505.51666666567</v>
      </c>
      <c r="BA9" s="191">
        <v>0</v>
      </c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1"/>
      <c r="BO9" s="191"/>
      <c r="BP9" s="191"/>
      <c r="BQ9" s="193"/>
      <c r="BR9" s="192"/>
      <c r="BS9" s="198"/>
      <c r="BT9" s="192"/>
      <c r="BU9" s="225"/>
      <c r="BV9" s="192"/>
      <c r="BW9" s="199"/>
      <c r="BX9" s="199"/>
      <c r="BY9" s="191"/>
      <c r="BZ9" s="191"/>
      <c r="CA9" s="191">
        <v>-30438.983333333301</v>
      </c>
      <c r="CB9" s="191"/>
      <c r="CC9" s="191"/>
      <c r="CD9" s="191"/>
      <c r="CE9" s="191"/>
      <c r="CF9" s="191"/>
      <c r="CG9" s="191"/>
      <c r="CH9" s="191"/>
      <c r="CI9" s="191"/>
      <c r="CJ9" s="191"/>
      <c r="CK9" s="192"/>
      <c r="CL9" s="192"/>
    </row>
    <row r="10" spans="1:90" outlineLevel="3" x14ac:dyDescent="0.3">
      <c r="A10" s="137" t="s">
        <v>325</v>
      </c>
      <c r="B10" s="137" t="s">
        <v>326</v>
      </c>
      <c r="C10" s="137" t="s">
        <v>332</v>
      </c>
      <c r="D10" s="137" t="s">
        <v>333</v>
      </c>
      <c r="E10" s="137" t="s">
        <v>197</v>
      </c>
      <c r="F10" s="137" t="s">
        <v>196</v>
      </c>
      <c r="G10" s="137" t="s">
        <v>329</v>
      </c>
      <c r="H10" s="137" t="s">
        <v>316</v>
      </c>
      <c r="I10" s="163" t="s">
        <v>331</v>
      </c>
      <c r="J10" s="165">
        <v>1</v>
      </c>
      <c r="K10" s="165">
        <v>1</v>
      </c>
      <c r="L10" s="167">
        <v>0</v>
      </c>
      <c r="M10" s="167">
        <v>0</v>
      </c>
      <c r="N10" s="167">
        <v>0</v>
      </c>
      <c r="O10" s="166">
        <v>4731610.54</v>
      </c>
      <c r="P10" s="167">
        <v>4731610.54</v>
      </c>
      <c r="Q10" s="167">
        <v>0</v>
      </c>
      <c r="R10" s="169" t="s">
        <v>334</v>
      </c>
      <c r="S10" s="279">
        <v>1</v>
      </c>
      <c r="T10" s="169">
        <v>0</v>
      </c>
      <c r="U10" s="245">
        <v>4731610.54</v>
      </c>
      <c r="V10" s="166" t="s">
        <v>319</v>
      </c>
      <c r="W10" s="166">
        <v>0</v>
      </c>
      <c r="X10" s="166">
        <v>0</v>
      </c>
      <c r="Y10" s="166">
        <v>0</v>
      </c>
      <c r="Z10" s="166">
        <v>0</v>
      </c>
      <c r="AA10" s="166">
        <v>0</v>
      </c>
      <c r="AB10" s="166">
        <v>0</v>
      </c>
      <c r="AC10" s="245">
        <v>4731610.54</v>
      </c>
      <c r="AD10" s="166">
        <v>0</v>
      </c>
      <c r="AE10" s="166">
        <v>0</v>
      </c>
      <c r="AF10" s="166">
        <v>0</v>
      </c>
      <c r="AG10" s="166">
        <v>0</v>
      </c>
      <c r="AH10" s="246">
        <v>0</v>
      </c>
      <c r="AI10" s="166">
        <v>0</v>
      </c>
      <c r="AJ10" s="166">
        <v>0</v>
      </c>
      <c r="AK10" s="247">
        <v>0</v>
      </c>
      <c r="AL10" s="170">
        <v>0</v>
      </c>
      <c r="AM10" s="166">
        <v>4663184</v>
      </c>
      <c r="AN10" s="167">
        <v>0</v>
      </c>
      <c r="AO10" s="170">
        <v>0</v>
      </c>
      <c r="AP10" s="166">
        <v>4663184</v>
      </c>
      <c r="AQ10" s="171">
        <v>1</v>
      </c>
      <c r="AR10" s="166">
        <v>0</v>
      </c>
      <c r="AS10" s="166">
        <v>4731610.54</v>
      </c>
      <c r="AT10" s="166">
        <v>0</v>
      </c>
      <c r="AU10" s="166">
        <v>0</v>
      </c>
      <c r="AV10" s="166">
        <v>0</v>
      </c>
      <c r="AW10" s="166">
        <v>0</v>
      </c>
      <c r="AX10" s="166">
        <v>0</v>
      </c>
      <c r="AY10" s="166">
        <v>0</v>
      </c>
      <c r="AZ10" s="166">
        <v>0</v>
      </c>
      <c r="BA10" s="166">
        <v>0</v>
      </c>
      <c r="BB10" s="166" t="s">
        <v>196</v>
      </c>
      <c r="BC10" s="166" t="s">
        <v>196</v>
      </c>
      <c r="BD10" s="166">
        <v>0</v>
      </c>
      <c r="BE10" s="166">
        <v>0</v>
      </c>
      <c r="BF10" s="166">
        <v>0</v>
      </c>
      <c r="BG10" s="166">
        <v>0</v>
      </c>
      <c r="BH10" s="166">
        <v>0</v>
      </c>
      <c r="BI10" s="166">
        <v>0</v>
      </c>
      <c r="BJ10" s="166">
        <v>0</v>
      </c>
      <c r="BK10" s="166">
        <v>0</v>
      </c>
      <c r="BL10" s="166">
        <v>4663184</v>
      </c>
      <c r="BM10" s="166" t="s">
        <v>320</v>
      </c>
      <c r="BN10" s="166">
        <v>0</v>
      </c>
      <c r="BO10" s="166" t="b">
        <v>0</v>
      </c>
      <c r="BP10" s="166">
        <v>0</v>
      </c>
      <c r="BQ10" s="168">
        <v>0</v>
      </c>
      <c r="BR10" s="167">
        <v>0</v>
      </c>
      <c r="BS10" s="173">
        <v>78</v>
      </c>
      <c r="BT10" s="167">
        <v>0</v>
      </c>
      <c r="BU10" s="231">
        <v>0</v>
      </c>
      <c r="BV10" s="167">
        <v>112</v>
      </c>
      <c r="BW10" s="174">
        <v>0</v>
      </c>
      <c r="BX10" s="174">
        <v>0</v>
      </c>
      <c r="BY10" s="166">
        <v>0</v>
      </c>
      <c r="BZ10" s="166">
        <v>0</v>
      </c>
      <c r="CA10" s="166">
        <v>68426.539999999994</v>
      </c>
      <c r="CB10" s="166">
        <v>68426.539999999994</v>
      </c>
      <c r="CC10" s="166">
        <v>0</v>
      </c>
      <c r="CD10" s="166">
        <v>0</v>
      </c>
      <c r="CE10" s="166">
        <v>0</v>
      </c>
      <c r="CF10" s="166">
        <v>0</v>
      </c>
      <c r="CG10" s="166">
        <v>0</v>
      </c>
      <c r="CH10" s="166">
        <v>0</v>
      </c>
      <c r="CI10" s="166">
        <v>0</v>
      </c>
      <c r="CJ10" s="166">
        <v>0</v>
      </c>
      <c r="CK10" s="167">
        <v>0</v>
      </c>
      <c r="CL10" s="167">
        <v>0</v>
      </c>
    </row>
    <row r="11" spans="1:90" outlineLevel="3" x14ac:dyDescent="0.3">
      <c r="A11" s="137" t="s">
        <v>325</v>
      </c>
      <c r="B11" s="137" t="s">
        <v>326</v>
      </c>
      <c r="C11" s="137" t="s">
        <v>332</v>
      </c>
      <c r="D11" s="137" t="s">
        <v>333</v>
      </c>
      <c r="E11" s="137" t="s">
        <v>198</v>
      </c>
      <c r="F11" s="137" t="s">
        <v>196</v>
      </c>
      <c r="G11" s="137" t="s">
        <v>500</v>
      </c>
      <c r="H11" s="137" t="s">
        <v>316</v>
      </c>
      <c r="I11" s="163" t="s">
        <v>331</v>
      </c>
      <c r="J11" s="165">
        <v>1</v>
      </c>
      <c r="K11" s="165">
        <v>1</v>
      </c>
      <c r="L11" s="167">
        <v>0</v>
      </c>
      <c r="M11" s="167">
        <v>0</v>
      </c>
      <c r="N11" s="167">
        <v>0</v>
      </c>
      <c r="O11" s="166">
        <v>21605090</v>
      </c>
      <c r="P11" s="167">
        <v>21605090</v>
      </c>
      <c r="Q11" s="167">
        <v>0</v>
      </c>
      <c r="R11" s="169" t="s">
        <v>335</v>
      </c>
      <c r="S11" s="282">
        <v>1</v>
      </c>
      <c r="T11" s="169">
        <v>0</v>
      </c>
      <c r="U11" s="245">
        <v>21605090</v>
      </c>
      <c r="V11" s="166" t="s">
        <v>319</v>
      </c>
      <c r="W11" s="166">
        <v>0</v>
      </c>
      <c r="X11" s="166">
        <v>0</v>
      </c>
      <c r="Y11" s="166">
        <v>0</v>
      </c>
      <c r="Z11" s="166">
        <v>0</v>
      </c>
      <c r="AA11" s="166">
        <v>0</v>
      </c>
      <c r="AB11" s="166">
        <v>0</v>
      </c>
      <c r="AC11" s="245">
        <v>21605090</v>
      </c>
      <c r="AD11" s="166">
        <v>0</v>
      </c>
      <c r="AE11" s="166">
        <v>0</v>
      </c>
      <c r="AF11" s="166">
        <v>0</v>
      </c>
      <c r="AG11" s="166">
        <v>0</v>
      </c>
      <c r="AH11" s="246">
        <v>0</v>
      </c>
      <c r="AI11" s="166">
        <v>0</v>
      </c>
      <c r="AJ11" s="166">
        <v>0</v>
      </c>
      <c r="AK11" s="247">
        <v>0</v>
      </c>
      <c r="AL11" s="170">
        <v>0</v>
      </c>
      <c r="AM11" s="166">
        <v>21605090</v>
      </c>
      <c r="AN11" s="167">
        <v>0</v>
      </c>
      <c r="AO11" s="170">
        <v>0</v>
      </c>
      <c r="AP11" s="166">
        <v>21605090</v>
      </c>
      <c r="AQ11" s="171">
        <v>1</v>
      </c>
      <c r="AR11" s="166">
        <v>0</v>
      </c>
      <c r="AS11" s="166">
        <v>21605090</v>
      </c>
      <c r="AT11" s="166">
        <v>0</v>
      </c>
      <c r="AU11" s="166">
        <v>0</v>
      </c>
      <c r="AV11" s="166">
        <v>0</v>
      </c>
      <c r="AW11" s="166">
        <v>0</v>
      </c>
      <c r="AX11" s="166">
        <v>0</v>
      </c>
      <c r="AY11" s="166">
        <v>0</v>
      </c>
      <c r="AZ11" s="166">
        <v>0</v>
      </c>
      <c r="BA11" s="166">
        <v>0</v>
      </c>
      <c r="BB11" s="166" t="s">
        <v>196</v>
      </c>
      <c r="BC11" s="166" t="s">
        <v>196</v>
      </c>
      <c r="BD11" s="166">
        <v>0</v>
      </c>
      <c r="BE11" s="166">
        <v>0</v>
      </c>
      <c r="BF11" s="166">
        <v>0</v>
      </c>
      <c r="BG11" s="166">
        <v>0</v>
      </c>
      <c r="BH11" s="166">
        <v>0</v>
      </c>
      <c r="BI11" s="166">
        <v>0</v>
      </c>
      <c r="BJ11" s="166">
        <v>0</v>
      </c>
      <c r="BK11" s="166">
        <v>0</v>
      </c>
      <c r="BL11" s="166">
        <v>21605090</v>
      </c>
      <c r="BM11" s="166" t="s">
        <v>320</v>
      </c>
      <c r="BN11" s="166">
        <v>0</v>
      </c>
      <c r="BO11" s="166" t="b">
        <v>0</v>
      </c>
      <c r="BP11" s="166">
        <v>0</v>
      </c>
      <c r="BQ11" s="168">
        <v>0</v>
      </c>
      <c r="BR11" s="167">
        <v>0</v>
      </c>
      <c r="BS11" s="173">
        <v>78</v>
      </c>
      <c r="BT11" s="167">
        <v>0</v>
      </c>
      <c r="BU11" s="231">
        <v>0</v>
      </c>
      <c r="BV11" s="167">
        <v>133</v>
      </c>
      <c r="BW11" s="174">
        <v>0</v>
      </c>
      <c r="BX11" s="174">
        <v>0</v>
      </c>
      <c r="BY11" s="166">
        <v>0</v>
      </c>
      <c r="BZ11" s="166">
        <v>0</v>
      </c>
      <c r="CA11" s="166">
        <v>0</v>
      </c>
      <c r="CB11" s="166">
        <v>0</v>
      </c>
      <c r="CC11" s="166">
        <v>0</v>
      </c>
      <c r="CD11" s="166">
        <v>0</v>
      </c>
      <c r="CE11" s="166">
        <v>0</v>
      </c>
      <c r="CF11" s="166">
        <v>0</v>
      </c>
      <c r="CG11" s="166">
        <v>0</v>
      </c>
      <c r="CH11" s="166">
        <v>0</v>
      </c>
      <c r="CI11" s="166">
        <v>0</v>
      </c>
      <c r="CJ11" s="166">
        <v>0</v>
      </c>
      <c r="CK11" s="167">
        <v>0</v>
      </c>
      <c r="CL11" s="167">
        <v>0</v>
      </c>
    </row>
    <row r="12" spans="1:90" outlineLevel="3" x14ac:dyDescent="0.3">
      <c r="A12" s="137" t="s">
        <v>325</v>
      </c>
      <c r="B12" s="137" t="s">
        <v>326</v>
      </c>
      <c r="C12" s="137" t="s">
        <v>332</v>
      </c>
      <c r="D12" s="137" t="s">
        <v>333</v>
      </c>
      <c r="E12" s="137" t="s">
        <v>470</v>
      </c>
      <c r="F12" s="137" t="s">
        <v>196</v>
      </c>
      <c r="G12" s="137" t="s">
        <v>500</v>
      </c>
      <c r="H12" s="137" t="s">
        <v>316</v>
      </c>
      <c r="I12" s="163" t="s">
        <v>331</v>
      </c>
      <c r="J12" s="165">
        <v>1</v>
      </c>
      <c r="K12" s="165">
        <v>1</v>
      </c>
      <c r="L12" s="167">
        <v>0</v>
      </c>
      <c r="M12" s="167">
        <v>0</v>
      </c>
      <c r="N12" s="167">
        <v>0</v>
      </c>
      <c r="O12" s="166">
        <v>1954995.27</v>
      </c>
      <c r="P12" s="167">
        <v>1954995.27</v>
      </c>
      <c r="Q12" s="167">
        <v>0</v>
      </c>
      <c r="R12" s="169" t="s">
        <v>335</v>
      </c>
      <c r="S12" s="282">
        <v>1</v>
      </c>
      <c r="T12" s="169">
        <v>0</v>
      </c>
      <c r="U12" s="245">
        <v>1954995.27</v>
      </c>
      <c r="V12" s="166" t="s">
        <v>319</v>
      </c>
      <c r="W12" s="166">
        <v>0</v>
      </c>
      <c r="X12" s="166">
        <v>0</v>
      </c>
      <c r="Y12" s="166">
        <v>0</v>
      </c>
      <c r="Z12" s="166">
        <v>0</v>
      </c>
      <c r="AA12" s="166">
        <v>0</v>
      </c>
      <c r="AB12" s="166">
        <v>0</v>
      </c>
      <c r="AC12" s="245">
        <v>1954995.27</v>
      </c>
      <c r="AD12" s="166">
        <v>0</v>
      </c>
      <c r="AE12" s="166">
        <v>0</v>
      </c>
      <c r="AF12" s="166">
        <v>0</v>
      </c>
      <c r="AG12" s="166">
        <v>0</v>
      </c>
      <c r="AH12" s="246">
        <v>0</v>
      </c>
      <c r="AI12" s="166">
        <v>0</v>
      </c>
      <c r="AJ12" s="166">
        <v>0</v>
      </c>
      <c r="AK12" s="247">
        <v>0</v>
      </c>
      <c r="AL12" s="170">
        <v>0</v>
      </c>
      <c r="AM12" s="166">
        <v>1954995.27</v>
      </c>
      <c r="AN12" s="167">
        <v>0</v>
      </c>
      <c r="AO12" s="170">
        <v>0</v>
      </c>
      <c r="AP12" s="166">
        <v>1954995.27</v>
      </c>
      <c r="AQ12" s="171">
        <v>1</v>
      </c>
      <c r="AR12" s="166">
        <v>0</v>
      </c>
      <c r="AS12" s="166">
        <v>1954995.27</v>
      </c>
      <c r="AT12" s="166">
        <v>0</v>
      </c>
      <c r="AU12" s="166">
        <v>0</v>
      </c>
      <c r="AV12" s="166">
        <v>0</v>
      </c>
      <c r="AW12" s="166">
        <v>0</v>
      </c>
      <c r="AX12" s="166">
        <v>0</v>
      </c>
      <c r="AY12" s="166">
        <v>0</v>
      </c>
      <c r="AZ12" s="166">
        <v>0</v>
      </c>
      <c r="BA12" s="166">
        <v>0</v>
      </c>
      <c r="BB12" s="166" t="s">
        <v>196</v>
      </c>
      <c r="BC12" s="166" t="s">
        <v>196</v>
      </c>
      <c r="BD12" s="166">
        <v>0</v>
      </c>
      <c r="BE12" s="166">
        <v>0</v>
      </c>
      <c r="BF12" s="166">
        <v>0</v>
      </c>
      <c r="BG12" s="166">
        <v>0</v>
      </c>
      <c r="BH12" s="166">
        <v>0</v>
      </c>
      <c r="BI12" s="166">
        <v>0</v>
      </c>
      <c r="BJ12" s="166">
        <v>0</v>
      </c>
      <c r="BK12" s="166">
        <v>0</v>
      </c>
      <c r="BL12" s="166">
        <v>1954995.27</v>
      </c>
      <c r="BM12" s="166" t="s">
        <v>320</v>
      </c>
      <c r="BN12" s="166">
        <v>0</v>
      </c>
      <c r="BO12" s="166" t="b">
        <v>0</v>
      </c>
      <c r="BP12" s="166">
        <v>0</v>
      </c>
      <c r="BQ12" s="168">
        <v>0</v>
      </c>
      <c r="BR12" s="167">
        <v>0</v>
      </c>
      <c r="BS12" s="173">
        <v>78</v>
      </c>
      <c r="BT12" s="167">
        <v>0</v>
      </c>
      <c r="BU12" s="231">
        <v>0</v>
      </c>
      <c r="BV12" s="167">
        <v>134</v>
      </c>
      <c r="BW12" s="174">
        <v>0</v>
      </c>
      <c r="BX12" s="174">
        <v>0</v>
      </c>
      <c r="BY12" s="166">
        <v>0</v>
      </c>
      <c r="BZ12" s="166">
        <v>0</v>
      </c>
      <c r="CA12" s="166">
        <v>0</v>
      </c>
      <c r="CB12" s="166">
        <v>0</v>
      </c>
      <c r="CC12" s="166">
        <v>0</v>
      </c>
      <c r="CD12" s="166">
        <v>0</v>
      </c>
      <c r="CE12" s="166">
        <v>0</v>
      </c>
      <c r="CF12" s="166">
        <v>0</v>
      </c>
      <c r="CG12" s="166">
        <v>0</v>
      </c>
      <c r="CH12" s="166">
        <v>0</v>
      </c>
      <c r="CI12" s="166">
        <v>0</v>
      </c>
      <c r="CJ12" s="166">
        <v>0</v>
      </c>
      <c r="CK12" s="167">
        <v>0</v>
      </c>
      <c r="CL12" s="167">
        <v>0</v>
      </c>
    </row>
    <row r="13" spans="1:90" outlineLevel="3" x14ac:dyDescent="0.3">
      <c r="A13" s="137" t="s">
        <v>325</v>
      </c>
      <c r="B13" s="137" t="s">
        <v>326</v>
      </c>
      <c r="C13" s="137" t="s">
        <v>332</v>
      </c>
      <c r="D13" s="137" t="s">
        <v>333</v>
      </c>
      <c r="E13" s="137" t="s">
        <v>199</v>
      </c>
      <c r="F13" s="137" t="s">
        <v>196</v>
      </c>
      <c r="G13" s="137" t="s">
        <v>500</v>
      </c>
      <c r="H13" s="137" t="s">
        <v>316</v>
      </c>
      <c r="I13" s="163" t="s">
        <v>331</v>
      </c>
      <c r="J13" s="165">
        <v>1</v>
      </c>
      <c r="K13" s="165">
        <v>1</v>
      </c>
      <c r="L13" s="167">
        <v>0</v>
      </c>
      <c r="M13" s="167">
        <v>0</v>
      </c>
      <c r="N13" s="167">
        <v>0</v>
      </c>
      <c r="O13" s="166">
        <v>9231875</v>
      </c>
      <c r="P13" s="167">
        <v>9231875</v>
      </c>
      <c r="Q13" s="167">
        <v>0</v>
      </c>
      <c r="R13" s="169" t="s">
        <v>336</v>
      </c>
      <c r="S13" s="282">
        <v>1</v>
      </c>
      <c r="T13" s="169">
        <v>0</v>
      </c>
      <c r="U13" s="245">
        <v>9231875</v>
      </c>
      <c r="V13" s="166" t="s">
        <v>319</v>
      </c>
      <c r="W13" s="166">
        <v>0</v>
      </c>
      <c r="X13" s="166">
        <v>0</v>
      </c>
      <c r="Y13" s="166">
        <v>0</v>
      </c>
      <c r="Z13" s="166">
        <v>0</v>
      </c>
      <c r="AA13" s="166">
        <v>0</v>
      </c>
      <c r="AB13" s="166">
        <v>0</v>
      </c>
      <c r="AC13" s="245">
        <v>9231875</v>
      </c>
      <c r="AD13" s="166">
        <v>0</v>
      </c>
      <c r="AE13" s="166">
        <v>0</v>
      </c>
      <c r="AF13" s="166">
        <v>0</v>
      </c>
      <c r="AG13" s="166">
        <v>0</v>
      </c>
      <c r="AH13" s="246">
        <v>0</v>
      </c>
      <c r="AI13" s="166">
        <v>0</v>
      </c>
      <c r="AJ13" s="166">
        <v>0</v>
      </c>
      <c r="AK13" s="247">
        <v>0</v>
      </c>
      <c r="AL13" s="170">
        <v>0</v>
      </c>
      <c r="AM13" s="166">
        <v>9231875</v>
      </c>
      <c r="AN13" s="167">
        <v>0</v>
      </c>
      <c r="AO13" s="170">
        <v>0</v>
      </c>
      <c r="AP13" s="166">
        <v>9231875</v>
      </c>
      <c r="AQ13" s="171">
        <v>1</v>
      </c>
      <c r="AR13" s="166">
        <v>0</v>
      </c>
      <c r="AS13" s="166">
        <v>9231875</v>
      </c>
      <c r="AT13" s="166">
        <v>0</v>
      </c>
      <c r="AU13" s="166">
        <v>0</v>
      </c>
      <c r="AV13" s="166">
        <v>0</v>
      </c>
      <c r="AW13" s="166">
        <v>0</v>
      </c>
      <c r="AX13" s="166">
        <v>0</v>
      </c>
      <c r="AY13" s="166">
        <v>0</v>
      </c>
      <c r="AZ13" s="166">
        <v>0</v>
      </c>
      <c r="BA13" s="166">
        <v>0</v>
      </c>
      <c r="BB13" s="166" t="s">
        <v>196</v>
      </c>
      <c r="BC13" s="166" t="s">
        <v>196</v>
      </c>
      <c r="BD13" s="166">
        <v>0</v>
      </c>
      <c r="BE13" s="166">
        <v>0</v>
      </c>
      <c r="BF13" s="166">
        <v>0</v>
      </c>
      <c r="BG13" s="166">
        <v>0</v>
      </c>
      <c r="BH13" s="166">
        <v>0</v>
      </c>
      <c r="BI13" s="166">
        <v>0</v>
      </c>
      <c r="BJ13" s="166">
        <v>0</v>
      </c>
      <c r="BK13" s="166">
        <v>0</v>
      </c>
      <c r="BL13" s="166">
        <v>9231875</v>
      </c>
      <c r="BM13" s="166" t="s">
        <v>320</v>
      </c>
      <c r="BN13" s="166">
        <v>0</v>
      </c>
      <c r="BO13" s="166" t="b">
        <v>0</v>
      </c>
      <c r="BP13" s="166">
        <v>0</v>
      </c>
      <c r="BQ13" s="168">
        <v>0</v>
      </c>
      <c r="BR13" s="167">
        <v>0</v>
      </c>
      <c r="BS13" s="173">
        <v>78</v>
      </c>
      <c r="BT13" s="167">
        <v>0</v>
      </c>
      <c r="BU13" s="231">
        <v>0</v>
      </c>
      <c r="BV13" s="167">
        <v>146</v>
      </c>
      <c r="BW13" s="174">
        <v>0</v>
      </c>
      <c r="BX13" s="174">
        <v>0</v>
      </c>
      <c r="BY13" s="166">
        <v>0</v>
      </c>
      <c r="BZ13" s="166">
        <v>0</v>
      </c>
      <c r="CA13" s="166">
        <v>0</v>
      </c>
      <c r="CB13" s="166">
        <v>0</v>
      </c>
      <c r="CC13" s="166">
        <v>0</v>
      </c>
      <c r="CD13" s="166">
        <v>0</v>
      </c>
      <c r="CE13" s="166">
        <v>0</v>
      </c>
      <c r="CF13" s="166">
        <v>0</v>
      </c>
      <c r="CG13" s="166">
        <v>0</v>
      </c>
      <c r="CH13" s="166">
        <v>0</v>
      </c>
      <c r="CI13" s="166">
        <v>0</v>
      </c>
      <c r="CJ13" s="166">
        <v>0</v>
      </c>
      <c r="CK13" s="167">
        <v>0</v>
      </c>
      <c r="CL13" s="167">
        <v>0</v>
      </c>
    </row>
    <row r="14" spans="1:90" outlineLevel="3" x14ac:dyDescent="0.3">
      <c r="A14" s="137" t="s">
        <v>325</v>
      </c>
      <c r="B14" s="137" t="s">
        <v>326</v>
      </c>
      <c r="C14" s="137" t="s">
        <v>332</v>
      </c>
      <c r="D14" s="137" t="s">
        <v>333</v>
      </c>
      <c r="E14" s="137" t="s">
        <v>471</v>
      </c>
      <c r="F14" s="137" t="s">
        <v>196</v>
      </c>
      <c r="G14" s="137" t="s">
        <v>500</v>
      </c>
      <c r="H14" s="137" t="s">
        <v>316</v>
      </c>
      <c r="I14" s="163" t="s">
        <v>331</v>
      </c>
      <c r="J14" s="165">
        <v>1</v>
      </c>
      <c r="K14" s="165">
        <v>1</v>
      </c>
      <c r="L14" s="167">
        <v>0</v>
      </c>
      <c r="M14" s="167">
        <v>0</v>
      </c>
      <c r="N14" s="167">
        <v>0</v>
      </c>
      <c r="O14" s="166">
        <v>1663862.85</v>
      </c>
      <c r="P14" s="167">
        <v>1663862.85</v>
      </c>
      <c r="Q14" s="167">
        <v>0</v>
      </c>
      <c r="R14" s="169" t="s">
        <v>336</v>
      </c>
      <c r="S14" s="282">
        <v>1</v>
      </c>
      <c r="T14" s="169">
        <v>0</v>
      </c>
      <c r="U14" s="245">
        <v>1663862.85</v>
      </c>
      <c r="V14" s="166" t="s">
        <v>319</v>
      </c>
      <c r="W14" s="166">
        <v>0</v>
      </c>
      <c r="X14" s="166">
        <v>0</v>
      </c>
      <c r="Y14" s="166">
        <v>0</v>
      </c>
      <c r="Z14" s="166">
        <v>0</v>
      </c>
      <c r="AA14" s="166">
        <v>0</v>
      </c>
      <c r="AB14" s="166">
        <v>0</v>
      </c>
      <c r="AC14" s="245">
        <v>1663862.85</v>
      </c>
      <c r="AD14" s="166">
        <v>0</v>
      </c>
      <c r="AE14" s="166">
        <v>0</v>
      </c>
      <c r="AF14" s="166">
        <v>0</v>
      </c>
      <c r="AG14" s="166">
        <v>0</v>
      </c>
      <c r="AH14" s="246">
        <v>0</v>
      </c>
      <c r="AI14" s="166">
        <v>0</v>
      </c>
      <c r="AJ14" s="166">
        <v>0</v>
      </c>
      <c r="AK14" s="247">
        <v>0</v>
      </c>
      <c r="AL14" s="170">
        <v>0</v>
      </c>
      <c r="AM14" s="166">
        <v>1663862.85</v>
      </c>
      <c r="AN14" s="167">
        <v>0</v>
      </c>
      <c r="AO14" s="170">
        <v>0</v>
      </c>
      <c r="AP14" s="166">
        <v>1663862.85</v>
      </c>
      <c r="AQ14" s="171">
        <v>1</v>
      </c>
      <c r="AR14" s="166">
        <v>0</v>
      </c>
      <c r="AS14" s="166">
        <v>1663862.85</v>
      </c>
      <c r="AT14" s="166">
        <v>0</v>
      </c>
      <c r="AU14" s="166">
        <v>0</v>
      </c>
      <c r="AV14" s="166">
        <v>0</v>
      </c>
      <c r="AW14" s="166">
        <v>0</v>
      </c>
      <c r="AX14" s="166">
        <v>0</v>
      </c>
      <c r="AY14" s="166">
        <v>0</v>
      </c>
      <c r="AZ14" s="166">
        <v>0</v>
      </c>
      <c r="BA14" s="166">
        <v>0</v>
      </c>
      <c r="BB14" s="166" t="s">
        <v>196</v>
      </c>
      <c r="BC14" s="166" t="s">
        <v>196</v>
      </c>
      <c r="BD14" s="166">
        <v>0</v>
      </c>
      <c r="BE14" s="166">
        <v>0</v>
      </c>
      <c r="BF14" s="166">
        <v>0</v>
      </c>
      <c r="BG14" s="166">
        <v>0</v>
      </c>
      <c r="BH14" s="166">
        <v>0</v>
      </c>
      <c r="BI14" s="166">
        <v>0</v>
      </c>
      <c r="BJ14" s="166">
        <v>0</v>
      </c>
      <c r="BK14" s="166">
        <v>0</v>
      </c>
      <c r="BL14" s="166">
        <v>1663862.85</v>
      </c>
      <c r="BM14" s="166" t="s">
        <v>320</v>
      </c>
      <c r="BN14" s="166">
        <v>0</v>
      </c>
      <c r="BO14" s="166" t="b">
        <v>0</v>
      </c>
      <c r="BP14" s="166">
        <v>0</v>
      </c>
      <c r="BQ14" s="168">
        <v>0</v>
      </c>
      <c r="BR14" s="167">
        <v>0</v>
      </c>
      <c r="BS14" s="173">
        <v>78</v>
      </c>
      <c r="BT14" s="167">
        <v>0</v>
      </c>
      <c r="BU14" s="231">
        <v>0</v>
      </c>
      <c r="BV14" s="167">
        <v>147</v>
      </c>
      <c r="BW14" s="174">
        <v>0</v>
      </c>
      <c r="BX14" s="174">
        <v>0</v>
      </c>
      <c r="BY14" s="166">
        <v>0</v>
      </c>
      <c r="BZ14" s="166">
        <v>0</v>
      </c>
      <c r="CA14" s="166">
        <v>0</v>
      </c>
      <c r="CB14" s="166">
        <v>0</v>
      </c>
      <c r="CC14" s="166">
        <v>0</v>
      </c>
      <c r="CD14" s="166">
        <v>0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  <c r="CJ14" s="166">
        <v>0</v>
      </c>
      <c r="CK14" s="167">
        <v>0</v>
      </c>
      <c r="CL14" s="167">
        <v>0</v>
      </c>
    </row>
    <row r="15" spans="1:90" outlineLevel="3" x14ac:dyDescent="0.3">
      <c r="A15" s="137" t="s">
        <v>325</v>
      </c>
      <c r="B15" s="137" t="s">
        <v>326</v>
      </c>
      <c r="C15" s="137" t="s">
        <v>327</v>
      </c>
      <c r="D15" s="137" t="s">
        <v>328</v>
      </c>
      <c r="E15" s="137" t="s">
        <v>200</v>
      </c>
      <c r="F15" s="137" t="s">
        <v>196</v>
      </c>
      <c r="G15" s="137" t="s">
        <v>329</v>
      </c>
      <c r="H15" s="137" t="s">
        <v>316</v>
      </c>
      <c r="I15" s="163" t="s">
        <v>331</v>
      </c>
      <c r="J15" s="165">
        <v>1</v>
      </c>
      <c r="K15" s="165">
        <v>1</v>
      </c>
      <c r="L15" s="167">
        <v>0</v>
      </c>
      <c r="M15" s="167">
        <v>0</v>
      </c>
      <c r="N15" s="167">
        <v>0</v>
      </c>
      <c r="O15" s="166">
        <v>-2.6193447411060333E-10</v>
      </c>
      <c r="P15" s="167">
        <v>-2.6193447411060333E-10</v>
      </c>
      <c r="Q15" s="167">
        <v>0</v>
      </c>
      <c r="R15" s="169" t="s">
        <v>337</v>
      </c>
      <c r="S15" s="282">
        <v>0.5</v>
      </c>
      <c r="T15" s="169">
        <v>0</v>
      </c>
      <c r="U15" s="245">
        <v>-2.6193447411060333E-10</v>
      </c>
      <c r="V15" s="166" t="s">
        <v>319</v>
      </c>
      <c r="W15" s="166">
        <v>0</v>
      </c>
      <c r="X15" s="166">
        <v>0</v>
      </c>
      <c r="Y15" s="166">
        <v>0</v>
      </c>
      <c r="Z15" s="166">
        <v>0</v>
      </c>
      <c r="AA15" s="166">
        <v>0</v>
      </c>
      <c r="AB15" s="166">
        <v>0</v>
      </c>
      <c r="AC15" s="245">
        <v>-2.6193447411060333E-10</v>
      </c>
      <c r="AD15" s="166">
        <v>0</v>
      </c>
      <c r="AE15" s="166">
        <v>0</v>
      </c>
      <c r="AF15" s="166">
        <v>0</v>
      </c>
      <c r="AG15" s="166">
        <v>0</v>
      </c>
      <c r="AH15" s="246">
        <v>0</v>
      </c>
      <c r="AI15" s="166">
        <v>0</v>
      </c>
      <c r="AJ15" s="166">
        <v>0</v>
      </c>
      <c r="AK15" s="247">
        <v>0</v>
      </c>
      <c r="AL15" s="170">
        <v>0</v>
      </c>
      <c r="AM15" s="166">
        <v>230788.38999999873</v>
      </c>
      <c r="AN15" s="167">
        <v>0</v>
      </c>
      <c r="AO15" s="170">
        <v>0</v>
      </c>
      <c r="AP15" s="166">
        <v>230788.38999999873</v>
      </c>
      <c r="AQ15" s="171">
        <v>1</v>
      </c>
      <c r="AR15" s="166">
        <v>0</v>
      </c>
      <c r="AS15" s="166">
        <v>-2.6193447411060333E-10</v>
      </c>
      <c r="AT15" s="166">
        <v>0</v>
      </c>
      <c r="AU15" s="166">
        <v>0</v>
      </c>
      <c r="AV15" s="166">
        <v>0</v>
      </c>
      <c r="AW15" s="166">
        <v>0</v>
      </c>
      <c r="AX15" s="166">
        <v>0</v>
      </c>
      <c r="AY15" s="166">
        <v>0</v>
      </c>
      <c r="AZ15" s="166">
        <v>0</v>
      </c>
      <c r="BA15" s="166">
        <v>0</v>
      </c>
      <c r="BB15" s="166" t="s">
        <v>196</v>
      </c>
      <c r="BC15" s="166" t="s">
        <v>196</v>
      </c>
      <c r="BD15" s="166">
        <v>0</v>
      </c>
      <c r="BE15" s="166">
        <v>0</v>
      </c>
      <c r="BF15" s="166">
        <v>0</v>
      </c>
      <c r="BG15" s="166">
        <v>0</v>
      </c>
      <c r="BH15" s="166">
        <v>0</v>
      </c>
      <c r="BI15" s="166">
        <v>0</v>
      </c>
      <c r="BJ15" s="166">
        <v>0</v>
      </c>
      <c r="BK15" s="166">
        <v>0</v>
      </c>
      <c r="BL15" s="166">
        <v>230788.38999999873</v>
      </c>
      <c r="BM15" s="166" t="s">
        <v>320</v>
      </c>
      <c r="BN15" s="166">
        <v>0</v>
      </c>
      <c r="BO15" s="166" t="b">
        <v>0</v>
      </c>
      <c r="BP15" s="166">
        <v>0</v>
      </c>
      <c r="BQ15" s="168">
        <v>0</v>
      </c>
      <c r="BR15" s="167">
        <v>0</v>
      </c>
      <c r="BS15" s="173">
        <v>78</v>
      </c>
      <c r="BT15" s="167">
        <v>0</v>
      </c>
      <c r="BU15" s="231">
        <v>0</v>
      </c>
      <c r="BV15" s="167">
        <v>149</v>
      </c>
      <c r="BW15" s="174">
        <v>0</v>
      </c>
      <c r="BX15" s="174">
        <v>0</v>
      </c>
      <c r="BY15" s="166">
        <v>0</v>
      </c>
      <c r="BZ15" s="166">
        <v>-230788.389999999</v>
      </c>
      <c r="CA15" s="166">
        <v>-230788.389999999</v>
      </c>
      <c r="CB15" s="166">
        <v>-230788.389999999</v>
      </c>
      <c r="CC15" s="166">
        <v>0</v>
      </c>
      <c r="CD15" s="166">
        <v>0</v>
      </c>
      <c r="CE15" s="166">
        <v>0</v>
      </c>
      <c r="CF15" s="166">
        <v>0</v>
      </c>
      <c r="CG15" s="166">
        <v>0</v>
      </c>
      <c r="CH15" s="166">
        <v>0</v>
      </c>
      <c r="CI15" s="166">
        <v>0</v>
      </c>
      <c r="CJ15" s="166">
        <v>0</v>
      </c>
      <c r="CK15" s="167">
        <v>0</v>
      </c>
      <c r="CL15" s="167">
        <v>0</v>
      </c>
    </row>
    <row r="16" spans="1:90" outlineLevel="3" x14ac:dyDescent="0.3">
      <c r="A16" s="137" t="s">
        <v>325</v>
      </c>
      <c r="B16" s="137" t="s">
        <v>326</v>
      </c>
      <c r="C16" s="137" t="s">
        <v>327</v>
      </c>
      <c r="D16" s="137" t="s">
        <v>328</v>
      </c>
      <c r="E16" s="137" t="s">
        <v>472</v>
      </c>
      <c r="F16" s="137" t="s">
        <v>196</v>
      </c>
      <c r="G16" s="137" t="s">
        <v>329</v>
      </c>
      <c r="H16" s="137" t="s">
        <v>316</v>
      </c>
      <c r="I16" s="163" t="s">
        <v>331</v>
      </c>
      <c r="J16" s="165">
        <v>1</v>
      </c>
      <c r="K16" s="165">
        <v>1</v>
      </c>
      <c r="L16" s="167">
        <v>0</v>
      </c>
      <c r="M16" s="167">
        <v>0</v>
      </c>
      <c r="N16" s="167">
        <v>0</v>
      </c>
      <c r="O16" s="166">
        <v>162836.32999999999</v>
      </c>
      <c r="P16" s="167">
        <v>162836.32999999999</v>
      </c>
      <c r="Q16" s="167">
        <v>0</v>
      </c>
      <c r="R16" s="169" t="s">
        <v>337</v>
      </c>
      <c r="S16" s="282">
        <v>1</v>
      </c>
      <c r="T16" s="169">
        <v>0</v>
      </c>
      <c r="U16" s="245">
        <v>162836.32999999999</v>
      </c>
      <c r="V16" s="166" t="s">
        <v>319</v>
      </c>
      <c r="W16" s="166">
        <v>0</v>
      </c>
      <c r="X16" s="166">
        <v>0</v>
      </c>
      <c r="Y16" s="166">
        <v>0</v>
      </c>
      <c r="Z16" s="166">
        <v>0</v>
      </c>
      <c r="AA16" s="166">
        <v>0</v>
      </c>
      <c r="AB16" s="166">
        <v>0</v>
      </c>
      <c r="AC16" s="245">
        <v>162836.32999999999</v>
      </c>
      <c r="AD16" s="166">
        <v>0</v>
      </c>
      <c r="AE16" s="166">
        <v>0</v>
      </c>
      <c r="AF16" s="166">
        <v>0</v>
      </c>
      <c r="AG16" s="166">
        <v>0</v>
      </c>
      <c r="AH16" s="246">
        <v>0</v>
      </c>
      <c r="AI16" s="166">
        <v>0</v>
      </c>
      <c r="AJ16" s="166">
        <v>0</v>
      </c>
      <c r="AK16" s="247">
        <v>0</v>
      </c>
      <c r="AL16" s="170">
        <v>0</v>
      </c>
      <c r="AM16" s="166">
        <v>400561.36</v>
      </c>
      <c r="AN16" s="167">
        <v>0</v>
      </c>
      <c r="AO16" s="170">
        <v>0</v>
      </c>
      <c r="AP16" s="166">
        <v>400561.36</v>
      </c>
      <c r="AQ16" s="171">
        <v>1</v>
      </c>
      <c r="AR16" s="166">
        <v>0</v>
      </c>
      <c r="AS16" s="166">
        <v>162836.32999999999</v>
      </c>
      <c r="AT16" s="166">
        <v>0</v>
      </c>
      <c r="AU16" s="166">
        <v>0</v>
      </c>
      <c r="AV16" s="166">
        <v>0</v>
      </c>
      <c r="AW16" s="166">
        <v>0</v>
      </c>
      <c r="AX16" s="166">
        <v>0</v>
      </c>
      <c r="AY16" s="166">
        <v>0</v>
      </c>
      <c r="AZ16" s="166">
        <v>0</v>
      </c>
      <c r="BA16" s="166">
        <v>0</v>
      </c>
      <c r="BB16" s="166" t="s">
        <v>196</v>
      </c>
      <c r="BC16" s="166" t="s">
        <v>196</v>
      </c>
      <c r="BD16" s="166">
        <v>0</v>
      </c>
      <c r="BE16" s="166">
        <v>0</v>
      </c>
      <c r="BF16" s="166">
        <v>0</v>
      </c>
      <c r="BG16" s="166">
        <v>0</v>
      </c>
      <c r="BH16" s="166">
        <v>0</v>
      </c>
      <c r="BI16" s="166">
        <v>0</v>
      </c>
      <c r="BJ16" s="166">
        <v>0</v>
      </c>
      <c r="BK16" s="166">
        <v>0</v>
      </c>
      <c r="BL16" s="166">
        <v>400561.36</v>
      </c>
      <c r="BM16" s="166" t="s">
        <v>320</v>
      </c>
      <c r="BN16" s="166">
        <v>0</v>
      </c>
      <c r="BO16" s="166" t="b">
        <v>0</v>
      </c>
      <c r="BP16" s="166">
        <v>0</v>
      </c>
      <c r="BQ16" s="168">
        <v>0</v>
      </c>
      <c r="BR16" s="167">
        <v>0</v>
      </c>
      <c r="BS16" s="173">
        <v>78</v>
      </c>
      <c r="BT16" s="167">
        <v>0</v>
      </c>
      <c r="BU16" s="231">
        <v>0</v>
      </c>
      <c r="BV16" s="167">
        <v>150</v>
      </c>
      <c r="BW16" s="174">
        <v>0</v>
      </c>
      <c r="BX16" s="174">
        <v>0</v>
      </c>
      <c r="BY16" s="166">
        <v>0</v>
      </c>
      <c r="BZ16" s="166">
        <v>0</v>
      </c>
      <c r="CA16" s="166">
        <v>-237725.03</v>
      </c>
      <c r="CB16" s="166">
        <v>-237725.03</v>
      </c>
      <c r="CC16" s="166">
        <v>0</v>
      </c>
      <c r="CD16" s="16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  <c r="CJ16" s="166">
        <v>0</v>
      </c>
      <c r="CK16" s="167">
        <v>0</v>
      </c>
      <c r="CL16" s="167">
        <v>0</v>
      </c>
    </row>
    <row r="17" spans="1:90" s="189" customFormat="1" ht="20.100000000000001" customHeight="1" outlineLevel="2" x14ac:dyDescent="0.3">
      <c r="A17" s="176" t="s">
        <v>338</v>
      </c>
      <c r="B17" s="176"/>
      <c r="C17" s="176"/>
      <c r="D17" s="176"/>
      <c r="E17" s="176"/>
      <c r="F17" s="176"/>
      <c r="G17" s="176"/>
      <c r="H17" s="176"/>
      <c r="I17" s="177"/>
      <c r="J17" s="179"/>
      <c r="K17" s="179"/>
      <c r="L17" s="181"/>
      <c r="M17" s="181"/>
      <c r="N17" s="181"/>
      <c r="O17" s="180"/>
      <c r="P17" s="181"/>
      <c r="Q17" s="181"/>
      <c r="R17" s="183">
        <v>0</v>
      </c>
      <c r="S17" s="283">
        <v>6.5</v>
      </c>
      <c r="T17" s="183">
        <v>0</v>
      </c>
      <c r="U17" s="248">
        <v>39350269.990000002</v>
      </c>
      <c r="V17" s="180"/>
      <c r="W17" s="180">
        <v>0</v>
      </c>
      <c r="X17" s="180">
        <v>0</v>
      </c>
      <c r="Y17" s="180">
        <v>0</v>
      </c>
      <c r="Z17" s="180">
        <v>0</v>
      </c>
      <c r="AA17" s="180">
        <v>0</v>
      </c>
      <c r="AB17" s="180">
        <v>0</v>
      </c>
      <c r="AC17" s="248">
        <v>39350269.990000002</v>
      </c>
      <c r="AD17" s="180">
        <v>0</v>
      </c>
      <c r="AE17" s="180">
        <v>0</v>
      </c>
      <c r="AF17" s="180">
        <v>0</v>
      </c>
      <c r="AG17" s="180">
        <v>0</v>
      </c>
      <c r="AH17" s="249">
        <v>0</v>
      </c>
      <c r="AI17" s="180">
        <v>0</v>
      </c>
      <c r="AJ17" s="180">
        <v>0</v>
      </c>
      <c r="AK17" s="250">
        <v>0</v>
      </c>
      <c r="AL17" s="184"/>
      <c r="AM17" s="180">
        <v>39750356.869999997</v>
      </c>
      <c r="AN17" s="181"/>
      <c r="AO17" s="184"/>
      <c r="AP17" s="180">
        <v>39750356.869999997</v>
      </c>
      <c r="AQ17" s="185"/>
      <c r="AR17" s="180"/>
      <c r="AS17" s="180"/>
      <c r="AT17" s="180">
        <v>0</v>
      </c>
      <c r="AU17" s="180">
        <v>0</v>
      </c>
      <c r="AV17" s="180">
        <v>0</v>
      </c>
      <c r="AW17" s="180">
        <v>0</v>
      </c>
      <c r="AX17" s="180">
        <v>0</v>
      </c>
      <c r="AY17" s="180">
        <v>0</v>
      </c>
      <c r="AZ17" s="180">
        <v>0</v>
      </c>
      <c r="BA17" s="180">
        <v>0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2"/>
      <c r="BR17" s="181"/>
      <c r="BS17" s="187"/>
      <c r="BT17" s="181"/>
      <c r="BU17" s="224"/>
      <c r="BV17" s="181"/>
      <c r="BW17" s="188"/>
      <c r="BX17" s="188"/>
      <c r="BY17" s="180"/>
      <c r="BZ17" s="180"/>
      <c r="CA17" s="180">
        <v>-400086.87999999896</v>
      </c>
      <c r="CB17" s="180"/>
      <c r="CC17" s="180"/>
      <c r="CD17" s="180"/>
      <c r="CE17" s="180"/>
      <c r="CF17" s="180"/>
      <c r="CG17" s="180"/>
      <c r="CH17" s="180"/>
      <c r="CI17" s="180"/>
      <c r="CJ17" s="180"/>
      <c r="CK17" s="181"/>
      <c r="CL17" s="181"/>
    </row>
    <row r="18" spans="1:90" s="200" customFormat="1" ht="30" customHeight="1" outlineLevel="1" x14ac:dyDescent="0.3">
      <c r="A18" s="176"/>
      <c r="B18" s="176" t="s">
        <v>341</v>
      </c>
      <c r="C18" s="176"/>
      <c r="D18" s="176"/>
      <c r="E18" s="176"/>
      <c r="F18" s="176"/>
      <c r="G18" s="176"/>
      <c r="H18" s="176"/>
      <c r="I18" s="177"/>
      <c r="J18" s="190"/>
      <c r="K18" s="190"/>
      <c r="L18" s="192"/>
      <c r="M18" s="192"/>
      <c r="N18" s="192"/>
      <c r="O18" s="191"/>
      <c r="P18" s="192"/>
      <c r="Q18" s="192"/>
      <c r="R18" s="194">
        <v>0</v>
      </c>
      <c r="S18" s="284">
        <v>6.5</v>
      </c>
      <c r="T18" s="194">
        <v>0</v>
      </c>
      <c r="U18" s="251">
        <v>39350269.990000002</v>
      </c>
      <c r="V18" s="191"/>
      <c r="W18" s="191">
        <v>0</v>
      </c>
      <c r="X18" s="191">
        <v>0</v>
      </c>
      <c r="Y18" s="191">
        <v>0</v>
      </c>
      <c r="Z18" s="191">
        <v>0</v>
      </c>
      <c r="AA18" s="191">
        <v>0</v>
      </c>
      <c r="AB18" s="191">
        <v>0</v>
      </c>
      <c r="AC18" s="251">
        <v>39350269.990000002</v>
      </c>
      <c r="AD18" s="191">
        <v>0</v>
      </c>
      <c r="AE18" s="191">
        <v>0</v>
      </c>
      <c r="AF18" s="191">
        <v>0</v>
      </c>
      <c r="AG18" s="191">
        <v>0</v>
      </c>
      <c r="AH18" s="252">
        <v>0</v>
      </c>
      <c r="AI18" s="191">
        <v>0</v>
      </c>
      <c r="AJ18" s="191">
        <v>0</v>
      </c>
      <c r="AK18" s="253">
        <v>0</v>
      </c>
      <c r="AL18" s="195"/>
      <c r="AM18" s="191">
        <v>39750356.869999997</v>
      </c>
      <c r="AN18" s="192"/>
      <c r="AO18" s="195"/>
      <c r="AP18" s="191">
        <v>39750356.869999997</v>
      </c>
      <c r="AQ18" s="196"/>
      <c r="AR18" s="191"/>
      <c r="AS18" s="191"/>
      <c r="AT18" s="191">
        <v>0</v>
      </c>
      <c r="AU18" s="191">
        <v>0</v>
      </c>
      <c r="AV18" s="191">
        <v>0</v>
      </c>
      <c r="AW18" s="191">
        <v>0</v>
      </c>
      <c r="AX18" s="191">
        <v>0</v>
      </c>
      <c r="AY18" s="191">
        <v>0</v>
      </c>
      <c r="AZ18" s="191">
        <v>0</v>
      </c>
      <c r="BA18" s="191">
        <v>0</v>
      </c>
      <c r="BB18" s="191"/>
      <c r="BC18" s="191"/>
      <c r="BD18" s="191"/>
      <c r="BE18" s="191"/>
      <c r="BF18" s="191"/>
      <c r="BG18" s="191"/>
      <c r="BH18" s="191"/>
      <c r="BI18" s="191"/>
      <c r="BJ18" s="191"/>
      <c r="BK18" s="191"/>
      <c r="BL18" s="191"/>
      <c r="BM18" s="191"/>
      <c r="BN18" s="191"/>
      <c r="BO18" s="191"/>
      <c r="BP18" s="191"/>
      <c r="BQ18" s="193"/>
      <c r="BR18" s="192"/>
      <c r="BS18" s="198"/>
      <c r="BT18" s="192"/>
      <c r="BU18" s="225"/>
      <c r="BV18" s="192"/>
      <c r="BW18" s="199"/>
      <c r="BX18" s="199"/>
      <c r="BY18" s="191"/>
      <c r="BZ18" s="191"/>
      <c r="CA18" s="191">
        <v>-400086.87999999896</v>
      </c>
      <c r="CB18" s="191"/>
      <c r="CC18" s="191"/>
      <c r="CD18" s="191"/>
      <c r="CE18" s="191"/>
      <c r="CF18" s="191"/>
      <c r="CG18" s="191"/>
      <c r="CH18" s="191"/>
      <c r="CI18" s="191"/>
      <c r="CJ18" s="191"/>
      <c r="CK18" s="192"/>
      <c r="CL18" s="192"/>
    </row>
    <row r="19" spans="1:90" outlineLevel="3" x14ac:dyDescent="0.3">
      <c r="A19" s="137" t="s">
        <v>342</v>
      </c>
      <c r="B19" s="137" t="s">
        <v>343</v>
      </c>
      <c r="C19" s="137" t="s">
        <v>344</v>
      </c>
      <c r="D19" s="137" t="s">
        <v>345</v>
      </c>
      <c r="E19" s="137" t="s">
        <v>346</v>
      </c>
      <c r="F19" s="137" t="s">
        <v>347</v>
      </c>
      <c r="G19" s="201" t="s">
        <v>348</v>
      </c>
      <c r="H19" s="201" t="s">
        <v>349</v>
      </c>
      <c r="I19" s="163" t="s">
        <v>349</v>
      </c>
      <c r="J19" s="165">
        <v>46956</v>
      </c>
      <c r="K19" s="165">
        <v>46956</v>
      </c>
      <c r="L19" s="167">
        <v>3.1732119443557298E-2</v>
      </c>
      <c r="M19" s="167">
        <v>0</v>
      </c>
      <c r="N19" s="167">
        <v>0.42029620575479137</v>
      </c>
      <c r="O19" s="166">
        <v>2.6458290838380072</v>
      </c>
      <c r="P19" s="167">
        <v>2.6525522340664405</v>
      </c>
      <c r="Q19" s="167">
        <v>-6.7231502284332834E-3</v>
      </c>
      <c r="R19" s="169">
        <v>0</v>
      </c>
      <c r="S19" s="279">
        <v>0</v>
      </c>
      <c r="T19" s="169">
        <v>0</v>
      </c>
      <c r="U19" s="245">
        <v>124237.55046069747</v>
      </c>
      <c r="V19" s="166" t="s">
        <v>319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6">
        <v>0</v>
      </c>
      <c r="AC19" s="245">
        <v>124553.24270282377</v>
      </c>
      <c r="AD19" s="166">
        <v>-315.6922421263007</v>
      </c>
      <c r="AE19" s="166">
        <v>0</v>
      </c>
      <c r="AF19" s="166">
        <v>315.6922421263007</v>
      </c>
      <c r="AG19" s="166">
        <v>0</v>
      </c>
      <c r="AH19" s="246">
        <v>-3244.8971120551287</v>
      </c>
      <c r="AI19" s="166">
        <v>0</v>
      </c>
      <c r="AJ19" s="166">
        <v>3244.8971120551287</v>
      </c>
      <c r="AK19" s="247">
        <v>0</v>
      </c>
      <c r="AL19" s="170">
        <v>0</v>
      </c>
      <c r="AM19" s="166">
        <v>127482.4475727526</v>
      </c>
      <c r="AN19" s="170">
        <v>0</v>
      </c>
      <c r="AO19" s="170">
        <v>26657.270994960461</v>
      </c>
      <c r="AP19" s="166">
        <v>84870.386027040266</v>
      </c>
      <c r="AQ19" s="171">
        <v>1</v>
      </c>
      <c r="AR19" s="166">
        <v>353079.15296637767</v>
      </c>
      <c r="AS19" s="166">
        <v>17.890625</v>
      </c>
      <c r="AT19" s="166">
        <v>20305.907668422806</v>
      </c>
      <c r="AU19" s="166">
        <v>0</v>
      </c>
      <c r="AV19" s="166">
        <v>-20305.907668422806</v>
      </c>
      <c r="AW19" s="166">
        <v>0</v>
      </c>
      <c r="AX19" s="166">
        <v>-3244.8971120551287</v>
      </c>
      <c r="AY19" s="166">
        <v>0</v>
      </c>
      <c r="AZ19" s="166">
        <v>3244.8971120551287</v>
      </c>
      <c r="BA19" s="166">
        <v>0</v>
      </c>
      <c r="BB19" s="166">
        <v>18.3125</v>
      </c>
      <c r="BC19" s="166">
        <v>17.890625</v>
      </c>
      <c r="BD19" s="166">
        <v>20621.599910549106</v>
      </c>
      <c r="BE19" s="166">
        <v>0</v>
      </c>
      <c r="BF19" s="166">
        <v>-20621.599910549106</v>
      </c>
      <c r="BG19" s="166">
        <v>0</v>
      </c>
      <c r="BH19" s="166">
        <v>-2929.204869928828</v>
      </c>
      <c r="BI19" s="166">
        <v>0</v>
      </c>
      <c r="BJ19" s="166">
        <v>2929.204869928828</v>
      </c>
      <c r="BK19" s="166">
        <v>0</v>
      </c>
      <c r="BL19" s="166">
        <v>84870.386027040266</v>
      </c>
      <c r="BM19" s="166" t="s">
        <v>323</v>
      </c>
      <c r="BN19" s="166">
        <v>0</v>
      </c>
      <c r="BO19" s="166" t="b">
        <v>0</v>
      </c>
      <c r="BP19" s="166">
        <v>2929.204869928828</v>
      </c>
      <c r="BQ19" s="167">
        <v>0</v>
      </c>
      <c r="BR19" s="167">
        <v>0</v>
      </c>
      <c r="BS19" s="173">
        <v>42</v>
      </c>
      <c r="BT19" s="167">
        <v>0</v>
      </c>
      <c r="BU19" s="231">
        <v>19735.428637421985</v>
      </c>
      <c r="BV19" s="167">
        <v>193</v>
      </c>
      <c r="BW19" s="174">
        <v>18.3125</v>
      </c>
      <c r="BX19" s="174">
        <v>18.3125</v>
      </c>
      <c r="BY19" s="166">
        <v>0</v>
      </c>
      <c r="BZ19" s="166">
        <v>0</v>
      </c>
      <c r="CA19" s="166">
        <v>0</v>
      </c>
      <c r="CB19" s="166">
        <v>0</v>
      </c>
      <c r="CC19" s="166">
        <v>0</v>
      </c>
      <c r="CD19" s="166">
        <v>0</v>
      </c>
      <c r="CE19" s="166">
        <v>0</v>
      </c>
      <c r="CF19" s="166">
        <v>0</v>
      </c>
      <c r="CG19" s="166">
        <v>-2929.204869928828</v>
      </c>
      <c r="CH19" s="166">
        <v>0</v>
      </c>
      <c r="CI19" s="166">
        <v>2929.204869928828</v>
      </c>
      <c r="CJ19" s="166">
        <v>0</v>
      </c>
      <c r="CK19" s="167">
        <v>0</v>
      </c>
      <c r="CL19" s="167">
        <v>0</v>
      </c>
    </row>
    <row r="20" spans="1:90" s="189" customFormat="1" ht="20.100000000000001" customHeight="1" outlineLevel="2" x14ac:dyDescent="0.3">
      <c r="A20" s="176" t="s">
        <v>350</v>
      </c>
      <c r="B20" s="176"/>
      <c r="C20" s="176"/>
      <c r="D20" s="176"/>
      <c r="E20" s="176"/>
      <c r="F20" s="176"/>
      <c r="G20" s="202"/>
      <c r="H20" s="202"/>
      <c r="I20" s="177"/>
      <c r="J20" s="179"/>
      <c r="K20" s="179"/>
      <c r="L20" s="181"/>
      <c r="M20" s="181"/>
      <c r="N20" s="181"/>
      <c r="O20" s="180"/>
      <c r="P20" s="181"/>
      <c r="Q20" s="181"/>
      <c r="R20" s="183">
        <v>0</v>
      </c>
      <c r="S20" s="280">
        <v>0</v>
      </c>
      <c r="T20" s="183">
        <v>0</v>
      </c>
      <c r="U20" s="248">
        <v>124237.55046069747</v>
      </c>
      <c r="V20" s="180"/>
      <c r="W20" s="180">
        <v>0</v>
      </c>
      <c r="X20" s="180">
        <v>0</v>
      </c>
      <c r="Y20" s="180">
        <v>0</v>
      </c>
      <c r="Z20" s="180">
        <v>0</v>
      </c>
      <c r="AA20" s="180">
        <v>0</v>
      </c>
      <c r="AB20" s="180">
        <v>0</v>
      </c>
      <c r="AC20" s="248">
        <v>124553.24270282377</v>
      </c>
      <c r="AD20" s="180">
        <v>-315.6922421263007</v>
      </c>
      <c r="AE20" s="180">
        <v>0</v>
      </c>
      <c r="AF20" s="180">
        <v>315.6922421263007</v>
      </c>
      <c r="AG20" s="180">
        <v>0</v>
      </c>
      <c r="AH20" s="249">
        <v>-3244.8971120551287</v>
      </c>
      <c r="AI20" s="180">
        <v>0</v>
      </c>
      <c r="AJ20" s="180">
        <v>3244.8971120551287</v>
      </c>
      <c r="AK20" s="250">
        <v>0</v>
      </c>
      <c r="AL20" s="184"/>
      <c r="AM20" s="180">
        <v>127482.4475727526</v>
      </c>
      <c r="AN20" s="184"/>
      <c r="AO20" s="184"/>
      <c r="AP20" s="180">
        <v>84870.386027040266</v>
      </c>
      <c r="AQ20" s="185"/>
      <c r="AR20" s="180"/>
      <c r="AS20" s="180"/>
      <c r="AT20" s="180">
        <v>20305.907668422806</v>
      </c>
      <c r="AU20" s="180">
        <v>0</v>
      </c>
      <c r="AV20" s="180">
        <v>-20305.907668422806</v>
      </c>
      <c r="AW20" s="180">
        <v>0</v>
      </c>
      <c r="AX20" s="180">
        <v>-3244.8971120551287</v>
      </c>
      <c r="AY20" s="180">
        <v>0</v>
      </c>
      <c r="AZ20" s="180">
        <v>3244.8971120551287</v>
      </c>
      <c r="BA20" s="180">
        <v>0</v>
      </c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1"/>
      <c r="BR20" s="181"/>
      <c r="BS20" s="187"/>
      <c r="BT20" s="181"/>
      <c r="BU20" s="224"/>
      <c r="BV20" s="181"/>
      <c r="BW20" s="188"/>
      <c r="BX20" s="188"/>
      <c r="BY20" s="180"/>
      <c r="BZ20" s="180"/>
      <c r="CA20" s="180">
        <v>0</v>
      </c>
      <c r="CB20" s="180"/>
      <c r="CC20" s="180"/>
      <c r="CD20" s="180"/>
      <c r="CE20" s="180"/>
      <c r="CF20" s="180"/>
      <c r="CG20" s="180"/>
      <c r="CH20" s="180"/>
      <c r="CI20" s="180"/>
      <c r="CJ20" s="180"/>
      <c r="CK20" s="181"/>
      <c r="CL20" s="181"/>
    </row>
    <row r="21" spans="1:90" s="200" customFormat="1" ht="30" customHeight="1" outlineLevel="1" x14ac:dyDescent="0.3">
      <c r="A21" s="176"/>
      <c r="B21" s="176" t="s">
        <v>351</v>
      </c>
      <c r="C21" s="176"/>
      <c r="D21" s="176"/>
      <c r="E21" s="176"/>
      <c r="F21" s="176"/>
      <c r="G21" s="202"/>
      <c r="H21" s="202"/>
      <c r="I21" s="177"/>
      <c r="J21" s="190"/>
      <c r="K21" s="190"/>
      <c r="L21" s="192"/>
      <c r="M21" s="192"/>
      <c r="N21" s="192"/>
      <c r="O21" s="191"/>
      <c r="P21" s="192"/>
      <c r="Q21" s="192"/>
      <c r="R21" s="194">
        <v>0</v>
      </c>
      <c r="S21" s="281">
        <v>0</v>
      </c>
      <c r="T21" s="194">
        <v>0</v>
      </c>
      <c r="U21" s="251">
        <v>124237.55046069747</v>
      </c>
      <c r="V21" s="191"/>
      <c r="W21" s="191">
        <v>0</v>
      </c>
      <c r="X21" s="191">
        <v>0</v>
      </c>
      <c r="Y21" s="191">
        <v>0</v>
      </c>
      <c r="Z21" s="191">
        <v>0</v>
      </c>
      <c r="AA21" s="191">
        <v>0</v>
      </c>
      <c r="AB21" s="191">
        <v>0</v>
      </c>
      <c r="AC21" s="251">
        <v>124553.24270282377</v>
      </c>
      <c r="AD21" s="191">
        <v>-315.6922421263007</v>
      </c>
      <c r="AE21" s="191">
        <v>0</v>
      </c>
      <c r="AF21" s="191">
        <v>315.6922421263007</v>
      </c>
      <c r="AG21" s="191">
        <v>0</v>
      </c>
      <c r="AH21" s="252">
        <v>-3244.8971120551287</v>
      </c>
      <c r="AI21" s="191">
        <v>0</v>
      </c>
      <c r="AJ21" s="191">
        <v>3244.8971120551287</v>
      </c>
      <c r="AK21" s="253">
        <v>0</v>
      </c>
      <c r="AL21" s="195"/>
      <c r="AM21" s="191">
        <v>127482.4475727526</v>
      </c>
      <c r="AN21" s="195"/>
      <c r="AO21" s="195"/>
      <c r="AP21" s="191">
        <v>84870.386027040266</v>
      </c>
      <c r="AQ21" s="196"/>
      <c r="AR21" s="191"/>
      <c r="AS21" s="191"/>
      <c r="AT21" s="191">
        <v>20305.907668422806</v>
      </c>
      <c r="AU21" s="191">
        <v>0</v>
      </c>
      <c r="AV21" s="191">
        <v>-20305.907668422806</v>
      </c>
      <c r="AW21" s="191">
        <v>0</v>
      </c>
      <c r="AX21" s="191">
        <v>-3244.8971120551287</v>
      </c>
      <c r="AY21" s="191">
        <v>0</v>
      </c>
      <c r="AZ21" s="191">
        <v>3244.8971120551287</v>
      </c>
      <c r="BA21" s="191">
        <v>0</v>
      </c>
      <c r="BB21" s="191"/>
      <c r="BC21" s="191"/>
      <c r="BD21" s="191"/>
      <c r="BE21" s="191"/>
      <c r="BF21" s="191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92"/>
      <c r="BR21" s="192"/>
      <c r="BS21" s="198"/>
      <c r="BT21" s="192"/>
      <c r="BU21" s="225"/>
      <c r="BV21" s="192"/>
      <c r="BW21" s="199"/>
      <c r="BX21" s="199"/>
      <c r="BY21" s="191"/>
      <c r="BZ21" s="191"/>
      <c r="CA21" s="191">
        <v>0</v>
      </c>
      <c r="CB21" s="191"/>
      <c r="CC21" s="191"/>
      <c r="CD21" s="191"/>
      <c r="CE21" s="191"/>
      <c r="CF21" s="191"/>
      <c r="CG21" s="191"/>
      <c r="CH21" s="191"/>
      <c r="CI21" s="191"/>
      <c r="CJ21" s="191"/>
      <c r="CK21" s="192"/>
      <c r="CL21" s="192"/>
    </row>
    <row r="22" spans="1:90" outlineLevel="3" x14ac:dyDescent="0.3">
      <c r="A22" s="137" t="s">
        <v>325</v>
      </c>
      <c r="B22" s="137" t="s">
        <v>352</v>
      </c>
      <c r="C22" s="137" t="s">
        <v>479</v>
      </c>
      <c r="D22" s="137" t="s">
        <v>480</v>
      </c>
      <c r="E22" s="137" t="s">
        <v>201</v>
      </c>
      <c r="F22" s="137" t="s">
        <v>196</v>
      </c>
      <c r="G22" s="137" t="s">
        <v>501</v>
      </c>
      <c r="H22" s="137" t="s">
        <v>316</v>
      </c>
      <c r="I22" s="163" t="s">
        <v>331</v>
      </c>
      <c r="J22" s="165">
        <v>1</v>
      </c>
      <c r="K22" s="165">
        <v>1</v>
      </c>
      <c r="L22" s="167">
        <v>0</v>
      </c>
      <c r="M22" s="167">
        <v>0</v>
      </c>
      <c r="N22" s="167">
        <v>0</v>
      </c>
      <c r="O22" s="166">
        <v>1803840</v>
      </c>
      <c r="P22" s="167">
        <v>1803840</v>
      </c>
      <c r="Q22" s="167">
        <v>0</v>
      </c>
      <c r="R22" s="169" t="s">
        <v>353</v>
      </c>
      <c r="S22" s="282">
        <v>1</v>
      </c>
      <c r="T22" s="169">
        <v>0</v>
      </c>
      <c r="U22" s="245">
        <v>1803840</v>
      </c>
      <c r="V22" s="166" t="s">
        <v>319</v>
      </c>
      <c r="W22" s="166">
        <v>0</v>
      </c>
      <c r="X22" s="166">
        <v>0</v>
      </c>
      <c r="Y22" s="166">
        <v>0</v>
      </c>
      <c r="Z22" s="166">
        <v>0</v>
      </c>
      <c r="AA22" s="166">
        <v>0</v>
      </c>
      <c r="AB22" s="166">
        <v>0</v>
      </c>
      <c r="AC22" s="245">
        <v>1803840</v>
      </c>
      <c r="AD22" s="166">
        <v>0</v>
      </c>
      <c r="AE22" s="166">
        <v>0</v>
      </c>
      <c r="AF22" s="166">
        <v>0</v>
      </c>
      <c r="AG22" s="166">
        <v>0</v>
      </c>
      <c r="AH22" s="246">
        <v>0</v>
      </c>
      <c r="AI22" s="166">
        <v>0</v>
      </c>
      <c r="AJ22" s="166">
        <v>0</v>
      </c>
      <c r="AK22" s="247">
        <v>0</v>
      </c>
      <c r="AL22" s="170">
        <v>0</v>
      </c>
      <c r="AM22" s="166">
        <v>1803840</v>
      </c>
      <c r="AN22" s="167">
        <v>0</v>
      </c>
      <c r="AO22" s="170">
        <v>0</v>
      </c>
      <c r="AP22" s="166">
        <v>1803840</v>
      </c>
      <c r="AQ22" s="171">
        <v>1</v>
      </c>
      <c r="AR22" s="166">
        <v>0</v>
      </c>
      <c r="AS22" s="166">
        <v>1803840</v>
      </c>
      <c r="AT22" s="166">
        <v>0</v>
      </c>
      <c r="AU22" s="166">
        <v>0</v>
      </c>
      <c r="AV22" s="166">
        <v>0</v>
      </c>
      <c r="AW22" s="166">
        <v>0</v>
      </c>
      <c r="AX22" s="166">
        <v>0</v>
      </c>
      <c r="AY22" s="166">
        <v>0</v>
      </c>
      <c r="AZ22" s="166">
        <v>0</v>
      </c>
      <c r="BA22" s="166">
        <v>0</v>
      </c>
      <c r="BB22" s="166" t="s">
        <v>196</v>
      </c>
      <c r="BC22" s="166" t="s">
        <v>196</v>
      </c>
      <c r="BD22" s="166">
        <v>0</v>
      </c>
      <c r="BE22" s="166">
        <v>0</v>
      </c>
      <c r="BF22" s="166">
        <v>0</v>
      </c>
      <c r="BG22" s="166">
        <v>0</v>
      </c>
      <c r="BH22" s="166">
        <v>0</v>
      </c>
      <c r="BI22" s="166">
        <v>0</v>
      </c>
      <c r="BJ22" s="166">
        <v>0</v>
      </c>
      <c r="BK22" s="166">
        <v>0</v>
      </c>
      <c r="BL22" s="166">
        <v>1803840</v>
      </c>
      <c r="BM22" s="166" t="s">
        <v>320</v>
      </c>
      <c r="BN22" s="166">
        <v>0</v>
      </c>
      <c r="BO22" s="166" t="b">
        <v>0</v>
      </c>
      <c r="BP22" s="166">
        <v>0</v>
      </c>
      <c r="BQ22" s="168">
        <v>0</v>
      </c>
      <c r="BR22" s="167">
        <v>0</v>
      </c>
      <c r="BS22" s="173">
        <v>78</v>
      </c>
      <c r="BT22" s="167">
        <v>0</v>
      </c>
      <c r="BU22" s="231">
        <v>0</v>
      </c>
      <c r="BV22" s="167">
        <v>142</v>
      </c>
      <c r="BW22" s="174">
        <v>0</v>
      </c>
      <c r="BX22" s="174">
        <v>0</v>
      </c>
      <c r="BY22" s="166">
        <v>0</v>
      </c>
      <c r="BZ22" s="166">
        <v>0</v>
      </c>
      <c r="CA22" s="166">
        <v>0</v>
      </c>
      <c r="CB22" s="166">
        <v>0</v>
      </c>
      <c r="CC22" s="166">
        <v>0</v>
      </c>
      <c r="CD22" s="166">
        <v>0</v>
      </c>
      <c r="CE22" s="166">
        <v>0</v>
      </c>
      <c r="CF22" s="166">
        <v>0</v>
      </c>
      <c r="CG22" s="166">
        <v>0</v>
      </c>
      <c r="CH22" s="166">
        <v>0</v>
      </c>
      <c r="CI22" s="166">
        <v>0</v>
      </c>
      <c r="CJ22" s="166">
        <v>0</v>
      </c>
      <c r="CK22" s="167">
        <v>0</v>
      </c>
      <c r="CL22" s="167">
        <v>0</v>
      </c>
    </row>
    <row r="23" spans="1:90" outlineLevel="3" x14ac:dyDescent="0.3">
      <c r="A23" s="137" t="s">
        <v>325</v>
      </c>
      <c r="B23" s="137" t="s">
        <v>352</v>
      </c>
      <c r="C23" s="137" t="s">
        <v>479</v>
      </c>
      <c r="D23" s="137" t="s">
        <v>480</v>
      </c>
      <c r="E23" s="137" t="s">
        <v>421</v>
      </c>
      <c r="F23" s="137" t="s">
        <v>196</v>
      </c>
      <c r="G23" s="137" t="s">
        <v>501</v>
      </c>
      <c r="H23" s="137" t="s">
        <v>316</v>
      </c>
      <c r="I23" s="163" t="s">
        <v>331</v>
      </c>
      <c r="J23" s="165">
        <v>1</v>
      </c>
      <c r="K23" s="165">
        <v>1</v>
      </c>
      <c r="L23" s="167">
        <v>0</v>
      </c>
      <c r="M23" s="167">
        <v>0</v>
      </c>
      <c r="N23" s="167">
        <v>0</v>
      </c>
      <c r="O23" s="166">
        <v>2300803</v>
      </c>
      <c r="P23" s="167">
        <v>2300803</v>
      </c>
      <c r="Q23" s="167">
        <v>0</v>
      </c>
      <c r="R23" s="169" t="s">
        <v>422</v>
      </c>
      <c r="S23" s="282">
        <v>1</v>
      </c>
      <c r="T23" s="169">
        <v>0</v>
      </c>
      <c r="U23" s="245">
        <v>2300803</v>
      </c>
      <c r="V23" s="166" t="s">
        <v>319</v>
      </c>
      <c r="W23" s="166">
        <v>0</v>
      </c>
      <c r="X23" s="166">
        <v>0</v>
      </c>
      <c r="Y23" s="166">
        <v>0</v>
      </c>
      <c r="Z23" s="166">
        <v>0</v>
      </c>
      <c r="AA23" s="166">
        <v>0</v>
      </c>
      <c r="AB23" s="166">
        <v>0</v>
      </c>
      <c r="AC23" s="245">
        <v>2300803</v>
      </c>
      <c r="AD23" s="166">
        <v>0</v>
      </c>
      <c r="AE23" s="166">
        <v>0</v>
      </c>
      <c r="AF23" s="166">
        <v>0</v>
      </c>
      <c r="AG23" s="166">
        <v>0</v>
      </c>
      <c r="AH23" s="246">
        <v>0</v>
      </c>
      <c r="AI23" s="166">
        <v>0</v>
      </c>
      <c r="AJ23" s="166">
        <v>0</v>
      </c>
      <c r="AK23" s="247">
        <v>0</v>
      </c>
      <c r="AL23" s="170">
        <v>0</v>
      </c>
      <c r="AM23" s="166">
        <v>2300803</v>
      </c>
      <c r="AN23" s="167">
        <v>0</v>
      </c>
      <c r="AO23" s="170">
        <v>0</v>
      </c>
      <c r="AP23" s="166">
        <v>2300803</v>
      </c>
      <c r="AQ23" s="171">
        <v>1</v>
      </c>
      <c r="AR23" s="166">
        <v>0</v>
      </c>
      <c r="AS23" s="166">
        <v>2300803</v>
      </c>
      <c r="AT23" s="166">
        <v>0</v>
      </c>
      <c r="AU23" s="166">
        <v>0</v>
      </c>
      <c r="AV23" s="166">
        <v>0</v>
      </c>
      <c r="AW23" s="166">
        <v>0</v>
      </c>
      <c r="AX23" s="166">
        <v>0</v>
      </c>
      <c r="AY23" s="166">
        <v>0</v>
      </c>
      <c r="AZ23" s="166">
        <v>0</v>
      </c>
      <c r="BA23" s="166">
        <v>0</v>
      </c>
      <c r="BB23" s="166" t="s">
        <v>196</v>
      </c>
      <c r="BC23" s="166" t="s">
        <v>196</v>
      </c>
      <c r="BD23" s="166">
        <v>0</v>
      </c>
      <c r="BE23" s="166">
        <v>0</v>
      </c>
      <c r="BF23" s="166">
        <v>0</v>
      </c>
      <c r="BG23" s="166">
        <v>0</v>
      </c>
      <c r="BH23" s="166">
        <v>0</v>
      </c>
      <c r="BI23" s="166">
        <v>0</v>
      </c>
      <c r="BJ23" s="166">
        <v>0</v>
      </c>
      <c r="BK23" s="166">
        <v>0</v>
      </c>
      <c r="BL23" s="166">
        <v>2300803</v>
      </c>
      <c r="BM23" s="166" t="s">
        <v>320</v>
      </c>
      <c r="BN23" s="166">
        <v>0</v>
      </c>
      <c r="BO23" s="166" t="b">
        <v>0</v>
      </c>
      <c r="BP23" s="166">
        <v>0</v>
      </c>
      <c r="BQ23" s="168">
        <v>0</v>
      </c>
      <c r="BR23" s="167">
        <v>0</v>
      </c>
      <c r="BS23" s="173">
        <v>78</v>
      </c>
      <c r="BT23" s="167">
        <v>0</v>
      </c>
      <c r="BU23" s="231">
        <v>0</v>
      </c>
      <c r="BV23" s="167">
        <v>143</v>
      </c>
      <c r="BW23" s="174">
        <v>0</v>
      </c>
      <c r="BX23" s="174">
        <v>0</v>
      </c>
      <c r="BY23" s="166">
        <v>0</v>
      </c>
      <c r="BZ23" s="166">
        <v>0</v>
      </c>
      <c r="CA23" s="166">
        <v>0</v>
      </c>
      <c r="CB23" s="166">
        <v>0</v>
      </c>
      <c r="CC23" s="166">
        <v>0</v>
      </c>
      <c r="CD23" s="166">
        <v>0</v>
      </c>
      <c r="CE23" s="166">
        <v>0</v>
      </c>
      <c r="CF23" s="166">
        <v>0</v>
      </c>
      <c r="CG23" s="166">
        <v>0</v>
      </c>
      <c r="CH23" s="166">
        <v>0</v>
      </c>
      <c r="CI23" s="166">
        <v>0</v>
      </c>
      <c r="CJ23" s="166">
        <v>0</v>
      </c>
      <c r="CK23" s="167">
        <v>0</v>
      </c>
      <c r="CL23" s="167">
        <v>0</v>
      </c>
    </row>
    <row r="24" spans="1:90" s="189" customFormat="1" ht="20.100000000000001" customHeight="1" outlineLevel="2" x14ac:dyDescent="0.3">
      <c r="A24" s="176" t="s">
        <v>338</v>
      </c>
      <c r="B24" s="176"/>
      <c r="C24" s="176"/>
      <c r="D24" s="176"/>
      <c r="E24" s="176"/>
      <c r="F24" s="176"/>
      <c r="G24" s="176"/>
      <c r="H24" s="176"/>
      <c r="I24" s="177"/>
      <c r="J24" s="179"/>
      <c r="K24" s="179"/>
      <c r="L24" s="181"/>
      <c r="M24" s="181"/>
      <c r="N24" s="181"/>
      <c r="O24" s="180"/>
      <c r="P24" s="181"/>
      <c r="Q24" s="181"/>
      <c r="R24" s="183">
        <v>0</v>
      </c>
      <c r="S24" s="283">
        <v>2</v>
      </c>
      <c r="T24" s="183">
        <v>0</v>
      </c>
      <c r="U24" s="248">
        <v>4104643</v>
      </c>
      <c r="V24" s="180"/>
      <c r="W24" s="180">
        <v>0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248">
        <v>4104643</v>
      </c>
      <c r="AD24" s="180">
        <v>0</v>
      </c>
      <c r="AE24" s="180">
        <v>0</v>
      </c>
      <c r="AF24" s="180">
        <v>0</v>
      </c>
      <c r="AG24" s="180">
        <v>0</v>
      </c>
      <c r="AH24" s="249">
        <v>0</v>
      </c>
      <c r="AI24" s="180">
        <v>0</v>
      </c>
      <c r="AJ24" s="180">
        <v>0</v>
      </c>
      <c r="AK24" s="250">
        <v>0</v>
      </c>
      <c r="AL24" s="184"/>
      <c r="AM24" s="180">
        <v>4104643</v>
      </c>
      <c r="AN24" s="181"/>
      <c r="AO24" s="184"/>
      <c r="AP24" s="180">
        <v>4104643</v>
      </c>
      <c r="AQ24" s="185"/>
      <c r="AR24" s="180"/>
      <c r="AS24" s="180"/>
      <c r="AT24" s="180">
        <v>0</v>
      </c>
      <c r="AU24" s="180">
        <v>0</v>
      </c>
      <c r="AV24" s="180">
        <v>0</v>
      </c>
      <c r="AW24" s="180">
        <v>0</v>
      </c>
      <c r="AX24" s="180">
        <v>0</v>
      </c>
      <c r="AY24" s="180">
        <v>0</v>
      </c>
      <c r="AZ24" s="180">
        <v>0</v>
      </c>
      <c r="BA24" s="180">
        <v>0</v>
      </c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2"/>
      <c r="BR24" s="181"/>
      <c r="BS24" s="187"/>
      <c r="BT24" s="181"/>
      <c r="BU24" s="224"/>
      <c r="BV24" s="181"/>
      <c r="BW24" s="188"/>
      <c r="BX24" s="188"/>
      <c r="BY24" s="180"/>
      <c r="BZ24" s="180"/>
      <c r="CA24" s="180">
        <v>0</v>
      </c>
      <c r="CB24" s="180"/>
      <c r="CC24" s="180"/>
      <c r="CD24" s="180"/>
      <c r="CE24" s="180"/>
      <c r="CF24" s="180"/>
      <c r="CG24" s="180"/>
      <c r="CH24" s="180"/>
      <c r="CI24" s="180"/>
      <c r="CJ24" s="180"/>
      <c r="CK24" s="181"/>
      <c r="CL24" s="181"/>
    </row>
    <row r="25" spans="1:90" s="200" customFormat="1" ht="30" customHeight="1" outlineLevel="1" x14ac:dyDescent="0.3">
      <c r="A25" s="176"/>
      <c r="B25" s="176" t="s">
        <v>354</v>
      </c>
      <c r="C25" s="176"/>
      <c r="D25" s="176"/>
      <c r="E25" s="176"/>
      <c r="F25" s="176"/>
      <c r="G25" s="176"/>
      <c r="H25" s="176"/>
      <c r="I25" s="177"/>
      <c r="J25" s="190"/>
      <c r="K25" s="190"/>
      <c r="L25" s="192"/>
      <c r="M25" s="192"/>
      <c r="N25" s="192"/>
      <c r="O25" s="191"/>
      <c r="P25" s="192"/>
      <c r="Q25" s="192"/>
      <c r="R25" s="194">
        <v>0</v>
      </c>
      <c r="S25" s="284">
        <v>2</v>
      </c>
      <c r="T25" s="194">
        <v>0</v>
      </c>
      <c r="U25" s="251">
        <v>4104643</v>
      </c>
      <c r="V25" s="191"/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251">
        <v>4104643</v>
      </c>
      <c r="AD25" s="191">
        <v>0</v>
      </c>
      <c r="AE25" s="191">
        <v>0</v>
      </c>
      <c r="AF25" s="191">
        <v>0</v>
      </c>
      <c r="AG25" s="191">
        <v>0</v>
      </c>
      <c r="AH25" s="252">
        <v>0</v>
      </c>
      <c r="AI25" s="191">
        <v>0</v>
      </c>
      <c r="AJ25" s="191">
        <v>0</v>
      </c>
      <c r="AK25" s="253">
        <v>0</v>
      </c>
      <c r="AL25" s="195"/>
      <c r="AM25" s="191">
        <v>4104643</v>
      </c>
      <c r="AN25" s="192"/>
      <c r="AO25" s="195"/>
      <c r="AP25" s="191">
        <v>4104643</v>
      </c>
      <c r="AQ25" s="196"/>
      <c r="AR25" s="191"/>
      <c r="AS25" s="191"/>
      <c r="AT25" s="191">
        <v>0</v>
      </c>
      <c r="AU25" s="191">
        <v>0</v>
      </c>
      <c r="AV25" s="191">
        <v>0</v>
      </c>
      <c r="AW25" s="191">
        <v>0</v>
      </c>
      <c r="AX25" s="191">
        <v>0</v>
      </c>
      <c r="AY25" s="191">
        <v>0</v>
      </c>
      <c r="AZ25" s="191">
        <v>0</v>
      </c>
      <c r="BA25" s="191">
        <v>0</v>
      </c>
      <c r="BB25" s="191"/>
      <c r="BC25" s="191"/>
      <c r="BD25" s="191"/>
      <c r="BE25" s="191"/>
      <c r="BF25" s="191"/>
      <c r="BG25" s="191"/>
      <c r="BH25" s="191"/>
      <c r="BI25" s="191"/>
      <c r="BJ25" s="191"/>
      <c r="BK25" s="191"/>
      <c r="BL25" s="191"/>
      <c r="BM25" s="191"/>
      <c r="BN25" s="191"/>
      <c r="BO25" s="191"/>
      <c r="BP25" s="191"/>
      <c r="BQ25" s="193"/>
      <c r="BR25" s="192"/>
      <c r="BS25" s="198"/>
      <c r="BT25" s="192"/>
      <c r="BU25" s="225"/>
      <c r="BV25" s="192"/>
      <c r="BW25" s="199"/>
      <c r="BX25" s="199"/>
      <c r="BY25" s="191"/>
      <c r="BZ25" s="191"/>
      <c r="CA25" s="191">
        <v>0</v>
      </c>
      <c r="CB25" s="191"/>
      <c r="CC25" s="191"/>
      <c r="CD25" s="191"/>
      <c r="CE25" s="191"/>
      <c r="CF25" s="191"/>
      <c r="CG25" s="191"/>
      <c r="CH25" s="191"/>
      <c r="CI25" s="191"/>
      <c r="CJ25" s="191"/>
      <c r="CK25" s="192"/>
      <c r="CL25" s="192"/>
    </row>
    <row r="26" spans="1:90" outlineLevel="3" x14ac:dyDescent="0.3">
      <c r="A26" s="137" t="s">
        <v>356</v>
      </c>
      <c r="B26" s="137" t="s">
        <v>355</v>
      </c>
      <c r="C26" s="137" t="s">
        <v>460</v>
      </c>
      <c r="D26" s="137" t="s">
        <v>461</v>
      </c>
      <c r="E26" s="137" t="s">
        <v>462</v>
      </c>
      <c r="F26" s="137" t="s">
        <v>196</v>
      </c>
      <c r="G26" s="137" t="s">
        <v>463</v>
      </c>
      <c r="H26" s="137" t="s">
        <v>316</v>
      </c>
      <c r="I26" s="163" t="s">
        <v>357</v>
      </c>
      <c r="J26" s="165">
        <v>1</v>
      </c>
      <c r="K26" s="165">
        <v>1</v>
      </c>
      <c r="L26" s="167">
        <v>0</v>
      </c>
      <c r="M26" s="167">
        <v>0</v>
      </c>
      <c r="N26" s="167">
        <v>0</v>
      </c>
      <c r="O26" s="166">
        <v>30637565.036477998</v>
      </c>
      <c r="P26" s="167">
        <v>30637565.036477998</v>
      </c>
      <c r="Q26" s="167">
        <v>0</v>
      </c>
      <c r="R26" s="169" t="s">
        <v>464</v>
      </c>
      <c r="S26" s="282">
        <v>1</v>
      </c>
      <c r="T26" s="169">
        <v>0</v>
      </c>
      <c r="U26" s="245">
        <v>30637565.036477998</v>
      </c>
      <c r="V26" s="166" t="s">
        <v>319</v>
      </c>
      <c r="W26" s="166">
        <v>0</v>
      </c>
      <c r="X26" s="166">
        <v>0</v>
      </c>
      <c r="Y26" s="166">
        <v>0</v>
      </c>
      <c r="Z26" s="166">
        <v>0</v>
      </c>
      <c r="AA26" s="166">
        <v>0</v>
      </c>
      <c r="AB26" s="166">
        <v>0</v>
      </c>
      <c r="AC26" s="245">
        <v>30637565.036477998</v>
      </c>
      <c r="AD26" s="166">
        <v>0</v>
      </c>
      <c r="AE26" s="166">
        <v>0</v>
      </c>
      <c r="AF26" s="166">
        <v>0</v>
      </c>
      <c r="AG26" s="166">
        <v>0</v>
      </c>
      <c r="AH26" s="246">
        <v>-63109023.640000001</v>
      </c>
      <c r="AI26" s="166">
        <v>0</v>
      </c>
      <c r="AJ26" s="166">
        <v>63109023.640000001</v>
      </c>
      <c r="AK26" s="247">
        <v>0</v>
      </c>
      <c r="AL26" s="170">
        <v>0</v>
      </c>
      <c r="AM26" s="166">
        <v>93746588.676477998</v>
      </c>
      <c r="AN26" s="167">
        <v>0</v>
      </c>
      <c r="AO26" s="170">
        <v>0</v>
      </c>
      <c r="AP26" s="166">
        <v>30637565.036477998</v>
      </c>
      <c r="AQ26" s="171">
        <v>1</v>
      </c>
      <c r="AR26" s="166">
        <v>0</v>
      </c>
      <c r="AS26" s="166">
        <v>30637565.036477998</v>
      </c>
      <c r="AT26" s="166">
        <v>0</v>
      </c>
      <c r="AU26" s="166">
        <v>0</v>
      </c>
      <c r="AV26" s="166">
        <v>0</v>
      </c>
      <c r="AW26" s="166">
        <v>0</v>
      </c>
      <c r="AX26" s="166">
        <v>-63109023.640000001</v>
      </c>
      <c r="AY26" s="166">
        <v>0</v>
      </c>
      <c r="AZ26" s="166">
        <v>63109023.640000001</v>
      </c>
      <c r="BA26" s="166">
        <v>0</v>
      </c>
      <c r="BB26" s="166" t="s">
        <v>196</v>
      </c>
      <c r="BC26" s="166" t="s">
        <v>196</v>
      </c>
      <c r="BD26" s="166">
        <v>0</v>
      </c>
      <c r="BE26" s="166">
        <v>0</v>
      </c>
      <c r="BF26" s="166">
        <v>0</v>
      </c>
      <c r="BG26" s="166">
        <v>0</v>
      </c>
      <c r="BH26" s="166">
        <v>-63109023.640000001</v>
      </c>
      <c r="BI26" s="166">
        <v>0</v>
      </c>
      <c r="BJ26" s="166">
        <v>63109023.640000001</v>
      </c>
      <c r="BK26" s="166">
        <v>0</v>
      </c>
      <c r="BL26" s="166">
        <v>30637565.036477998</v>
      </c>
      <c r="BM26" s="166" t="s">
        <v>320</v>
      </c>
      <c r="BN26" s="166">
        <v>0</v>
      </c>
      <c r="BO26" s="166" t="b">
        <v>0</v>
      </c>
      <c r="BP26" s="166">
        <v>63109023.640000001</v>
      </c>
      <c r="BQ26" s="168">
        <v>0</v>
      </c>
      <c r="BR26" s="167">
        <v>0</v>
      </c>
      <c r="BS26" s="173">
        <v>79</v>
      </c>
      <c r="BT26" s="167">
        <v>0</v>
      </c>
      <c r="BU26" s="231">
        <v>0</v>
      </c>
      <c r="BV26" s="167">
        <v>163</v>
      </c>
      <c r="BW26" s="174">
        <v>0</v>
      </c>
      <c r="BX26" s="174">
        <v>0</v>
      </c>
      <c r="BY26" s="166">
        <v>0</v>
      </c>
      <c r="BZ26" s="166">
        <v>0</v>
      </c>
      <c r="CA26" s="166">
        <v>0</v>
      </c>
      <c r="CB26" s="166">
        <v>0</v>
      </c>
      <c r="CC26" s="166">
        <v>0</v>
      </c>
      <c r="CD26" s="166">
        <v>0</v>
      </c>
      <c r="CE26" s="166">
        <v>0</v>
      </c>
      <c r="CF26" s="166">
        <v>0</v>
      </c>
      <c r="CG26" s="166">
        <v>-63109023.640000001</v>
      </c>
      <c r="CH26" s="166">
        <v>0</v>
      </c>
      <c r="CI26" s="166">
        <v>63109023.640000001</v>
      </c>
      <c r="CJ26" s="166">
        <v>0</v>
      </c>
      <c r="CK26" s="167">
        <v>0</v>
      </c>
      <c r="CL26" s="167">
        <v>0</v>
      </c>
    </row>
    <row r="27" spans="1:90" s="189" customFormat="1" ht="20.100000000000001" customHeight="1" outlineLevel="2" x14ac:dyDescent="0.3">
      <c r="A27" s="176" t="s">
        <v>359</v>
      </c>
      <c r="B27" s="176"/>
      <c r="C27" s="176"/>
      <c r="D27" s="176"/>
      <c r="E27" s="176"/>
      <c r="F27" s="176"/>
      <c r="G27" s="176"/>
      <c r="H27" s="176"/>
      <c r="I27" s="177"/>
      <c r="J27" s="179"/>
      <c r="K27" s="179"/>
      <c r="L27" s="181"/>
      <c r="M27" s="181"/>
      <c r="N27" s="181"/>
      <c r="O27" s="180"/>
      <c r="P27" s="181"/>
      <c r="Q27" s="181"/>
      <c r="R27" s="183">
        <v>0</v>
      </c>
      <c r="S27" s="283">
        <v>1</v>
      </c>
      <c r="T27" s="183">
        <v>0</v>
      </c>
      <c r="U27" s="248">
        <v>30637565.036477998</v>
      </c>
      <c r="V27" s="180"/>
      <c r="W27" s="180">
        <v>0</v>
      </c>
      <c r="X27" s="180">
        <v>0</v>
      </c>
      <c r="Y27" s="180">
        <v>0</v>
      </c>
      <c r="Z27" s="180">
        <v>0</v>
      </c>
      <c r="AA27" s="180">
        <v>0</v>
      </c>
      <c r="AB27" s="180">
        <v>0</v>
      </c>
      <c r="AC27" s="248">
        <v>30637565.036477998</v>
      </c>
      <c r="AD27" s="180">
        <v>0</v>
      </c>
      <c r="AE27" s="180">
        <v>0</v>
      </c>
      <c r="AF27" s="180">
        <v>0</v>
      </c>
      <c r="AG27" s="180">
        <v>0</v>
      </c>
      <c r="AH27" s="249">
        <v>-63109023.640000001</v>
      </c>
      <c r="AI27" s="180">
        <v>0</v>
      </c>
      <c r="AJ27" s="180">
        <v>63109023.640000001</v>
      </c>
      <c r="AK27" s="250">
        <v>0</v>
      </c>
      <c r="AL27" s="184"/>
      <c r="AM27" s="180">
        <v>93746588.676477998</v>
      </c>
      <c r="AN27" s="181"/>
      <c r="AO27" s="184"/>
      <c r="AP27" s="180">
        <v>30637565.036477998</v>
      </c>
      <c r="AQ27" s="185"/>
      <c r="AR27" s="180"/>
      <c r="AS27" s="180"/>
      <c r="AT27" s="180">
        <v>0</v>
      </c>
      <c r="AU27" s="180">
        <v>0</v>
      </c>
      <c r="AV27" s="180">
        <v>0</v>
      </c>
      <c r="AW27" s="180">
        <v>0</v>
      </c>
      <c r="AX27" s="180">
        <v>-63109023.640000001</v>
      </c>
      <c r="AY27" s="180">
        <v>0</v>
      </c>
      <c r="AZ27" s="180">
        <v>63109023.640000001</v>
      </c>
      <c r="BA27" s="180">
        <v>0</v>
      </c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2"/>
      <c r="BR27" s="181"/>
      <c r="BS27" s="187"/>
      <c r="BT27" s="181"/>
      <c r="BU27" s="224"/>
      <c r="BV27" s="181"/>
      <c r="BW27" s="188"/>
      <c r="BX27" s="188"/>
      <c r="BY27" s="180"/>
      <c r="BZ27" s="180"/>
      <c r="CA27" s="180">
        <v>0</v>
      </c>
      <c r="CB27" s="180"/>
      <c r="CC27" s="180"/>
      <c r="CD27" s="180"/>
      <c r="CE27" s="180"/>
      <c r="CF27" s="180"/>
      <c r="CG27" s="180"/>
      <c r="CH27" s="180"/>
      <c r="CI27" s="180"/>
      <c r="CJ27" s="180"/>
      <c r="CK27" s="181"/>
      <c r="CL27" s="181"/>
    </row>
    <row r="28" spans="1:90" s="200" customFormat="1" ht="30" customHeight="1" outlineLevel="1" x14ac:dyDescent="0.3">
      <c r="A28" s="176"/>
      <c r="B28" s="176" t="s">
        <v>360</v>
      </c>
      <c r="C28" s="176"/>
      <c r="D28" s="176"/>
      <c r="E28" s="176"/>
      <c r="F28" s="176"/>
      <c r="G28" s="176"/>
      <c r="H28" s="176"/>
      <c r="I28" s="177"/>
      <c r="J28" s="190"/>
      <c r="K28" s="190"/>
      <c r="L28" s="192"/>
      <c r="M28" s="192"/>
      <c r="N28" s="192"/>
      <c r="O28" s="191"/>
      <c r="P28" s="192"/>
      <c r="Q28" s="192"/>
      <c r="R28" s="194">
        <v>0</v>
      </c>
      <c r="S28" s="284">
        <v>1</v>
      </c>
      <c r="T28" s="194">
        <v>0</v>
      </c>
      <c r="U28" s="251">
        <v>30637565.036477998</v>
      </c>
      <c r="V28" s="191"/>
      <c r="W28" s="191">
        <v>0</v>
      </c>
      <c r="X28" s="191">
        <v>0</v>
      </c>
      <c r="Y28" s="191">
        <v>0</v>
      </c>
      <c r="Z28" s="191">
        <v>0</v>
      </c>
      <c r="AA28" s="191">
        <v>0</v>
      </c>
      <c r="AB28" s="191">
        <v>0</v>
      </c>
      <c r="AC28" s="251">
        <v>30637565.036477998</v>
      </c>
      <c r="AD28" s="191">
        <v>0</v>
      </c>
      <c r="AE28" s="191">
        <v>0</v>
      </c>
      <c r="AF28" s="191">
        <v>0</v>
      </c>
      <c r="AG28" s="191">
        <v>0</v>
      </c>
      <c r="AH28" s="252">
        <v>-63109023.640000001</v>
      </c>
      <c r="AI28" s="191">
        <v>0</v>
      </c>
      <c r="AJ28" s="191">
        <v>63109023.640000001</v>
      </c>
      <c r="AK28" s="253">
        <v>0</v>
      </c>
      <c r="AL28" s="195"/>
      <c r="AM28" s="191">
        <v>93746588.676477998</v>
      </c>
      <c r="AN28" s="192"/>
      <c r="AO28" s="195"/>
      <c r="AP28" s="191">
        <v>30637565.036477998</v>
      </c>
      <c r="AQ28" s="196"/>
      <c r="AR28" s="191"/>
      <c r="AS28" s="191"/>
      <c r="AT28" s="191">
        <v>0</v>
      </c>
      <c r="AU28" s="191">
        <v>0</v>
      </c>
      <c r="AV28" s="191">
        <v>0</v>
      </c>
      <c r="AW28" s="191">
        <v>0</v>
      </c>
      <c r="AX28" s="191">
        <v>-63109023.640000001</v>
      </c>
      <c r="AY28" s="191">
        <v>0</v>
      </c>
      <c r="AZ28" s="191">
        <v>63109023.640000001</v>
      </c>
      <c r="BA28" s="191">
        <v>0</v>
      </c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191"/>
      <c r="BO28" s="191"/>
      <c r="BP28" s="191"/>
      <c r="BQ28" s="193"/>
      <c r="BR28" s="192"/>
      <c r="BS28" s="198"/>
      <c r="BT28" s="192"/>
      <c r="BU28" s="225"/>
      <c r="BV28" s="192"/>
      <c r="BW28" s="199"/>
      <c r="BX28" s="199"/>
      <c r="BY28" s="191"/>
      <c r="BZ28" s="191"/>
      <c r="CA28" s="191">
        <v>0</v>
      </c>
      <c r="CB28" s="191"/>
      <c r="CC28" s="191"/>
      <c r="CD28" s="191"/>
      <c r="CE28" s="191"/>
      <c r="CF28" s="191"/>
      <c r="CG28" s="191"/>
      <c r="CH28" s="191"/>
      <c r="CI28" s="191"/>
      <c r="CJ28" s="191"/>
      <c r="CK28" s="192"/>
      <c r="CL28" s="192"/>
    </row>
    <row r="29" spans="1:90" outlineLevel="3" x14ac:dyDescent="0.3">
      <c r="A29" s="137" t="s">
        <v>339</v>
      </c>
      <c r="B29" s="137" t="s">
        <v>361</v>
      </c>
      <c r="C29" s="137" t="s">
        <v>467</v>
      </c>
      <c r="D29" s="137" t="s">
        <v>468</v>
      </c>
      <c r="E29" s="137" t="s">
        <v>203</v>
      </c>
      <c r="F29" s="137" t="s">
        <v>364</v>
      </c>
      <c r="G29" s="137" t="s">
        <v>502</v>
      </c>
      <c r="H29" s="137" t="s">
        <v>322</v>
      </c>
      <c r="I29" s="163" t="s">
        <v>317</v>
      </c>
      <c r="J29" s="165">
        <v>1021107</v>
      </c>
      <c r="K29" s="165">
        <v>1021107</v>
      </c>
      <c r="L29" s="167">
        <v>0</v>
      </c>
      <c r="M29" s="167">
        <v>0</v>
      </c>
      <c r="N29" s="167">
        <v>1</v>
      </c>
      <c r="O29" s="166">
        <v>19.4375</v>
      </c>
      <c r="P29" s="168">
        <v>20</v>
      </c>
      <c r="Q29" s="168">
        <v>-0.5625</v>
      </c>
      <c r="R29" s="169" t="s">
        <v>365</v>
      </c>
      <c r="S29" s="279">
        <v>1</v>
      </c>
      <c r="T29" s="169">
        <v>0</v>
      </c>
      <c r="U29" s="245">
        <v>19847767.3125</v>
      </c>
      <c r="V29" s="166" t="s">
        <v>319</v>
      </c>
      <c r="W29" s="166">
        <v>0</v>
      </c>
      <c r="X29" s="166">
        <v>0</v>
      </c>
      <c r="Y29" s="166">
        <v>0</v>
      </c>
      <c r="Z29" s="166">
        <v>0</v>
      </c>
      <c r="AA29" s="166">
        <v>0</v>
      </c>
      <c r="AB29" s="166">
        <v>0</v>
      </c>
      <c r="AC29" s="245">
        <v>20422140</v>
      </c>
      <c r="AD29" s="166">
        <v>-574372.6875</v>
      </c>
      <c r="AE29" s="166">
        <v>0</v>
      </c>
      <c r="AF29" s="166">
        <v>574372.6875</v>
      </c>
      <c r="AG29" s="166">
        <v>0</v>
      </c>
      <c r="AH29" s="246">
        <v>-1703117.64</v>
      </c>
      <c r="AI29" s="166">
        <v>0</v>
      </c>
      <c r="AJ29" s="166">
        <v>1703117.64</v>
      </c>
      <c r="AK29" s="247">
        <v>0</v>
      </c>
      <c r="AL29" s="170">
        <v>0</v>
      </c>
      <c r="AM29" s="166">
        <v>28000652.0625</v>
      </c>
      <c r="AN29" s="167">
        <v>0</v>
      </c>
      <c r="AO29" s="170">
        <v>0</v>
      </c>
      <c r="AP29" s="166">
        <v>79135746</v>
      </c>
      <c r="AQ29" s="171">
        <v>1</v>
      </c>
      <c r="AR29" s="166">
        <v>19847767.3125</v>
      </c>
      <c r="AS29" s="166">
        <v>19.4375</v>
      </c>
      <c r="AT29" s="166">
        <v>-4403523.9375</v>
      </c>
      <c r="AU29" s="166">
        <v>0</v>
      </c>
      <c r="AV29" s="166">
        <v>4403523.9375</v>
      </c>
      <c r="AW29" s="166">
        <v>0</v>
      </c>
      <c r="AX29" s="166">
        <v>-1703117.64</v>
      </c>
      <c r="AY29" s="166">
        <v>0</v>
      </c>
      <c r="AZ29" s="166">
        <v>1703117.64</v>
      </c>
      <c r="BA29" s="166">
        <v>0</v>
      </c>
      <c r="BB29" s="166">
        <v>19.4375</v>
      </c>
      <c r="BC29" s="166">
        <v>20</v>
      </c>
      <c r="BD29" s="166">
        <v>-3829151.25</v>
      </c>
      <c r="BE29" s="166">
        <v>0</v>
      </c>
      <c r="BF29" s="166">
        <v>3829151.25</v>
      </c>
      <c r="BG29" s="166">
        <v>0</v>
      </c>
      <c r="BH29" s="166">
        <v>-1128744.9524999999</v>
      </c>
      <c r="BI29" s="166">
        <v>0</v>
      </c>
      <c r="BJ29" s="166">
        <v>1128744.9524999999</v>
      </c>
      <c r="BK29" s="166">
        <v>0</v>
      </c>
      <c r="BL29" s="166">
        <v>79135746</v>
      </c>
      <c r="BM29" s="166" t="s">
        <v>323</v>
      </c>
      <c r="BN29" s="166">
        <v>0</v>
      </c>
      <c r="BO29" s="166" t="b">
        <v>0</v>
      </c>
      <c r="BP29" s="166">
        <v>1128744.9524999999</v>
      </c>
      <c r="BQ29" s="168">
        <v>0</v>
      </c>
      <c r="BR29" s="167">
        <v>0</v>
      </c>
      <c r="BS29" s="173">
        <v>71</v>
      </c>
      <c r="BT29" s="167">
        <v>-574372.6875</v>
      </c>
      <c r="BU29" s="231">
        <v>0</v>
      </c>
      <c r="BV29" s="167">
        <v>24</v>
      </c>
      <c r="BW29" s="174">
        <v>19.4375</v>
      </c>
      <c r="BX29" s="174">
        <v>0</v>
      </c>
      <c r="BY29" s="166">
        <v>0</v>
      </c>
      <c r="BZ29" s="166">
        <v>0</v>
      </c>
      <c r="CA29" s="166">
        <v>-6449767.1100000003</v>
      </c>
      <c r="CB29" s="166">
        <v>-6449767.1100000003</v>
      </c>
      <c r="CC29" s="166">
        <v>0</v>
      </c>
      <c r="CD29" s="166">
        <v>0</v>
      </c>
      <c r="CE29" s="166">
        <v>0</v>
      </c>
      <c r="CF29" s="166">
        <v>0</v>
      </c>
      <c r="CG29" s="166">
        <v>-1128744.9524999999</v>
      </c>
      <c r="CH29" s="166">
        <v>0</v>
      </c>
      <c r="CI29" s="166">
        <v>1128744.9524999999</v>
      </c>
      <c r="CJ29" s="166">
        <v>0</v>
      </c>
      <c r="CK29" s="167">
        <v>0</v>
      </c>
      <c r="CL29" s="167">
        <v>0</v>
      </c>
    </row>
    <row r="30" spans="1:90" s="189" customFormat="1" ht="20.100000000000001" customHeight="1" outlineLevel="2" x14ac:dyDescent="0.3">
      <c r="A30" s="176" t="s">
        <v>340</v>
      </c>
      <c r="B30" s="176"/>
      <c r="C30" s="176"/>
      <c r="D30" s="176"/>
      <c r="E30" s="176"/>
      <c r="F30" s="176"/>
      <c r="G30" s="176"/>
      <c r="H30" s="176"/>
      <c r="I30" s="177"/>
      <c r="J30" s="179"/>
      <c r="K30" s="179"/>
      <c r="L30" s="181"/>
      <c r="M30" s="181"/>
      <c r="N30" s="181"/>
      <c r="O30" s="180"/>
      <c r="P30" s="182"/>
      <c r="Q30" s="182"/>
      <c r="R30" s="183">
        <v>0</v>
      </c>
      <c r="S30" s="280">
        <v>1</v>
      </c>
      <c r="T30" s="183">
        <v>0</v>
      </c>
      <c r="U30" s="248">
        <v>19847767.3125</v>
      </c>
      <c r="V30" s="180"/>
      <c r="W30" s="180">
        <v>0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248">
        <v>20422140</v>
      </c>
      <c r="AD30" s="180">
        <v>-574372.6875</v>
      </c>
      <c r="AE30" s="180">
        <v>0</v>
      </c>
      <c r="AF30" s="180">
        <v>574372.6875</v>
      </c>
      <c r="AG30" s="180">
        <v>0</v>
      </c>
      <c r="AH30" s="249">
        <v>-1703117.64</v>
      </c>
      <c r="AI30" s="180">
        <v>0</v>
      </c>
      <c r="AJ30" s="180">
        <v>1703117.64</v>
      </c>
      <c r="AK30" s="250">
        <v>0</v>
      </c>
      <c r="AL30" s="184"/>
      <c r="AM30" s="180">
        <v>28000652.0625</v>
      </c>
      <c r="AN30" s="181"/>
      <c r="AO30" s="184"/>
      <c r="AP30" s="180">
        <v>79135746</v>
      </c>
      <c r="AQ30" s="185"/>
      <c r="AR30" s="180"/>
      <c r="AS30" s="180"/>
      <c r="AT30" s="180">
        <v>-4403523.9375</v>
      </c>
      <c r="AU30" s="180">
        <v>0</v>
      </c>
      <c r="AV30" s="180">
        <v>4403523.9375</v>
      </c>
      <c r="AW30" s="180">
        <v>0</v>
      </c>
      <c r="AX30" s="180">
        <v>-1703117.64</v>
      </c>
      <c r="AY30" s="180">
        <v>0</v>
      </c>
      <c r="AZ30" s="180">
        <v>1703117.64</v>
      </c>
      <c r="BA30" s="180">
        <v>0</v>
      </c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2"/>
      <c r="BR30" s="181"/>
      <c r="BS30" s="187"/>
      <c r="BT30" s="181"/>
      <c r="BU30" s="224"/>
      <c r="BV30" s="181"/>
      <c r="BW30" s="188"/>
      <c r="BX30" s="188"/>
      <c r="BY30" s="180"/>
      <c r="BZ30" s="180"/>
      <c r="CA30" s="180">
        <v>-6449767.1100000003</v>
      </c>
      <c r="CB30" s="180"/>
      <c r="CC30" s="180"/>
      <c r="CD30" s="180"/>
      <c r="CE30" s="180"/>
      <c r="CF30" s="180"/>
      <c r="CG30" s="180"/>
      <c r="CH30" s="180"/>
      <c r="CI30" s="180"/>
      <c r="CJ30" s="180"/>
      <c r="CK30" s="181"/>
      <c r="CL30" s="181"/>
    </row>
    <row r="31" spans="1:90" s="200" customFormat="1" ht="30" customHeight="1" outlineLevel="1" x14ac:dyDescent="0.3">
      <c r="A31" s="176"/>
      <c r="B31" s="176" t="s">
        <v>366</v>
      </c>
      <c r="C31" s="176"/>
      <c r="D31" s="176"/>
      <c r="E31" s="176"/>
      <c r="F31" s="176"/>
      <c r="G31" s="176"/>
      <c r="H31" s="176"/>
      <c r="I31" s="177"/>
      <c r="J31" s="190"/>
      <c r="K31" s="190"/>
      <c r="L31" s="192"/>
      <c r="M31" s="192"/>
      <c r="N31" s="192"/>
      <c r="O31" s="191"/>
      <c r="P31" s="193"/>
      <c r="Q31" s="193"/>
      <c r="R31" s="194">
        <v>0</v>
      </c>
      <c r="S31" s="281">
        <v>1</v>
      </c>
      <c r="T31" s="194">
        <v>0</v>
      </c>
      <c r="U31" s="251">
        <v>19847767.3125</v>
      </c>
      <c r="V31" s="191"/>
      <c r="W31" s="191">
        <v>0</v>
      </c>
      <c r="X31" s="191">
        <v>0</v>
      </c>
      <c r="Y31" s="191">
        <v>0</v>
      </c>
      <c r="Z31" s="191">
        <v>0</v>
      </c>
      <c r="AA31" s="191">
        <v>0</v>
      </c>
      <c r="AB31" s="191">
        <v>0</v>
      </c>
      <c r="AC31" s="251">
        <v>20422140</v>
      </c>
      <c r="AD31" s="191">
        <v>-574372.6875</v>
      </c>
      <c r="AE31" s="191">
        <v>0</v>
      </c>
      <c r="AF31" s="191">
        <v>574372.6875</v>
      </c>
      <c r="AG31" s="191">
        <v>0</v>
      </c>
      <c r="AH31" s="252">
        <v>-1703117.64</v>
      </c>
      <c r="AI31" s="191">
        <v>0</v>
      </c>
      <c r="AJ31" s="191">
        <v>1703117.64</v>
      </c>
      <c r="AK31" s="253">
        <v>0</v>
      </c>
      <c r="AL31" s="195"/>
      <c r="AM31" s="191">
        <v>28000652.0625</v>
      </c>
      <c r="AN31" s="192"/>
      <c r="AO31" s="195"/>
      <c r="AP31" s="191">
        <v>79135746</v>
      </c>
      <c r="AQ31" s="196"/>
      <c r="AR31" s="191"/>
      <c r="AS31" s="191"/>
      <c r="AT31" s="191">
        <v>-4403523.9375</v>
      </c>
      <c r="AU31" s="191">
        <v>0</v>
      </c>
      <c r="AV31" s="191">
        <v>4403523.9375</v>
      </c>
      <c r="AW31" s="191">
        <v>0</v>
      </c>
      <c r="AX31" s="191">
        <v>-1703117.64</v>
      </c>
      <c r="AY31" s="191">
        <v>0</v>
      </c>
      <c r="AZ31" s="191">
        <v>1703117.64</v>
      </c>
      <c r="BA31" s="191">
        <v>0</v>
      </c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3"/>
      <c r="BR31" s="192"/>
      <c r="BS31" s="198"/>
      <c r="BT31" s="192"/>
      <c r="BU31" s="225"/>
      <c r="BV31" s="192"/>
      <c r="BW31" s="199"/>
      <c r="BX31" s="199"/>
      <c r="BY31" s="191"/>
      <c r="BZ31" s="191"/>
      <c r="CA31" s="191">
        <v>-6449767.1100000003</v>
      </c>
      <c r="CB31" s="191"/>
      <c r="CC31" s="191"/>
      <c r="CD31" s="191"/>
      <c r="CE31" s="191"/>
      <c r="CF31" s="191"/>
      <c r="CG31" s="191"/>
      <c r="CH31" s="191"/>
      <c r="CI31" s="191"/>
      <c r="CJ31" s="191"/>
      <c r="CK31" s="192"/>
      <c r="CL31" s="192"/>
    </row>
    <row r="32" spans="1:90" outlineLevel="3" x14ac:dyDescent="0.3">
      <c r="A32" s="137" t="s">
        <v>368</v>
      </c>
      <c r="B32" s="137" t="s">
        <v>367</v>
      </c>
      <c r="C32" s="137" t="s">
        <v>369</v>
      </c>
      <c r="D32" s="137" t="s">
        <v>370</v>
      </c>
      <c r="E32" s="137" t="s">
        <v>371</v>
      </c>
      <c r="F32" s="137" t="s">
        <v>196</v>
      </c>
      <c r="G32" s="137" t="s">
        <v>348</v>
      </c>
      <c r="H32" s="137" t="s">
        <v>316</v>
      </c>
      <c r="I32" s="163" t="s">
        <v>331</v>
      </c>
      <c r="J32" s="165">
        <v>1</v>
      </c>
      <c r="K32" s="165">
        <v>1</v>
      </c>
      <c r="L32" s="167">
        <v>0</v>
      </c>
      <c r="M32" s="167">
        <v>0</v>
      </c>
      <c r="N32" s="167">
        <v>0</v>
      </c>
      <c r="O32" s="166">
        <v>2848429.66708</v>
      </c>
      <c r="P32" s="167">
        <v>2848429.66708</v>
      </c>
      <c r="Q32" s="167">
        <v>0</v>
      </c>
      <c r="R32" s="169">
        <v>0</v>
      </c>
      <c r="S32" s="279">
        <v>0</v>
      </c>
      <c r="T32" s="169">
        <v>0</v>
      </c>
      <c r="U32" s="245">
        <v>2848429.66708</v>
      </c>
      <c r="V32" s="166" t="s">
        <v>319</v>
      </c>
      <c r="W32" s="166">
        <v>0</v>
      </c>
      <c r="X32" s="166">
        <v>0</v>
      </c>
      <c r="Y32" s="166">
        <v>0</v>
      </c>
      <c r="Z32" s="166">
        <v>0</v>
      </c>
      <c r="AA32" s="166">
        <v>0</v>
      </c>
      <c r="AB32" s="166">
        <v>0</v>
      </c>
      <c r="AC32" s="245">
        <v>2848429.66708</v>
      </c>
      <c r="AD32" s="166">
        <v>0</v>
      </c>
      <c r="AE32" s="166">
        <v>0</v>
      </c>
      <c r="AF32" s="166">
        <v>0</v>
      </c>
      <c r="AG32" s="166">
        <v>0</v>
      </c>
      <c r="AH32" s="246">
        <v>0</v>
      </c>
      <c r="AI32" s="166">
        <v>0</v>
      </c>
      <c r="AJ32" s="166">
        <v>0</v>
      </c>
      <c r="AK32" s="247">
        <v>0</v>
      </c>
      <c r="AL32" s="170">
        <v>0</v>
      </c>
      <c r="AM32" s="166">
        <v>2807236.89</v>
      </c>
      <c r="AN32" s="167">
        <v>0</v>
      </c>
      <c r="AO32" s="170">
        <v>0</v>
      </c>
      <c r="AP32" s="166">
        <v>2807236.89</v>
      </c>
      <c r="AQ32" s="171">
        <v>1</v>
      </c>
      <c r="AR32" s="166">
        <v>0</v>
      </c>
      <c r="AS32" s="166">
        <v>2848429.66708</v>
      </c>
      <c r="AT32" s="166">
        <v>0</v>
      </c>
      <c r="AU32" s="166">
        <v>0</v>
      </c>
      <c r="AV32" s="166">
        <v>0</v>
      </c>
      <c r="AW32" s="166">
        <v>0</v>
      </c>
      <c r="AX32" s="166">
        <v>0</v>
      </c>
      <c r="AY32" s="166">
        <v>0</v>
      </c>
      <c r="AZ32" s="166">
        <v>0</v>
      </c>
      <c r="BA32" s="166">
        <v>0</v>
      </c>
      <c r="BB32" s="166" t="s">
        <v>196</v>
      </c>
      <c r="BC32" s="166" t="s">
        <v>196</v>
      </c>
      <c r="BD32" s="166">
        <v>0</v>
      </c>
      <c r="BE32" s="166">
        <v>0</v>
      </c>
      <c r="BF32" s="166">
        <v>0</v>
      </c>
      <c r="BG32" s="166">
        <v>0</v>
      </c>
      <c r="BH32" s="166">
        <v>0</v>
      </c>
      <c r="BI32" s="166">
        <v>0</v>
      </c>
      <c r="BJ32" s="166">
        <v>0</v>
      </c>
      <c r="BK32" s="166">
        <v>0</v>
      </c>
      <c r="BL32" s="166">
        <v>2807236.89</v>
      </c>
      <c r="BM32" s="166" t="s">
        <v>320</v>
      </c>
      <c r="BN32" s="166">
        <v>0</v>
      </c>
      <c r="BO32" s="166" t="b">
        <v>0</v>
      </c>
      <c r="BP32" s="166">
        <v>0</v>
      </c>
      <c r="BQ32" s="168">
        <v>0</v>
      </c>
      <c r="BR32" s="167">
        <v>0</v>
      </c>
      <c r="BS32" s="173">
        <v>39</v>
      </c>
      <c r="BT32" s="167">
        <v>0</v>
      </c>
      <c r="BU32" s="231">
        <v>0</v>
      </c>
      <c r="BV32" s="167">
        <v>179</v>
      </c>
      <c r="BW32" s="174">
        <v>0</v>
      </c>
      <c r="BX32" s="174">
        <v>0</v>
      </c>
      <c r="BY32" s="166">
        <v>0</v>
      </c>
      <c r="BZ32" s="166">
        <v>0</v>
      </c>
      <c r="CA32" s="166">
        <v>41192.77708</v>
      </c>
      <c r="CB32" s="166">
        <v>41192.77708</v>
      </c>
      <c r="CC32" s="166">
        <v>0</v>
      </c>
      <c r="CD32" s="166">
        <v>0</v>
      </c>
      <c r="CE32" s="166">
        <v>0</v>
      </c>
      <c r="CF32" s="166">
        <v>0</v>
      </c>
      <c r="CG32" s="166">
        <v>0</v>
      </c>
      <c r="CH32" s="166">
        <v>0</v>
      </c>
      <c r="CI32" s="166">
        <v>0</v>
      </c>
      <c r="CJ32" s="166">
        <v>0</v>
      </c>
      <c r="CK32" s="167">
        <v>0</v>
      </c>
      <c r="CL32" s="167">
        <v>0</v>
      </c>
    </row>
    <row r="33" spans="1:90" s="189" customFormat="1" ht="20.100000000000001" customHeight="1" outlineLevel="2" x14ac:dyDescent="0.3">
      <c r="A33" s="176" t="s">
        <v>372</v>
      </c>
      <c r="B33" s="176"/>
      <c r="C33" s="176"/>
      <c r="D33" s="176"/>
      <c r="E33" s="176"/>
      <c r="F33" s="176"/>
      <c r="G33" s="176"/>
      <c r="H33" s="176"/>
      <c r="I33" s="177"/>
      <c r="J33" s="179"/>
      <c r="K33" s="179"/>
      <c r="L33" s="181"/>
      <c r="M33" s="181"/>
      <c r="N33" s="181"/>
      <c r="O33" s="180"/>
      <c r="P33" s="181"/>
      <c r="Q33" s="181"/>
      <c r="R33" s="183">
        <v>0</v>
      </c>
      <c r="S33" s="280">
        <v>0</v>
      </c>
      <c r="T33" s="183">
        <v>0</v>
      </c>
      <c r="U33" s="248">
        <v>2848429.66708</v>
      </c>
      <c r="V33" s="180"/>
      <c r="W33" s="180">
        <v>0</v>
      </c>
      <c r="X33" s="180">
        <v>0</v>
      </c>
      <c r="Y33" s="180">
        <v>0</v>
      </c>
      <c r="Z33" s="180">
        <v>0</v>
      </c>
      <c r="AA33" s="180">
        <v>0</v>
      </c>
      <c r="AB33" s="180">
        <v>0</v>
      </c>
      <c r="AC33" s="248">
        <v>2848429.66708</v>
      </c>
      <c r="AD33" s="180">
        <v>0</v>
      </c>
      <c r="AE33" s="180">
        <v>0</v>
      </c>
      <c r="AF33" s="180">
        <v>0</v>
      </c>
      <c r="AG33" s="180">
        <v>0</v>
      </c>
      <c r="AH33" s="249">
        <v>0</v>
      </c>
      <c r="AI33" s="180">
        <v>0</v>
      </c>
      <c r="AJ33" s="180">
        <v>0</v>
      </c>
      <c r="AK33" s="250">
        <v>0</v>
      </c>
      <c r="AL33" s="184"/>
      <c r="AM33" s="180">
        <v>2807236.89</v>
      </c>
      <c r="AN33" s="181"/>
      <c r="AO33" s="184"/>
      <c r="AP33" s="180">
        <v>2807236.89</v>
      </c>
      <c r="AQ33" s="185"/>
      <c r="AR33" s="180"/>
      <c r="AS33" s="180"/>
      <c r="AT33" s="180">
        <v>0</v>
      </c>
      <c r="AU33" s="180">
        <v>0</v>
      </c>
      <c r="AV33" s="180">
        <v>0</v>
      </c>
      <c r="AW33" s="180">
        <v>0</v>
      </c>
      <c r="AX33" s="180">
        <v>0</v>
      </c>
      <c r="AY33" s="180">
        <v>0</v>
      </c>
      <c r="AZ33" s="180">
        <v>0</v>
      </c>
      <c r="BA33" s="180">
        <v>0</v>
      </c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0"/>
      <c r="BN33" s="180"/>
      <c r="BO33" s="180"/>
      <c r="BP33" s="180"/>
      <c r="BQ33" s="182"/>
      <c r="BR33" s="181"/>
      <c r="BS33" s="187"/>
      <c r="BT33" s="181"/>
      <c r="BU33" s="224"/>
      <c r="BV33" s="181"/>
      <c r="BW33" s="188"/>
      <c r="BX33" s="188"/>
      <c r="BY33" s="180"/>
      <c r="BZ33" s="180"/>
      <c r="CA33" s="180">
        <v>41192.77708</v>
      </c>
      <c r="CB33" s="180"/>
      <c r="CC33" s="180"/>
      <c r="CD33" s="180"/>
      <c r="CE33" s="180"/>
      <c r="CF33" s="180"/>
      <c r="CG33" s="180"/>
      <c r="CH33" s="180"/>
      <c r="CI33" s="180"/>
      <c r="CJ33" s="180"/>
      <c r="CK33" s="181"/>
      <c r="CL33" s="181"/>
    </row>
    <row r="34" spans="1:90" outlineLevel="3" x14ac:dyDescent="0.3">
      <c r="A34" s="137" t="s">
        <v>373</v>
      </c>
      <c r="B34" s="137" t="s">
        <v>367</v>
      </c>
      <c r="C34" s="137" t="s">
        <v>374</v>
      </c>
      <c r="D34" s="137" t="s">
        <v>375</v>
      </c>
      <c r="E34" s="137" t="s">
        <v>490</v>
      </c>
      <c r="F34" s="137" t="s">
        <v>491</v>
      </c>
      <c r="G34" s="201" t="s">
        <v>348</v>
      </c>
      <c r="H34" s="201" t="s">
        <v>322</v>
      </c>
      <c r="I34" s="163" t="s">
        <v>317</v>
      </c>
      <c r="J34" s="165">
        <v>6101.0292000000045</v>
      </c>
      <c r="K34" s="165">
        <v>6101.0292000000045</v>
      </c>
      <c r="L34" s="167">
        <v>0</v>
      </c>
      <c r="M34" s="167">
        <v>0</v>
      </c>
      <c r="N34" s="167">
        <v>1</v>
      </c>
      <c r="O34" s="166">
        <v>8.375</v>
      </c>
      <c r="P34" s="168">
        <v>8.25</v>
      </c>
      <c r="Q34" s="168">
        <v>0.125</v>
      </c>
      <c r="R34" s="169">
        <v>0</v>
      </c>
      <c r="S34" s="279">
        <v>0</v>
      </c>
      <c r="T34" s="169">
        <v>0</v>
      </c>
      <c r="U34" s="245">
        <v>51096.119550000039</v>
      </c>
      <c r="V34" s="166" t="s">
        <v>319</v>
      </c>
      <c r="W34" s="166">
        <v>0</v>
      </c>
      <c r="X34" s="166">
        <v>0</v>
      </c>
      <c r="Y34" s="166">
        <v>0</v>
      </c>
      <c r="Z34" s="166">
        <v>0</v>
      </c>
      <c r="AA34" s="166">
        <v>0</v>
      </c>
      <c r="AB34" s="166">
        <v>0</v>
      </c>
      <c r="AC34" s="245">
        <v>50333.490900000033</v>
      </c>
      <c r="AD34" s="166">
        <v>762.62865000000602</v>
      </c>
      <c r="AE34" s="166">
        <v>0</v>
      </c>
      <c r="AF34" s="166">
        <v>-762.62865000000602</v>
      </c>
      <c r="AG34" s="166">
        <v>0</v>
      </c>
      <c r="AH34" s="246">
        <v>3050.5146000000022</v>
      </c>
      <c r="AI34" s="166">
        <v>0</v>
      </c>
      <c r="AJ34" s="166">
        <v>-3050.5146000000022</v>
      </c>
      <c r="AK34" s="247">
        <v>0</v>
      </c>
      <c r="AL34" s="170">
        <v>0</v>
      </c>
      <c r="AM34" s="166">
        <v>48045.604950000037</v>
      </c>
      <c r="AN34" s="170">
        <v>0</v>
      </c>
      <c r="AO34" s="170">
        <v>0</v>
      </c>
      <c r="AP34" s="166">
        <v>243059.55643199998</v>
      </c>
      <c r="AQ34" s="171">
        <v>1</v>
      </c>
      <c r="AR34" s="166">
        <v>51096.119550000039</v>
      </c>
      <c r="AS34" s="166">
        <v>8.375</v>
      </c>
      <c r="AT34" s="166">
        <v>3431.8289250000016</v>
      </c>
      <c r="AU34" s="166">
        <v>0</v>
      </c>
      <c r="AV34" s="166">
        <v>-3431.8289250000016</v>
      </c>
      <c r="AW34" s="166">
        <v>0</v>
      </c>
      <c r="AX34" s="166">
        <v>3050.5146000000022</v>
      </c>
      <c r="AY34" s="166">
        <v>0</v>
      </c>
      <c r="AZ34" s="166">
        <v>-3050.5146000000022</v>
      </c>
      <c r="BA34" s="166">
        <v>0</v>
      </c>
      <c r="BB34" s="166">
        <v>8.375</v>
      </c>
      <c r="BC34" s="166">
        <v>8.25</v>
      </c>
      <c r="BD34" s="166">
        <v>2669.2002749999956</v>
      </c>
      <c r="BE34" s="166">
        <v>0</v>
      </c>
      <c r="BF34" s="166">
        <v>-2669.2002749999956</v>
      </c>
      <c r="BG34" s="166">
        <v>0</v>
      </c>
      <c r="BH34" s="166">
        <v>2287.8859499999962</v>
      </c>
      <c r="BI34" s="166">
        <v>0</v>
      </c>
      <c r="BJ34" s="166">
        <v>-2287.8859499999962</v>
      </c>
      <c r="BK34" s="166">
        <v>0</v>
      </c>
      <c r="BL34" s="166">
        <v>243059.55643199998</v>
      </c>
      <c r="BM34" s="166" t="s">
        <v>323</v>
      </c>
      <c r="BN34" s="166">
        <v>0</v>
      </c>
      <c r="BO34" s="166" t="b">
        <v>0</v>
      </c>
      <c r="BP34" s="166">
        <v>-2287.8859499999962</v>
      </c>
      <c r="BQ34" s="167">
        <v>0</v>
      </c>
      <c r="BR34" s="167">
        <v>0</v>
      </c>
      <c r="BS34" s="173">
        <v>41</v>
      </c>
      <c r="BT34" s="167">
        <v>762.62865000000602</v>
      </c>
      <c r="BU34" s="231">
        <v>6101.0292000000045</v>
      </c>
      <c r="BV34" s="167">
        <v>190</v>
      </c>
      <c r="BW34" s="174">
        <v>8.375</v>
      </c>
      <c r="BX34" s="174">
        <v>0</v>
      </c>
      <c r="BY34" s="166">
        <v>0</v>
      </c>
      <c r="BZ34" s="166">
        <v>0</v>
      </c>
      <c r="CA34" s="166">
        <v>0</v>
      </c>
      <c r="CB34" s="166">
        <v>0</v>
      </c>
      <c r="CC34" s="166">
        <v>0</v>
      </c>
      <c r="CD34" s="166">
        <v>0</v>
      </c>
      <c r="CE34" s="166">
        <v>0</v>
      </c>
      <c r="CF34" s="166">
        <v>0</v>
      </c>
      <c r="CG34" s="166">
        <v>2287.8859499999962</v>
      </c>
      <c r="CH34" s="166">
        <v>0</v>
      </c>
      <c r="CI34" s="166">
        <v>-2287.8859499999962</v>
      </c>
      <c r="CJ34" s="166">
        <v>0</v>
      </c>
      <c r="CK34" s="167">
        <v>0</v>
      </c>
      <c r="CL34" s="167">
        <v>0</v>
      </c>
    </row>
    <row r="35" spans="1:90" s="189" customFormat="1" ht="20.100000000000001" customHeight="1" outlineLevel="2" x14ac:dyDescent="0.3">
      <c r="A35" s="176" t="s">
        <v>376</v>
      </c>
      <c r="B35" s="176"/>
      <c r="C35" s="176"/>
      <c r="D35" s="176"/>
      <c r="E35" s="176"/>
      <c r="F35" s="176"/>
      <c r="G35" s="202"/>
      <c r="H35" s="202"/>
      <c r="I35" s="177"/>
      <c r="J35" s="179"/>
      <c r="K35" s="179"/>
      <c r="L35" s="181"/>
      <c r="M35" s="181"/>
      <c r="N35" s="181"/>
      <c r="O35" s="180"/>
      <c r="P35" s="182"/>
      <c r="Q35" s="182"/>
      <c r="R35" s="183">
        <v>0</v>
      </c>
      <c r="S35" s="280">
        <v>0</v>
      </c>
      <c r="T35" s="183">
        <v>0</v>
      </c>
      <c r="U35" s="248">
        <v>51096.119550000039</v>
      </c>
      <c r="V35" s="180"/>
      <c r="W35" s="180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248">
        <v>50333.490900000033</v>
      </c>
      <c r="AD35" s="180">
        <v>762.62865000000602</v>
      </c>
      <c r="AE35" s="180">
        <v>0</v>
      </c>
      <c r="AF35" s="180">
        <v>-762.62865000000602</v>
      </c>
      <c r="AG35" s="180">
        <v>0</v>
      </c>
      <c r="AH35" s="249">
        <v>3050.5146000000022</v>
      </c>
      <c r="AI35" s="180">
        <v>0</v>
      </c>
      <c r="AJ35" s="180">
        <v>-3050.5146000000022</v>
      </c>
      <c r="AK35" s="250">
        <v>0</v>
      </c>
      <c r="AL35" s="184"/>
      <c r="AM35" s="180">
        <v>48045.604950000037</v>
      </c>
      <c r="AN35" s="184"/>
      <c r="AO35" s="184"/>
      <c r="AP35" s="180">
        <v>243059.55643199998</v>
      </c>
      <c r="AQ35" s="185"/>
      <c r="AR35" s="180"/>
      <c r="AS35" s="180"/>
      <c r="AT35" s="180">
        <v>3431.8289250000016</v>
      </c>
      <c r="AU35" s="180">
        <v>0</v>
      </c>
      <c r="AV35" s="180">
        <v>-3431.8289250000016</v>
      </c>
      <c r="AW35" s="180">
        <v>0</v>
      </c>
      <c r="AX35" s="180">
        <v>3050.5146000000022</v>
      </c>
      <c r="AY35" s="180">
        <v>0</v>
      </c>
      <c r="AZ35" s="180">
        <v>-3050.5146000000022</v>
      </c>
      <c r="BA35" s="180">
        <v>0</v>
      </c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1"/>
      <c r="BR35" s="181"/>
      <c r="BS35" s="187"/>
      <c r="BT35" s="181"/>
      <c r="BU35" s="224"/>
      <c r="BV35" s="181"/>
      <c r="BW35" s="188"/>
      <c r="BX35" s="188"/>
      <c r="BY35" s="180"/>
      <c r="BZ35" s="180"/>
      <c r="CA35" s="180">
        <v>0</v>
      </c>
      <c r="CB35" s="180"/>
      <c r="CC35" s="180"/>
      <c r="CD35" s="180"/>
      <c r="CE35" s="180"/>
      <c r="CF35" s="180"/>
      <c r="CG35" s="180"/>
      <c r="CH35" s="180"/>
      <c r="CI35" s="180"/>
      <c r="CJ35" s="180"/>
      <c r="CK35" s="181"/>
      <c r="CL35" s="181"/>
    </row>
    <row r="36" spans="1:90" outlineLevel="3" x14ac:dyDescent="0.3">
      <c r="A36" s="137" t="s">
        <v>377</v>
      </c>
      <c r="B36" s="137" t="s">
        <v>367</v>
      </c>
      <c r="C36" s="137" t="s">
        <v>378</v>
      </c>
      <c r="D36" s="137" t="s">
        <v>379</v>
      </c>
      <c r="E36" s="137" t="s">
        <v>380</v>
      </c>
      <c r="F36" s="137" t="s">
        <v>196</v>
      </c>
      <c r="G36" s="137" t="s">
        <v>348</v>
      </c>
      <c r="H36" s="137" t="s">
        <v>316</v>
      </c>
      <c r="I36" s="163" t="s">
        <v>357</v>
      </c>
      <c r="J36" s="165">
        <v>1</v>
      </c>
      <c r="K36" s="165">
        <v>1</v>
      </c>
      <c r="L36" s="167">
        <v>0</v>
      </c>
      <c r="M36" s="167">
        <v>0</v>
      </c>
      <c r="N36" s="167">
        <v>0</v>
      </c>
      <c r="O36" s="166">
        <v>0</v>
      </c>
      <c r="P36" s="167">
        <v>0</v>
      </c>
      <c r="Q36" s="167">
        <v>0</v>
      </c>
      <c r="R36" s="169">
        <v>0</v>
      </c>
      <c r="S36" s="279">
        <v>0</v>
      </c>
      <c r="T36" s="169">
        <v>0</v>
      </c>
      <c r="U36" s="245">
        <v>0</v>
      </c>
      <c r="V36" s="166" t="s">
        <v>319</v>
      </c>
      <c r="W36" s="166">
        <v>0</v>
      </c>
      <c r="X36" s="166">
        <v>0</v>
      </c>
      <c r="Y36" s="166">
        <v>0</v>
      </c>
      <c r="Z36" s="166">
        <v>0</v>
      </c>
      <c r="AA36" s="166">
        <v>0</v>
      </c>
      <c r="AB36" s="166">
        <v>0</v>
      </c>
      <c r="AC36" s="245">
        <v>0</v>
      </c>
      <c r="AD36" s="166">
        <v>0</v>
      </c>
      <c r="AE36" s="166">
        <v>0</v>
      </c>
      <c r="AF36" s="166">
        <v>0</v>
      </c>
      <c r="AG36" s="166">
        <v>0</v>
      </c>
      <c r="AH36" s="246">
        <v>-283416</v>
      </c>
      <c r="AI36" s="166">
        <v>0</v>
      </c>
      <c r="AJ36" s="166">
        <v>283416</v>
      </c>
      <c r="AK36" s="247">
        <v>0</v>
      </c>
      <c r="AL36" s="170">
        <v>0</v>
      </c>
      <c r="AM36" s="166">
        <v>283416</v>
      </c>
      <c r="AN36" s="167">
        <v>0</v>
      </c>
      <c r="AO36" s="170">
        <v>0</v>
      </c>
      <c r="AP36" s="166">
        <v>0</v>
      </c>
      <c r="AQ36" s="171">
        <v>1</v>
      </c>
      <c r="AR36" s="166">
        <v>0</v>
      </c>
      <c r="AS36" s="166">
        <v>0</v>
      </c>
      <c r="AT36" s="166">
        <v>0</v>
      </c>
      <c r="AU36" s="166">
        <v>0</v>
      </c>
      <c r="AV36" s="166">
        <v>0</v>
      </c>
      <c r="AW36" s="166">
        <v>0</v>
      </c>
      <c r="AX36" s="166">
        <v>-283416</v>
      </c>
      <c r="AY36" s="166">
        <v>0</v>
      </c>
      <c r="AZ36" s="166">
        <v>283416</v>
      </c>
      <c r="BA36" s="166">
        <v>0</v>
      </c>
      <c r="BB36" s="166" t="s">
        <v>196</v>
      </c>
      <c r="BC36" s="166" t="s">
        <v>196</v>
      </c>
      <c r="BD36" s="166">
        <v>0</v>
      </c>
      <c r="BE36" s="166">
        <v>0</v>
      </c>
      <c r="BF36" s="166">
        <v>0</v>
      </c>
      <c r="BG36" s="166">
        <v>0</v>
      </c>
      <c r="BH36" s="166">
        <v>-283416</v>
      </c>
      <c r="BI36" s="166">
        <v>0</v>
      </c>
      <c r="BJ36" s="166">
        <v>283416</v>
      </c>
      <c r="BK36" s="166">
        <v>0</v>
      </c>
      <c r="BL36" s="166">
        <v>0</v>
      </c>
      <c r="BM36" s="166" t="s">
        <v>320</v>
      </c>
      <c r="BN36" s="166">
        <v>0</v>
      </c>
      <c r="BO36" s="166" t="b">
        <v>0</v>
      </c>
      <c r="BP36" s="166">
        <v>283416</v>
      </c>
      <c r="BQ36" s="168">
        <v>0</v>
      </c>
      <c r="BR36" s="167">
        <v>0</v>
      </c>
      <c r="BS36" s="173">
        <v>38</v>
      </c>
      <c r="BT36" s="167">
        <v>0</v>
      </c>
      <c r="BU36" s="231">
        <v>0</v>
      </c>
      <c r="BV36" s="167">
        <v>181</v>
      </c>
      <c r="BW36" s="174">
        <v>0</v>
      </c>
      <c r="BX36" s="174">
        <v>0</v>
      </c>
      <c r="BY36" s="166">
        <v>0</v>
      </c>
      <c r="BZ36" s="166">
        <v>0</v>
      </c>
      <c r="CA36" s="166">
        <v>0</v>
      </c>
      <c r="CB36" s="166">
        <v>0</v>
      </c>
      <c r="CC36" s="166">
        <v>0</v>
      </c>
      <c r="CD36" s="166">
        <v>0</v>
      </c>
      <c r="CE36" s="166">
        <v>0</v>
      </c>
      <c r="CF36" s="166">
        <v>0</v>
      </c>
      <c r="CG36" s="166">
        <v>-283416</v>
      </c>
      <c r="CH36" s="166">
        <v>0</v>
      </c>
      <c r="CI36" s="166">
        <v>283416</v>
      </c>
      <c r="CJ36" s="166">
        <v>0</v>
      </c>
      <c r="CK36" s="167">
        <v>0</v>
      </c>
      <c r="CL36" s="167">
        <v>0</v>
      </c>
    </row>
    <row r="37" spans="1:90" s="189" customFormat="1" ht="20.100000000000001" customHeight="1" outlineLevel="2" x14ac:dyDescent="0.3">
      <c r="A37" s="176" t="s">
        <v>381</v>
      </c>
      <c r="B37" s="176"/>
      <c r="C37" s="176"/>
      <c r="D37" s="176"/>
      <c r="E37" s="176"/>
      <c r="F37" s="176"/>
      <c r="G37" s="176"/>
      <c r="H37" s="176"/>
      <c r="I37" s="177"/>
      <c r="J37" s="179"/>
      <c r="K37" s="179"/>
      <c r="L37" s="181"/>
      <c r="M37" s="181"/>
      <c r="N37" s="181"/>
      <c r="O37" s="180"/>
      <c r="P37" s="181"/>
      <c r="Q37" s="181"/>
      <c r="R37" s="183">
        <v>0</v>
      </c>
      <c r="S37" s="280">
        <v>0</v>
      </c>
      <c r="T37" s="183">
        <v>0</v>
      </c>
      <c r="U37" s="248">
        <v>0</v>
      </c>
      <c r="V37" s="180"/>
      <c r="W37" s="180">
        <v>0</v>
      </c>
      <c r="X37" s="180">
        <v>0</v>
      </c>
      <c r="Y37" s="180">
        <v>0</v>
      </c>
      <c r="Z37" s="180">
        <v>0</v>
      </c>
      <c r="AA37" s="180">
        <v>0</v>
      </c>
      <c r="AB37" s="180">
        <v>0</v>
      </c>
      <c r="AC37" s="248">
        <v>0</v>
      </c>
      <c r="AD37" s="180">
        <v>0</v>
      </c>
      <c r="AE37" s="180">
        <v>0</v>
      </c>
      <c r="AF37" s="180">
        <v>0</v>
      </c>
      <c r="AG37" s="180">
        <v>0</v>
      </c>
      <c r="AH37" s="249">
        <v>-283416</v>
      </c>
      <c r="AI37" s="180">
        <v>0</v>
      </c>
      <c r="AJ37" s="180">
        <v>283416</v>
      </c>
      <c r="AK37" s="250">
        <v>0</v>
      </c>
      <c r="AL37" s="184"/>
      <c r="AM37" s="180">
        <v>283416</v>
      </c>
      <c r="AN37" s="181"/>
      <c r="AO37" s="184"/>
      <c r="AP37" s="180">
        <v>0</v>
      </c>
      <c r="AQ37" s="185"/>
      <c r="AR37" s="180"/>
      <c r="AS37" s="180"/>
      <c r="AT37" s="180">
        <v>0</v>
      </c>
      <c r="AU37" s="180">
        <v>0</v>
      </c>
      <c r="AV37" s="180">
        <v>0</v>
      </c>
      <c r="AW37" s="180">
        <v>0</v>
      </c>
      <c r="AX37" s="180">
        <v>-283416</v>
      </c>
      <c r="AY37" s="180">
        <v>0</v>
      </c>
      <c r="AZ37" s="180">
        <v>283416</v>
      </c>
      <c r="BA37" s="180">
        <v>0</v>
      </c>
      <c r="BB37" s="180"/>
      <c r="BC37" s="180"/>
      <c r="BD37" s="180"/>
      <c r="BE37" s="180"/>
      <c r="BF37" s="180"/>
      <c r="BG37" s="180"/>
      <c r="BH37" s="180"/>
      <c r="BI37" s="180"/>
      <c r="BJ37" s="180"/>
      <c r="BK37" s="180"/>
      <c r="BL37" s="180"/>
      <c r="BM37" s="180"/>
      <c r="BN37" s="180"/>
      <c r="BO37" s="180"/>
      <c r="BP37" s="180"/>
      <c r="BQ37" s="182"/>
      <c r="BR37" s="181"/>
      <c r="BS37" s="187"/>
      <c r="BT37" s="181"/>
      <c r="BU37" s="224"/>
      <c r="BV37" s="181"/>
      <c r="BW37" s="188"/>
      <c r="BX37" s="188"/>
      <c r="BY37" s="180"/>
      <c r="BZ37" s="180"/>
      <c r="CA37" s="180">
        <v>0</v>
      </c>
      <c r="CB37" s="180"/>
      <c r="CC37" s="180"/>
      <c r="CD37" s="180"/>
      <c r="CE37" s="180"/>
      <c r="CF37" s="180"/>
      <c r="CG37" s="180"/>
      <c r="CH37" s="180"/>
      <c r="CI37" s="180"/>
      <c r="CJ37" s="180"/>
      <c r="CK37" s="181"/>
      <c r="CL37" s="181"/>
    </row>
    <row r="38" spans="1:90" outlineLevel="3" x14ac:dyDescent="0.3">
      <c r="A38" s="137" t="s">
        <v>540</v>
      </c>
      <c r="B38" s="137" t="s">
        <v>367</v>
      </c>
      <c r="C38" s="137" t="s">
        <v>517</v>
      </c>
      <c r="D38" s="137" t="s">
        <v>518</v>
      </c>
      <c r="E38" s="137" t="s">
        <v>541</v>
      </c>
      <c r="F38" s="137" t="s">
        <v>519</v>
      </c>
      <c r="G38" s="201" t="s">
        <v>348</v>
      </c>
      <c r="H38" s="201" t="s">
        <v>322</v>
      </c>
      <c r="I38" s="163" t="s">
        <v>317</v>
      </c>
      <c r="J38" s="165">
        <v>1995232</v>
      </c>
      <c r="K38" s="165">
        <v>1995232</v>
      </c>
      <c r="L38" s="167">
        <v>0</v>
      </c>
      <c r="M38" s="167">
        <v>0</v>
      </c>
      <c r="N38" s="167">
        <v>1</v>
      </c>
      <c r="O38" s="166">
        <v>38.46</v>
      </c>
      <c r="P38" s="168">
        <v>38.450000000000003</v>
      </c>
      <c r="Q38" s="168">
        <v>9.9999999999980105E-3</v>
      </c>
      <c r="R38" s="169">
        <v>0</v>
      </c>
      <c r="S38" s="279">
        <v>1</v>
      </c>
      <c r="T38" s="169">
        <v>0</v>
      </c>
      <c r="U38" s="245">
        <v>76736622.720000014</v>
      </c>
      <c r="V38" s="166" t="s">
        <v>542</v>
      </c>
      <c r="W38" s="166">
        <v>0</v>
      </c>
      <c r="X38" s="166">
        <v>0</v>
      </c>
      <c r="Y38" s="166">
        <v>0</v>
      </c>
      <c r="Z38" s="166">
        <v>0</v>
      </c>
      <c r="AA38" s="166">
        <v>0</v>
      </c>
      <c r="AB38" s="166">
        <v>0</v>
      </c>
      <c r="AC38" s="245">
        <v>76716670.400000021</v>
      </c>
      <c r="AD38" s="166">
        <v>19952.319999992847</v>
      </c>
      <c r="AE38" s="166">
        <v>0</v>
      </c>
      <c r="AF38" s="166">
        <v>-19952.319999992847</v>
      </c>
      <c r="AG38" s="166">
        <v>0</v>
      </c>
      <c r="AH38" s="246">
        <v>-12799413.280000001</v>
      </c>
      <c r="AI38" s="166">
        <v>0</v>
      </c>
      <c r="AJ38" s="166">
        <v>12799413.280000001</v>
      </c>
      <c r="AK38" s="247">
        <v>0</v>
      </c>
      <c r="AL38" s="170">
        <v>0</v>
      </c>
      <c r="AM38" s="166">
        <v>0</v>
      </c>
      <c r="AN38" s="170">
        <v>0</v>
      </c>
      <c r="AO38" s="170">
        <v>0</v>
      </c>
      <c r="AP38" s="166">
        <v>0</v>
      </c>
      <c r="AQ38" s="171">
        <v>1</v>
      </c>
      <c r="AR38" s="166">
        <v>76736622.720000014</v>
      </c>
      <c r="AS38" s="166">
        <v>38.46</v>
      </c>
      <c r="AT38" s="166">
        <v>179570.88000000664</v>
      </c>
      <c r="AU38" s="166">
        <v>0</v>
      </c>
      <c r="AV38" s="166">
        <v>-179570.88000000664</v>
      </c>
      <c r="AW38" s="166">
        <v>0</v>
      </c>
      <c r="AX38" s="166">
        <v>-12799413.280000001</v>
      </c>
      <c r="AY38" s="166">
        <v>0</v>
      </c>
      <c r="AZ38" s="166">
        <v>12799413.280000001</v>
      </c>
      <c r="BA38" s="166">
        <v>0</v>
      </c>
      <c r="BB38" s="166">
        <v>38.46</v>
      </c>
      <c r="BC38" s="166">
        <v>38.450000000000003</v>
      </c>
      <c r="BD38" s="166">
        <v>159618.56000001379</v>
      </c>
      <c r="BE38" s="166">
        <v>0</v>
      </c>
      <c r="BF38" s="166">
        <v>-159618.56000001379</v>
      </c>
      <c r="BG38" s="166">
        <v>0</v>
      </c>
      <c r="BH38" s="166">
        <v>-12819365.599999994</v>
      </c>
      <c r="BI38" s="166">
        <v>0</v>
      </c>
      <c r="BJ38" s="166">
        <v>12819365.599999994</v>
      </c>
      <c r="BK38" s="166">
        <v>0</v>
      </c>
      <c r="BL38" s="166">
        <v>0</v>
      </c>
      <c r="BM38" s="166" t="s">
        <v>323</v>
      </c>
      <c r="BN38" s="166">
        <v>0</v>
      </c>
      <c r="BO38" s="166" t="b">
        <v>0</v>
      </c>
      <c r="BP38" s="166">
        <v>12819365.599999994</v>
      </c>
      <c r="BQ38" s="167">
        <v>0</v>
      </c>
      <c r="BR38" s="167">
        <v>0</v>
      </c>
      <c r="BS38" s="173">
        <v>83</v>
      </c>
      <c r="BT38" s="167">
        <v>19952.319999992847</v>
      </c>
      <c r="BU38" s="231">
        <v>1995232</v>
      </c>
      <c r="BV38" s="167">
        <v>188</v>
      </c>
      <c r="BW38" s="174">
        <v>38.46</v>
      </c>
      <c r="BX38" s="174">
        <v>0</v>
      </c>
      <c r="BY38" s="166">
        <v>0</v>
      </c>
      <c r="BZ38" s="166">
        <v>0</v>
      </c>
      <c r="CA38" s="166">
        <v>89536036.000000015</v>
      </c>
      <c r="CB38" s="166">
        <v>89536036.000000015</v>
      </c>
      <c r="CC38" s="166">
        <v>0</v>
      </c>
      <c r="CD38" s="166">
        <v>0</v>
      </c>
      <c r="CE38" s="166">
        <v>0</v>
      </c>
      <c r="CF38" s="166">
        <v>0</v>
      </c>
      <c r="CG38" s="166">
        <v>-12819365.599999994</v>
      </c>
      <c r="CH38" s="166">
        <v>0</v>
      </c>
      <c r="CI38" s="166">
        <v>12819365.599999994</v>
      </c>
      <c r="CJ38" s="166">
        <v>0</v>
      </c>
      <c r="CK38" s="167">
        <v>0</v>
      </c>
      <c r="CL38" s="167">
        <v>0</v>
      </c>
    </row>
    <row r="39" spans="1:90" s="189" customFormat="1" ht="20.100000000000001" customHeight="1" outlineLevel="2" x14ac:dyDescent="0.3">
      <c r="A39" s="176" t="s">
        <v>543</v>
      </c>
      <c r="B39" s="176"/>
      <c r="C39" s="176"/>
      <c r="D39" s="176"/>
      <c r="E39" s="176"/>
      <c r="F39" s="176"/>
      <c r="G39" s="202"/>
      <c r="H39" s="202"/>
      <c r="I39" s="177"/>
      <c r="J39" s="179"/>
      <c r="K39" s="179"/>
      <c r="L39" s="181"/>
      <c r="M39" s="181"/>
      <c r="N39" s="181"/>
      <c r="O39" s="180"/>
      <c r="P39" s="182"/>
      <c r="Q39" s="182"/>
      <c r="R39" s="183">
        <v>0</v>
      </c>
      <c r="S39" s="280">
        <v>1</v>
      </c>
      <c r="T39" s="183">
        <v>0</v>
      </c>
      <c r="U39" s="248">
        <v>76736622.720000014</v>
      </c>
      <c r="V39" s="180"/>
      <c r="W39" s="180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248">
        <v>76716670.400000021</v>
      </c>
      <c r="AD39" s="180">
        <v>19952.319999992847</v>
      </c>
      <c r="AE39" s="180">
        <v>0</v>
      </c>
      <c r="AF39" s="180">
        <v>-19952.319999992847</v>
      </c>
      <c r="AG39" s="180">
        <v>0</v>
      </c>
      <c r="AH39" s="249">
        <v>-12799413.280000001</v>
      </c>
      <c r="AI39" s="180">
        <v>0</v>
      </c>
      <c r="AJ39" s="180">
        <v>12799413.280000001</v>
      </c>
      <c r="AK39" s="250">
        <v>0</v>
      </c>
      <c r="AL39" s="184"/>
      <c r="AM39" s="180">
        <v>0</v>
      </c>
      <c r="AN39" s="184"/>
      <c r="AO39" s="184"/>
      <c r="AP39" s="180">
        <v>0</v>
      </c>
      <c r="AQ39" s="185"/>
      <c r="AR39" s="180"/>
      <c r="AS39" s="180"/>
      <c r="AT39" s="180">
        <v>179570.88000000664</v>
      </c>
      <c r="AU39" s="180">
        <v>0</v>
      </c>
      <c r="AV39" s="180">
        <v>-179570.88000000664</v>
      </c>
      <c r="AW39" s="180">
        <v>0</v>
      </c>
      <c r="AX39" s="180">
        <v>-12799413.280000001</v>
      </c>
      <c r="AY39" s="180">
        <v>0</v>
      </c>
      <c r="AZ39" s="180">
        <v>12799413.280000001</v>
      </c>
      <c r="BA39" s="180">
        <v>0</v>
      </c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0"/>
      <c r="BN39" s="180"/>
      <c r="BO39" s="180"/>
      <c r="BP39" s="180"/>
      <c r="BQ39" s="181"/>
      <c r="BR39" s="181"/>
      <c r="BS39" s="187"/>
      <c r="BT39" s="181"/>
      <c r="BU39" s="224"/>
      <c r="BV39" s="181"/>
      <c r="BW39" s="188"/>
      <c r="BX39" s="188"/>
      <c r="BY39" s="180"/>
      <c r="BZ39" s="180"/>
      <c r="CA39" s="180">
        <v>89536036.000000015</v>
      </c>
      <c r="CB39" s="180"/>
      <c r="CC39" s="180"/>
      <c r="CD39" s="180"/>
      <c r="CE39" s="180"/>
      <c r="CF39" s="180"/>
      <c r="CG39" s="180"/>
      <c r="CH39" s="180"/>
      <c r="CI39" s="180"/>
      <c r="CJ39" s="180"/>
      <c r="CK39" s="181"/>
      <c r="CL39" s="181"/>
    </row>
    <row r="40" spans="1:90" s="200" customFormat="1" ht="30" customHeight="1" outlineLevel="1" x14ac:dyDescent="0.3">
      <c r="A40" s="176"/>
      <c r="B40" s="176" t="s">
        <v>382</v>
      </c>
      <c r="C40" s="176"/>
      <c r="D40" s="176"/>
      <c r="E40" s="176"/>
      <c r="F40" s="176"/>
      <c r="G40" s="202"/>
      <c r="H40" s="202"/>
      <c r="I40" s="177"/>
      <c r="J40" s="190"/>
      <c r="K40" s="190"/>
      <c r="L40" s="192"/>
      <c r="M40" s="192"/>
      <c r="N40" s="192"/>
      <c r="O40" s="191"/>
      <c r="P40" s="193"/>
      <c r="Q40" s="193"/>
      <c r="R40" s="194">
        <v>0</v>
      </c>
      <c r="S40" s="281">
        <v>1</v>
      </c>
      <c r="T40" s="194">
        <v>0</v>
      </c>
      <c r="U40" s="251">
        <v>79636148.506630018</v>
      </c>
      <c r="V40" s="191"/>
      <c r="W40" s="191">
        <v>0</v>
      </c>
      <c r="X40" s="191">
        <v>0</v>
      </c>
      <c r="Y40" s="191">
        <v>0</v>
      </c>
      <c r="Z40" s="191">
        <v>0</v>
      </c>
      <c r="AA40" s="191">
        <v>0</v>
      </c>
      <c r="AB40" s="191">
        <v>0</v>
      </c>
      <c r="AC40" s="251">
        <v>79615433.557980016</v>
      </c>
      <c r="AD40" s="191">
        <v>20714.948649992853</v>
      </c>
      <c r="AE40" s="191">
        <v>0</v>
      </c>
      <c r="AF40" s="191">
        <v>-20714.948649992853</v>
      </c>
      <c r="AG40" s="191">
        <v>0</v>
      </c>
      <c r="AH40" s="252">
        <v>-13079778.765400002</v>
      </c>
      <c r="AI40" s="191">
        <v>0</v>
      </c>
      <c r="AJ40" s="191">
        <v>13079778.765400002</v>
      </c>
      <c r="AK40" s="253">
        <v>0</v>
      </c>
      <c r="AL40" s="195"/>
      <c r="AM40" s="191">
        <v>3138698.4949500002</v>
      </c>
      <c r="AN40" s="195"/>
      <c r="AO40" s="195"/>
      <c r="AP40" s="191">
        <v>3050296.446432</v>
      </c>
      <c r="AQ40" s="196"/>
      <c r="AR40" s="191"/>
      <c r="AS40" s="191"/>
      <c r="AT40" s="191">
        <v>183002.70892500665</v>
      </c>
      <c r="AU40" s="191">
        <v>0</v>
      </c>
      <c r="AV40" s="191">
        <v>-183002.70892500665</v>
      </c>
      <c r="AW40" s="191">
        <v>0</v>
      </c>
      <c r="AX40" s="191">
        <v>-13079778.765400002</v>
      </c>
      <c r="AY40" s="191">
        <v>0</v>
      </c>
      <c r="AZ40" s="191">
        <v>13079778.765400002</v>
      </c>
      <c r="BA40" s="191">
        <v>0</v>
      </c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  <c r="BL40" s="191"/>
      <c r="BM40" s="191"/>
      <c r="BN40" s="191"/>
      <c r="BO40" s="191"/>
      <c r="BP40" s="191"/>
      <c r="BQ40" s="192"/>
      <c r="BR40" s="192"/>
      <c r="BS40" s="198"/>
      <c r="BT40" s="192"/>
      <c r="BU40" s="225"/>
      <c r="BV40" s="192"/>
      <c r="BW40" s="199"/>
      <c r="BX40" s="199"/>
      <c r="BY40" s="191"/>
      <c r="BZ40" s="191"/>
      <c r="CA40" s="191">
        <v>89577228.777080014</v>
      </c>
      <c r="CB40" s="191"/>
      <c r="CC40" s="191"/>
      <c r="CD40" s="191"/>
      <c r="CE40" s="191"/>
      <c r="CF40" s="191"/>
      <c r="CG40" s="191"/>
      <c r="CH40" s="191"/>
      <c r="CI40" s="191"/>
      <c r="CJ40" s="191"/>
      <c r="CK40" s="192"/>
      <c r="CL40" s="192"/>
    </row>
    <row r="41" spans="1:90" outlineLevel="3" x14ac:dyDescent="0.3">
      <c r="A41" s="137" t="s">
        <v>362</v>
      </c>
      <c r="B41" s="137" t="s">
        <v>384</v>
      </c>
      <c r="C41" s="137" t="s">
        <v>378</v>
      </c>
      <c r="D41" s="137" t="s">
        <v>379</v>
      </c>
      <c r="E41" s="137" t="s">
        <v>544</v>
      </c>
      <c r="F41" s="137" t="s">
        <v>196</v>
      </c>
      <c r="G41" s="137" t="s">
        <v>385</v>
      </c>
      <c r="H41" s="201" t="s">
        <v>330</v>
      </c>
      <c r="I41" s="163" t="s">
        <v>317</v>
      </c>
      <c r="J41" s="164">
        <v>1000</v>
      </c>
      <c r="K41" s="165">
        <v>1000</v>
      </c>
      <c r="L41" s="167">
        <v>0</v>
      </c>
      <c r="M41" s="167">
        <v>0</v>
      </c>
      <c r="N41" s="167">
        <v>1</v>
      </c>
      <c r="O41" s="166">
        <v>1247.9435000000001</v>
      </c>
      <c r="P41" s="168">
        <v>1247.9435000000001</v>
      </c>
      <c r="Q41" s="168">
        <v>0</v>
      </c>
      <c r="R41" s="169">
        <v>0</v>
      </c>
      <c r="S41" s="279">
        <v>0.5</v>
      </c>
      <c r="T41" s="169">
        <v>0</v>
      </c>
      <c r="U41" s="245">
        <v>1247943.5</v>
      </c>
      <c r="V41" s="166" t="s">
        <v>319</v>
      </c>
      <c r="W41" s="166">
        <v>0</v>
      </c>
      <c r="X41" s="166">
        <v>0</v>
      </c>
      <c r="Y41" s="166">
        <v>0</v>
      </c>
      <c r="Z41" s="166">
        <v>0</v>
      </c>
      <c r="AA41" s="166">
        <v>0</v>
      </c>
      <c r="AB41" s="166">
        <v>0</v>
      </c>
      <c r="AC41" s="245">
        <v>1247943.5</v>
      </c>
      <c r="AD41" s="166">
        <v>0</v>
      </c>
      <c r="AE41" s="166">
        <v>0</v>
      </c>
      <c r="AF41" s="166">
        <v>0</v>
      </c>
      <c r="AG41" s="166">
        <v>0</v>
      </c>
      <c r="AH41" s="246">
        <v>0</v>
      </c>
      <c r="AI41" s="166">
        <v>0</v>
      </c>
      <c r="AJ41" s="166">
        <v>0</v>
      </c>
      <c r="AK41" s="247">
        <v>0</v>
      </c>
      <c r="AL41" s="170">
        <v>0</v>
      </c>
      <c r="AM41" s="166">
        <v>1247943.5</v>
      </c>
      <c r="AN41" s="170">
        <v>0</v>
      </c>
      <c r="AO41" s="167">
        <v>0</v>
      </c>
      <c r="AP41" s="166">
        <v>1247943.5</v>
      </c>
      <c r="AQ41" s="171">
        <v>1</v>
      </c>
      <c r="AR41" s="166">
        <v>1247943.5</v>
      </c>
      <c r="AS41" s="166">
        <v>1247.9435000000001</v>
      </c>
      <c r="AT41" s="166">
        <v>0</v>
      </c>
      <c r="AU41" s="166">
        <v>0</v>
      </c>
      <c r="AV41" s="166">
        <v>0</v>
      </c>
      <c r="AW41" s="166">
        <v>0</v>
      </c>
      <c r="AX41" s="166">
        <v>0</v>
      </c>
      <c r="AY41" s="166">
        <v>0</v>
      </c>
      <c r="AZ41" s="166">
        <v>0</v>
      </c>
      <c r="BA41" s="166">
        <v>0</v>
      </c>
      <c r="BB41" s="166" t="s">
        <v>196</v>
      </c>
      <c r="BC41" s="166" t="s">
        <v>196</v>
      </c>
      <c r="BD41" s="166">
        <v>0</v>
      </c>
      <c r="BE41" s="166">
        <v>0</v>
      </c>
      <c r="BF41" s="166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74">
        <v>1247943.5</v>
      </c>
      <c r="BM41" s="166" t="s">
        <v>320</v>
      </c>
      <c r="BN41" s="166">
        <v>0</v>
      </c>
      <c r="BO41" s="166" t="b">
        <v>0</v>
      </c>
      <c r="BP41" s="166">
        <v>0</v>
      </c>
      <c r="BQ41" s="167">
        <v>0</v>
      </c>
      <c r="BR41" s="167">
        <v>0</v>
      </c>
      <c r="BS41" s="173">
        <v>72</v>
      </c>
      <c r="BT41" s="167">
        <v>0</v>
      </c>
      <c r="BU41" s="231">
        <v>0</v>
      </c>
      <c r="BV41" s="167">
        <v>33</v>
      </c>
      <c r="BW41" s="174">
        <v>0</v>
      </c>
      <c r="BX41" s="174">
        <v>0</v>
      </c>
      <c r="BY41" s="166">
        <v>0</v>
      </c>
      <c r="BZ41" s="166">
        <v>0</v>
      </c>
      <c r="CA41" s="166">
        <v>0</v>
      </c>
      <c r="CB41" s="166">
        <v>0</v>
      </c>
      <c r="CC41" s="166">
        <v>0</v>
      </c>
      <c r="CD41" s="166">
        <v>0</v>
      </c>
      <c r="CE41" s="166">
        <v>0</v>
      </c>
      <c r="CF41" s="166">
        <v>0</v>
      </c>
      <c r="CG41" s="166">
        <v>0</v>
      </c>
      <c r="CH41" s="166">
        <v>0</v>
      </c>
      <c r="CI41" s="166">
        <v>0</v>
      </c>
      <c r="CJ41" s="166">
        <v>0</v>
      </c>
      <c r="CK41" s="167">
        <v>0</v>
      </c>
      <c r="CL41" s="167">
        <v>0</v>
      </c>
    </row>
    <row r="42" spans="1:90" outlineLevel="3" x14ac:dyDescent="0.3">
      <c r="A42" s="137" t="s">
        <v>362</v>
      </c>
      <c r="B42" s="137" t="s">
        <v>384</v>
      </c>
      <c r="C42" s="137" t="s">
        <v>378</v>
      </c>
      <c r="D42" s="137" t="s">
        <v>379</v>
      </c>
      <c r="E42" s="137" t="s">
        <v>550</v>
      </c>
      <c r="F42" s="137" t="s">
        <v>196</v>
      </c>
      <c r="G42" s="137" t="s">
        <v>385</v>
      </c>
      <c r="H42" s="201" t="s">
        <v>330</v>
      </c>
      <c r="I42" s="163" t="s">
        <v>317</v>
      </c>
      <c r="J42" s="164">
        <v>1000</v>
      </c>
      <c r="K42" s="165">
        <v>1000</v>
      </c>
      <c r="L42" s="167">
        <v>0</v>
      </c>
      <c r="M42" s="167">
        <v>0</v>
      </c>
      <c r="N42" s="167">
        <v>1</v>
      </c>
      <c r="O42" s="166">
        <v>0</v>
      </c>
      <c r="P42" s="168">
        <v>0</v>
      </c>
      <c r="Q42" s="168">
        <v>0</v>
      </c>
      <c r="R42" s="169">
        <v>0</v>
      </c>
      <c r="S42" s="279">
        <v>0.5</v>
      </c>
      <c r="T42" s="169">
        <v>0</v>
      </c>
      <c r="U42" s="245">
        <v>0</v>
      </c>
      <c r="V42" s="166" t="s">
        <v>319</v>
      </c>
      <c r="W42" s="166">
        <v>0</v>
      </c>
      <c r="X42" s="166">
        <v>0</v>
      </c>
      <c r="Y42" s="166">
        <v>0</v>
      </c>
      <c r="Z42" s="166">
        <v>0</v>
      </c>
      <c r="AA42" s="166">
        <v>0</v>
      </c>
      <c r="AB42" s="166">
        <v>0</v>
      </c>
      <c r="AC42" s="245">
        <v>0</v>
      </c>
      <c r="AD42" s="166">
        <v>0</v>
      </c>
      <c r="AE42" s="166">
        <v>0</v>
      </c>
      <c r="AF42" s="166">
        <v>0</v>
      </c>
      <c r="AG42" s="166">
        <v>0</v>
      </c>
      <c r="AH42" s="246">
        <v>-175230.57</v>
      </c>
      <c r="AI42" s="166">
        <v>0</v>
      </c>
      <c r="AJ42" s="166">
        <v>175230.57</v>
      </c>
      <c r="AK42" s="247">
        <v>0</v>
      </c>
      <c r="AL42" s="170">
        <v>0</v>
      </c>
      <c r="AM42" s="166">
        <v>0</v>
      </c>
      <c r="AN42" s="170">
        <v>0</v>
      </c>
      <c r="AO42" s="167">
        <v>0</v>
      </c>
      <c r="AP42" s="166">
        <v>0</v>
      </c>
      <c r="AQ42" s="171">
        <v>1</v>
      </c>
      <c r="AR42" s="166">
        <v>0</v>
      </c>
      <c r="AS42" s="166">
        <v>0</v>
      </c>
      <c r="AT42" s="166">
        <v>0</v>
      </c>
      <c r="AU42" s="166">
        <v>0</v>
      </c>
      <c r="AV42" s="166">
        <v>0</v>
      </c>
      <c r="AW42" s="166">
        <v>0</v>
      </c>
      <c r="AX42" s="166">
        <v>-175230.57</v>
      </c>
      <c r="AY42" s="166">
        <v>0</v>
      </c>
      <c r="AZ42" s="166">
        <v>175230.57</v>
      </c>
      <c r="BA42" s="166">
        <v>0</v>
      </c>
      <c r="BB42" s="166" t="s">
        <v>196</v>
      </c>
      <c r="BC42" s="166" t="s">
        <v>196</v>
      </c>
      <c r="BD42" s="166">
        <v>0</v>
      </c>
      <c r="BE42" s="166">
        <v>0</v>
      </c>
      <c r="BF42" s="166">
        <v>0</v>
      </c>
      <c r="BG42" s="166">
        <v>0</v>
      </c>
      <c r="BH42" s="166">
        <v>-175230.57</v>
      </c>
      <c r="BI42" s="166">
        <v>0</v>
      </c>
      <c r="BJ42" s="166">
        <v>175230.57</v>
      </c>
      <c r="BK42" s="166">
        <v>0</v>
      </c>
      <c r="BL42" s="174">
        <v>0</v>
      </c>
      <c r="BM42" s="166" t="s">
        <v>320</v>
      </c>
      <c r="BN42" s="166">
        <v>0</v>
      </c>
      <c r="BO42" s="166" t="b">
        <v>0</v>
      </c>
      <c r="BP42" s="166">
        <v>175230.57</v>
      </c>
      <c r="BQ42" s="167">
        <v>0</v>
      </c>
      <c r="BR42" s="167">
        <v>0</v>
      </c>
      <c r="BS42" s="173">
        <v>72</v>
      </c>
      <c r="BT42" s="167">
        <v>0</v>
      </c>
      <c r="BU42" s="231">
        <v>0</v>
      </c>
      <c r="BV42" s="167">
        <v>34</v>
      </c>
      <c r="BW42" s="174">
        <v>0</v>
      </c>
      <c r="BX42" s="174">
        <v>0</v>
      </c>
      <c r="BY42" s="166">
        <v>0</v>
      </c>
      <c r="BZ42" s="166">
        <v>0</v>
      </c>
      <c r="CA42" s="166">
        <v>175230.57</v>
      </c>
      <c r="CB42" s="166">
        <v>175230.57</v>
      </c>
      <c r="CC42" s="166">
        <v>0</v>
      </c>
      <c r="CD42" s="166">
        <v>0</v>
      </c>
      <c r="CE42" s="166">
        <v>0</v>
      </c>
      <c r="CF42" s="166">
        <v>0</v>
      </c>
      <c r="CG42" s="166">
        <v>-175230.57</v>
      </c>
      <c r="CH42" s="166">
        <v>0</v>
      </c>
      <c r="CI42" s="166">
        <v>175230.57</v>
      </c>
      <c r="CJ42" s="166">
        <v>0</v>
      </c>
      <c r="CK42" s="167">
        <v>0</v>
      </c>
      <c r="CL42" s="167">
        <v>0</v>
      </c>
    </row>
    <row r="43" spans="1:90" outlineLevel="3" x14ac:dyDescent="0.3">
      <c r="A43" s="137" t="s">
        <v>362</v>
      </c>
      <c r="B43" s="137" t="s">
        <v>384</v>
      </c>
      <c r="C43" s="137" t="s">
        <v>378</v>
      </c>
      <c r="D43" s="137" t="s">
        <v>379</v>
      </c>
      <c r="E43" s="137" t="s">
        <v>204</v>
      </c>
      <c r="F43" s="137" t="s">
        <v>196</v>
      </c>
      <c r="G43" s="137" t="s">
        <v>385</v>
      </c>
      <c r="H43" s="201" t="s">
        <v>330</v>
      </c>
      <c r="I43" s="163" t="s">
        <v>317</v>
      </c>
      <c r="J43" s="164">
        <v>172031</v>
      </c>
      <c r="K43" s="165">
        <v>172031</v>
      </c>
      <c r="L43" s="167">
        <v>0</v>
      </c>
      <c r="M43" s="167">
        <v>0.5</v>
      </c>
      <c r="N43" s="167">
        <v>1</v>
      </c>
      <c r="O43" s="166">
        <v>0</v>
      </c>
      <c r="P43" s="168">
        <v>0</v>
      </c>
      <c r="Q43" s="168">
        <v>0</v>
      </c>
      <c r="R43" s="169" t="s">
        <v>387</v>
      </c>
      <c r="S43" s="279">
        <v>1</v>
      </c>
      <c r="T43" s="169">
        <v>0</v>
      </c>
      <c r="U43" s="245">
        <v>0</v>
      </c>
      <c r="V43" s="166" t="s">
        <v>319</v>
      </c>
      <c r="W43" s="166">
        <v>0</v>
      </c>
      <c r="X43" s="166">
        <v>0</v>
      </c>
      <c r="Y43" s="166">
        <v>0</v>
      </c>
      <c r="Z43" s="166">
        <v>0</v>
      </c>
      <c r="AA43" s="166">
        <v>0</v>
      </c>
      <c r="AB43" s="166">
        <v>0</v>
      </c>
      <c r="AC43" s="245">
        <v>0</v>
      </c>
      <c r="AD43" s="166">
        <v>0</v>
      </c>
      <c r="AE43" s="166">
        <v>0</v>
      </c>
      <c r="AF43" s="166">
        <v>0</v>
      </c>
      <c r="AG43" s="166">
        <v>0</v>
      </c>
      <c r="AH43" s="246">
        <v>-23507915</v>
      </c>
      <c r="AI43" s="166">
        <v>0</v>
      </c>
      <c r="AJ43" s="166">
        <v>23507915</v>
      </c>
      <c r="AK43" s="247">
        <v>0</v>
      </c>
      <c r="AL43" s="170">
        <v>0</v>
      </c>
      <c r="AM43" s="166">
        <v>23507915</v>
      </c>
      <c r="AN43" s="170">
        <v>0</v>
      </c>
      <c r="AO43" s="167">
        <v>0</v>
      </c>
      <c r="AP43" s="166">
        <v>0</v>
      </c>
      <c r="AQ43" s="171">
        <v>1</v>
      </c>
      <c r="AR43" s="166">
        <v>0</v>
      </c>
      <c r="AS43" s="166">
        <v>0</v>
      </c>
      <c r="AT43" s="166">
        <v>0</v>
      </c>
      <c r="AU43" s="166">
        <v>0</v>
      </c>
      <c r="AV43" s="166">
        <v>0</v>
      </c>
      <c r="AW43" s="166">
        <v>0</v>
      </c>
      <c r="AX43" s="166">
        <v>-23507915</v>
      </c>
      <c r="AY43" s="166">
        <v>0</v>
      </c>
      <c r="AZ43" s="166">
        <v>23507915</v>
      </c>
      <c r="BA43" s="166">
        <v>0</v>
      </c>
      <c r="BB43" s="166" t="s">
        <v>196</v>
      </c>
      <c r="BC43" s="166" t="s">
        <v>196</v>
      </c>
      <c r="BD43" s="166">
        <v>0</v>
      </c>
      <c r="BE43" s="166">
        <v>0</v>
      </c>
      <c r="BF43" s="166">
        <v>0</v>
      </c>
      <c r="BG43" s="166">
        <v>0</v>
      </c>
      <c r="BH43" s="166">
        <v>-23507915</v>
      </c>
      <c r="BI43" s="166">
        <v>0</v>
      </c>
      <c r="BJ43" s="166">
        <v>23507915</v>
      </c>
      <c r="BK43" s="166">
        <v>0</v>
      </c>
      <c r="BL43" s="174">
        <v>0</v>
      </c>
      <c r="BM43" s="166" t="s">
        <v>320</v>
      </c>
      <c r="BN43" s="166">
        <v>0</v>
      </c>
      <c r="BO43" s="166" t="b">
        <v>0</v>
      </c>
      <c r="BP43" s="166">
        <v>23507915</v>
      </c>
      <c r="BQ43" s="168">
        <v>89.228099999999998</v>
      </c>
      <c r="BR43" s="167">
        <v>15349999.2711</v>
      </c>
      <c r="BS43" s="173">
        <v>72</v>
      </c>
      <c r="BT43" s="167">
        <v>0</v>
      </c>
      <c r="BU43" s="231">
        <v>0</v>
      </c>
      <c r="BV43" s="167">
        <v>38</v>
      </c>
      <c r="BW43" s="174">
        <v>0</v>
      </c>
      <c r="BX43" s="174">
        <v>0</v>
      </c>
      <c r="BY43" s="166">
        <v>0</v>
      </c>
      <c r="BZ43" s="166">
        <v>0</v>
      </c>
      <c r="CA43" s="166">
        <v>0</v>
      </c>
      <c r="CB43" s="166">
        <v>0</v>
      </c>
      <c r="CC43" s="166">
        <v>0</v>
      </c>
      <c r="CD43" s="166">
        <v>0</v>
      </c>
      <c r="CE43" s="166">
        <v>0</v>
      </c>
      <c r="CF43" s="166">
        <v>0</v>
      </c>
      <c r="CG43" s="166">
        <v>-23507915</v>
      </c>
      <c r="CH43" s="166">
        <v>0</v>
      </c>
      <c r="CI43" s="166">
        <v>23507915</v>
      </c>
      <c r="CJ43" s="166">
        <v>0</v>
      </c>
      <c r="CK43" s="167">
        <v>0.5</v>
      </c>
      <c r="CL43" s="167">
        <v>0</v>
      </c>
    </row>
    <row r="44" spans="1:90" outlineLevel="3" x14ac:dyDescent="0.3">
      <c r="A44" s="137" t="s">
        <v>362</v>
      </c>
      <c r="B44" s="137" t="s">
        <v>384</v>
      </c>
      <c r="C44" s="137" t="s">
        <v>378</v>
      </c>
      <c r="D44" s="137" t="s">
        <v>379</v>
      </c>
      <c r="E44" s="137" t="s">
        <v>423</v>
      </c>
      <c r="F44" s="137" t="s">
        <v>196</v>
      </c>
      <c r="G44" s="201" t="s">
        <v>424</v>
      </c>
      <c r="H44" s="201" t="s">
        <v>330</v>
      </c>
      <c r="I44" s="163" t="s">
        <v>317</v>
      </c>
      <c r="J44" s="164">
        <v>1</v>
      </c>
      <c r="K44" s="165">
        <v>1</v>
      </c>
      <c r="L44" s="167">
        <v>0</v>
      </c>
      <c r="M44" s="167">
        <v>0</v>
      </c>
      <c r="N44" s="167">
        <v>1</v>
      </c>
      <c r="O44" s="166">
        <v>0</v>
      </c>
      <c r="P44" s="168">
        <v>0</v>
      </c>
      <c r="Q44" s="168">
        <v>0</v>
      </c>
      <c r="R44" s="169" t="s">
        <v>425</v>
      </c>
      <c r="S44" s="279">
        <v>1</v>
      </c>
      <c r="T44" s="169">
        <v>0</v>
      </c>
      <c r="U44" s="245">
        <v>0</v>
      </c>
      <c r="V44" s="166" t="s">
        <v>319</v>
      </c>
      <c r="W44" s="166">
        <v>0</v>
      </c>
      <c r="X44" s="166">
        <v>0</v>
      </c>
      <c r="Y44" s="166">
        <v>0</v>
      </c>
      <c r="Z44" s="166">
        <v>0</v>
      </c>
      <c r="AA44" s="166">
        <v>0</v>
      </c>
      <c r="AB44" s="166">
        <v>0</v>
      </c>
      <c r="AC44" s="245">
        <v>0</v>
      </c>
      <c r="AD44" s="166">
        <v>0</v>
      </c>
      <c r="AE44" s="166">
        <v>0</v>
      </c>
      <c r="AF44" s="166">
        <v>0</v>
      </c>
      <c r="AG44" s="166">
        <v>0</v>
      </c>
      <c r="AH44" s="246">
        <v>-10372212</v>
      </c>
      <c r="AI44" s="166">
        <v>0</v>
      </c>
      <c r="AJ44" s="166">
        <v>10372212</v>
      </c>
      <c r="AK44" s="247">
        <v>0</v>
      </c>
      <c r="AL44" s="170">
        <v>0</v>
      </c>
      <c r="AM44" s="166">
        <v>10372212</v>
      </c>
      <c r="AN44" s="170">
        <v>0</v>
      </c>
      <c r="AO44" s="167">
        <v>0</v>
      </c>
      <c r="AP44" s="166">
        <v>0</v>
      </c>
      <c r="AQ44" s="171">
        <v>1</v>
      </c>
      <c r="AR44" s="166">
        <v>0</v>
      </c>
      <c r="AS44" s="166">
        <v>0</v>
      </c>
      <c r="AT44" s="166">
        <v>0</v>
      </c>
      <c r="AU44" s="166">
        <v>0</v>
      </c>
      <c r="AV44" s="166">
        <v>0</v>
      </c>
      <c r="AW44" s="166">
        <v>0</v>
      </c>
      <c r="AX44" s="166">
        <v>-10372212</v>
      </c>
      <c r="AY44" s="166">
        <v>0</v>
      </c>
      <c r="AZ44" s="166">
        <v>10372212</v>
      </c>
      <c r="BA44" s="166">
        <v>0</v>
      </c>
      <c r="BB44" s="166" t="s">
        <v>196</v>
      </c>
      <c r="BC44" s="166" t="s">
        <v>196</v>
      </c>
      <c r="BD44" s="166">
        <v>0</v>
      </c>
      <c r="BE44" s="166">
        <v>0</v>
      </c>
      <c r="BF44" s="166">
        <v>0</v>
      </c>
      <c r="BG44" s="166">
        <v>0</v>
      </c>
      <c r="BH44" s="166">
        <v>-10372212</v>
      </c>
      <c r="BI44" s="166">
        <v>0</v>
      </c>
      <c r="BJ44" s="166">
        <v>10372212</v>
      </c>
      <c r="BK44" s="166">
        <v>0</v>
      </c>
      <c r="BL44" s="166">
        <v>0</v>
      </c>
      <c r="BM44" s="166" t="s">
        <v>320</v>
      </c>
      <c r="BN44" s="166">
        <v>0</v>
      </c>
      <c r="BO44" s="166" t="b">
        <v>0</v>
      </c>
      <c r="BP44" s="166">
        <v>10372212</v>
      </c>
      <c r="BQ44" s="168">
        <v>0</v>
      </c>
      <c r="BR44" s="167">
        <v>0</v>
      </c>
      <c r="BS44" s="173">
        <v>72</v>
      </c>
      <c r="BT44" s="167">
        <v>0</v>
      </c>
      <c r="BU44" s="231">
        <v>0</v>
      </c>
      <c r="BV44" s="167">
        <v>40</v>
      </c>
      <c r="BW44" s="174">
        <v>0</v>
      </c>
      <c r="BX44" s="174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-10372212</v>
      </c>
      <c r="CH44" s="166">
        <v>0</v>
      </c>
      <c r="CI44" s="166">
        <v>10372212</v>
      </c>
      <c r="CJ44" s="166">
        <v>0</v>
      </c>
      <c r="CK44" s="167">
        <v>0</v>
      </c>
      <c r="CL44" s="167">
        <v>0</v>
      </c>
    </row>
    <row r="45" spans="1:90" s="189" customFormat="1" ht="20.100000000000001" customHeight="1" outlineLevel="2" x14ac:dyDescent="0.3">
      <c r="A45" s="176" t="s">
        <v>363</v>
      </c>
      <c r="B45" s="176"/>
      <c r="C45" s="176"/>
      <c r="D45" s="176"/>
      <c r="E45" s="176"/>
      <c r="F45" s="176"/>
      <c r="G45" s="202"/>
      <c r="H45" s="202"/>
      <c r="I45" s="177"/>
      <c r="J45" s="178"/>
      <c r="K45" s="179"/>
      <c r="L45" s="181"/>
      <c r="M45" s="181"/>
      <c r="N45" s="181"/>
      <c r="O45" s="180"/>
      <c r="P45" s="182"/>
      <c r="Q45" s="182"/>
      <c r="R45" s="183">
        <v>0</v>
      </c>
      <c r="S45" s="280">
        <v>3</v>
      </c>
      <c r="T45" s="183">
        <v>0</v>
      </c>
      <c r="U45" s="248">
        <v>1247943.5</v>
      </c>
      <c r="V45" s="180"/>
      <c r="W45" s="180">
        <v>0</v>
      </c>
      <c r="X45" s="180">
        <v>0</v>
      </c>
      <c r="Y45" s="180">
        <v>0</v>
      </c>
      <c r="Z45" s="180">
        <v>0</v>
      </c>
      <c r="AA45" s="180">
        <v>0</v>
      </c>
      <c r="AB45" s="180">
        <v>0</v>
      </c>
      <c r="AC45" s="248">
        <v>1247943.5</v>
      </c>
      <c r="AD45" s="180">
        <v>0</v>
      </c>
      <c r="AE45" s="180">
        <v>0</v>
      </c>
      <c r="AF45" s="180">
        <v>0</v>
      </c>
      <c r="AG45" s="180">
        <v>0</v>
      </c>
      <c r="AH45" s="249">
        <v>-34055357.57</v>
      </c>
      <c r="AI45" s="180">
        <v>0</v>
      </c>
      <c r="AJ45" s="180">
        <v>34055357.57</v>
      </c>
      <c r="AK45" s="250">
        <v>0</v>
      </c>
      <c r="AL45" s="184"/>
      <c r="AM45" s="180">
        <v>35128070.5</v>
      </c>
      <c r="AN45" s="184"/>
      <c r="AO45" s="181"/>
      <c r="AP45" s="180">
        <v>1247943.5</v>
      </c>
      <c r="AQ45" s="185"/>
      <c r="AR45" s="180"/>
      <c r="AS45" s="180"/>
      <c r="AT45" s="180">
        <v>0</v>
      </c>
      <c r="AU45" s="180">
        <v>0</v>
      </c>
      <c r="AV45" s="180">
        <v>0</v>
      </c>
      <c r="AW45" s="180">
        <v>0</v>
      </c>
      <c r="AX45" s="180">
        <v>-34055357.57</v>
      </c>
      <c r="AY45" s="180">
        <v>0</v>
      </c>
      <c r="AZ45" s="180">
        <v>34055357.57</v>
      </c>
      <c r="BA45" s="180">
        <v>0</v>
      </c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2"/>
      <c r="BR45" s="181"/>
      <c r="BS45" s="187"/>
      <c r="BT45" s="181"/>
      <c r="BU45" s="224"/>
      <c r="BV45" s="181"/>
      <c r="BW45" s="188"/>
      <c r="BX45" s="188"/>
      <c r="BY45" s="180"/>
      <c r="BZ45" s="180"/>
      <c r="CA45" s="180">
        <v>175230.57</v>
      </c>
      <c r="CB45" s="180"/>
      <c r="CC45" s="180"/>
      <c r="CD45" s="180"/>
      <c r="CE45" s="180"/>
      <c r="CF45" s="180"/>
      <c r="CG45" s="180"/>
      <c r="CH45" s="180"/>
      <c r="CI45" s="180"/>
      <c r="CJ45" s="180"/>
      <c r="CK45" s="181"/>
      <c r="CL45" s="181"/>
    </row>
    <row r="46" spans="1:90" outlineLevel="3" x14ac:dyDescent="0.3">
      <c r="A46" s="137" t="s">
        <v>339</v>
      </c>
      <c r="B46" s="137" t="s">
        <v>384</v>
      </c>
      <c r="C46" s="137" t="s">
        <v>378</v>
      </c>
      <c r="D46" s="137" t="s">
        <v>379</v>
      </c>
      <c r="E46" s="137" t="s">
        <v>492</v>
      </c>
      <c r="F46" s="137" t="s">
        <v>491</v>
      </c>
      <c r="G46" s="137" t="s">
        <v>385</v>
      </c>
      <c r="H46" s="137" t="s">
        <v>322</v>
      </c>
      <c r="I46" s="163" t="s">
        <v>317</v>
      </c>
      <c r="J46" s="165">
        <v>10134.6</v>
      </c>
      <c r="K46" s="165">
        <v>10134.6</v>
      </c>
      <c r="L46" s="167">
        <v>0</v>
      </c>
      <c r="M46" s="167">
        <v>0</v>
      </c>
      <c r="N46" s="167">
        <v>1</v>
      </c>
      <c r="O46" s="166">
        <v>8.375</v>
      </c>
      <c r="P46" s="168">
        <v>8.25</v>
      </c>
      <c r="Q46" s="168">
        <v>0.125</v>
      </c>
      <c r="R46" s="169" t="s">
        <v>388</v>
      </c>
      <c r="S46" s="279">
        <v>0.6</v>
      </c>
      <c r="T46" s="169">
        <v>0</v>
      </c>
      <c r="U46" s="245">
        <v>84877.275000000052</v>
      </c>
      <c r="V46" s="166" t="s">
        <v>319</v>
      </c>
      <c r="W46" s="166">
        <v>0</v>
      </c>
      <c r="X46" s="166">
        <v>0</v>
      </c>
      <c r="Y46" s="166">
        <v>0</v>
      </c>
      <c r="Z46" s="166">
        <v>0</v>
      </c>
      <c r="AA46" s="166">
        <v>0</v>
      </c>
      <c r="AB46" s="166">
        <v>0</v>
      </c>
      <c r="AC46" s="245">
        <v>83610.45</v>
      </c>
      <c r="AD46" s="166">
        <v>1266.8250000000553</v>
      </c>
      <c r="AE46" s="166">
        <v>0</v>
      </c>
      <c r="AF46" s="166">
        <v>-1266.8250000000553</v>
      </c>
      <c r="AG46" s="166">
        <v>0</v>
      </c>
      <c r="AH46" s="246">
        <v>5067.3000000002385</v>
      </c>
      <c r="AI46" s="166">
        <v>0</v>
      </c>
      <c r="AJ46" s="166">
        <v>-5067.3000000002385</v>
      </c>
      <c r="AK46" s="247">
        <v>0</v>
      </c>
      <c r="AL46" s="170">
        <v>0</v>
      </c>
      <c r="AM46" s="166">
        <v>79809.975000000049</v>
      </c>
      <c r="AN46" s="167">
        <v>0</v>
      </c>
      <c r="AO46" s="170">
        <v>0</v>
      </c>
      <c r="AP46" s="166">
        <v>403753.41600000003</v>
      </c>
      <c r="AQ46" s="171">
        <v>1</v>
      </c>
      <c r="AR46" s="166">
        <v>84877.275000000052</v>
      </c>
      <c r="AS46" s="166">
        <v>8.375</v>
      </c>
      <c r="AT46" s="166">
        <v>5700.712500000096</v>
      </c>
      <c r="AU46" s="166">
        <v>0</v>
      </c>
      <c r="AV46" s="166">
        <v>-5700.712500000096</v>
      </c>
      <c r="AW46" s="166">
        <v>0</v>
      </c>
      <c r="AX46" s="166">
        <v>5067.3000000002385</v>
      </c>
      <c r="AY46" s="166">
        <v>0</v>
      </c>
      <c r="AZ46" s="166">
        <v>-5067.3000000002385</v>
      </c>
      <c r="BA46" s="166">
        <v>0</v>
      </c>
      <c r="BB46" s="166">
        <v>8.375</v>
      </c>
      <c r="BC46" s="166">
        <v>8.25</v>
      </c>
      <c r="BD46" s="166">
        <v>4433.8875000000407</v>
      </c>
      <c r="BE46" s="166">
        <v>0</v>
      </c>
      <c r="BF46" s="166">
        <v>-4433.8875000000407</v>
      </c>
      <c r="BG46" s="166">
        <v>0</v>
      </c>
      <c r="BH46" s="166">
        <v>3800.4750000001832</v>
      </c>
      <c r="BI46" s="166">
        <v>0</v>
      </c>
      <c r="BJ46" s="166">
        <v>-3800.4750000001832</v>
      </c>
      <c r="BK46" s="166">
        <v>0</v>
      </c>
      <c r="BL46" s="166">
        <v>403753.41600000003</v>
      </c>
      <c r="BM46" s="166" t="s">
        <v>323</v>
      </c>
      <c r="BN46" s="166">
        <v>0</v>
      </c>
      <c r="BO46" s="166" t="b">
        <v>0</v>
      </c>
      <c r="BP46" s="166">
        <v>-3800.4750000001832</v>
      </c>
      <c r="BQ46" s="168">
        <v>1.1200000000000001</v>
      </c>
      <c r="BR46" s="167">
        <v>11350.752000000008</v>
      </c>
      <c r="BS46" s="173">
        <v>71</v>
      </c>
      <c r="BT46" s="167">
        <v>1266.8250000000553</v>
      </c>
      <c r="BU46" s="231">
        <v>10134.6</v>
      </c>
      <c r="BV46" s="167">
        <v>7</v>
      </c>
      <c r="BW46" s="174">
        <v>8.375</v>
      </c>
      <c r="BX46" s="174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3800.4750000001832</v>
      </c>
      <c r="CH46" s="166">
        <v>0</v>
      </c>
      <c r="CI46" s="166">
        <v>-3800.4750000001832</v>
      </c>
      <c r="CJ46" s="166">
        <v>0</v>
      </c>
      <c r="CK46" s="167">
        <v>0</v>
      </c>
      <c r="CL46" s="167">
        <v>0</v>
      </c>
    </row>
    <row r="47" spans="1:90" s="189" customFormat="1" ht="20.100000000000001" customHeight="1" outlineLevel="2" x14ac:dyDescent="0.3">
      <c r="A47" s="176" t="s">
        <v>340</v>
      </c>
      <c r="B47" s="176"/>
      <c r="C47" s="176"/>
      <c r="D47" s="176"/>
      <c r="E47" s="176"/>
      <c r="F47" s="176"/>
      <c r="G47" s="176"/>
      <c r="H47" s="176"/>
      <c r="I47" s="177"/>
      <c r="J47" s="179"/>
      <c r="K47" s="179"/>
      <c r="L47" s="181"/>
      <c r="M47" s="181"/>
      <c r="N47" s="181"/>
      <c r="O47" s="180"/>
      <c r="P47" s="182"/>
      <c r="Q47" s="182"/>
      <c r="R47" s="183">
        <v>0</v>
      </c>
      <c r="S47" s="280">
        <v>0.6</v>
      </c>
      <c r="T47" s="183">
        <v>0</v>
      </c>
      <c r="U47" s="248">
        <v>84877.275000000052</v>
      </c>
      <c r="V47" s="180"/>
      <c r="W47" s="180">
        <v>0</v>
      </c>
      <c r="X47" s="180">
        <v>0</v>
      </c>
      <c r="Y47" s="180">
        <v>0</v>
      </c>
      <c r="Z47" s="180">
        <v>0</v>
      </c>
      <c r="AA47" s="180">
        <v>0</v>
      </c>
      <c r="AB47" s="180">
        <v>0</v>
      </c>
      <c r="AC47" s="248">
        <v>83610.45</v>
      </c>
      <c r="AD47" s="180">
        <v>1266.8250000000553</v>
      </c>
      <c r="AE47" s="180">
        <v>0</v>
      </c>
      <c r="AF47" s="180">
        <v>-1266.8250000000553</v>
      </c>
      <c r="AG47" s="180">
        <v>0</v>
      </c>
      <c r="AH47" s="249">
        <v>5067.3000000002385</v>
      </c>
      <c r="AI47" s="180">
        <v>0</v>
      </c>
      <c r="AJ47" s="180">
        <v>-5067.3000000002385</v>
      </c>
      <c r="AK47" s="250">
        <v>0</v>
      </c>
      <c r="AL47" s="184"/>
      <c r="AM47" s="180">
        <v>79809.975000000049</v>
      </c>
      <c r="AN47" s="181"/>
      <c r="AO47" s="184"/>
      <c r="AP47" s="180">
        <v>403753.41600000003</v>
      </c>
      <c r="AQ47" s="185"/>
      <c r="AR47" s="180"/>
      <c r="AS47" s="180"/>
      <c r="AT47" s="180">
        <v>5700.712500000096</v>
      </c>
      <c r="AU47" s="180">
        <v>0</v>
      </c>
      <c r="AV47" s="180">
        <v>-5700.712500000096</v>
      </c>
      <c r="AW47" s="180">
        <v>0</v>
      </c>
      <c r="AX47" s="180">
        <v>5067.3000000002385</v>
      </c>
      <c r="AY47" s="180">
        <v>0</v>
      </c>
      <c r="AZ47" s="180">
        <v>-5067.3000000002385</v>
      </c>
      <c r="BA47" s="180">
        <v>0</v>
      </c>
      <c r="BB47" s="180"/>
      <c r="BC47" s="180"/>
      <c r="BD47" s="180"/>
      <c r="BE47" s="180"/>
      <c r="BF47" s="180"/>
      <c r="BG47" s="180"/>
      <c r="BH47" s="180"/>
      <c r="BI47" s="180"/>
      <c r="BJ47" s="180"/>
      <c r="BK47" s="180"/>
      <c r="BL47" s="180"/>
      <c r="BM47" s="180"/>
      <c r="BN47" s="180"/>
      <c r="BO47" s="180"/>
      <c r="BP47" s="180"/>
      <c r="BQ47" s="182"/>
      <c r="BR47" s="181"/>
      <c r="BS47" s="187"/>
      <c r="BT47" s="181"/>
      <c r="BU47" s="224"/>
      <c r="BV47" s="181"/>
      <c r="BW47" s="188"/>
      <c r="BX47" s="188"/>
      <c r="BY47" s="180"/>
      <c r="BZ47" s="180"/>
      <c r="CA47" s="180">
        <v>0</v>
      </c>
      <c r="CB47" s="180"/>
      <c r="CC47" s="180"/>
      <c r="CD47" s="180"/>
      <c r="CE47" s="180"/>
      <c r="CF47" s="180"/>
      <c r="CG47" s="180"/>
      <c r="CH47" s="180"/>
      <c r="CI47" s="180"/>
      <c r="CJ47" s="180"/>
      <c r="CK47" s="181"/>
      <c r="CL47" s="181"/>
    </row>
    <row r="48" spans="1:90" outlineLevel="3" x14ac:dyDescent="0.3">
      <c r="A48" s="137" t="s">
        <v>356</v>
      </c>
      <c r="B48" s="137" t="s">
        <v>384</v>
      </c>
      <c r="C48" s="137" t="s">
        <v>378</v>
      </c>
      <c r="D48" s="137" t="s">
        <v>379</v>
      </c>
      <c r="E48" s="137" t="s">
        <v>202</v>
      </c>
      <c r="F48" s="137" t="s">
        <v>196</v>
      </c>
      <c r="G48" s="137" t="s">
        <v>385</v>
      </c>
      <c r="H48" s="137" t="s">
        <v>316</v>
      </c>
      <c r="I48" s="163" t="s">
        <v>357</v>
      </c>
      <c r="J48" s="165">
        <v>1</v>
      </c>
      <c r="K48" s="165">
        <v>1</v>
      </c>
      <c r="L48" s="167">
        <v>0</v>
      </c>
      <c r="M48" s="167">
        <v>0</v>
      </c>
      <c r="N48" s="167">
        <v>0</v>
      </c>
      <c r="O48" s="166">
        <v>0</v>
      </c>
      <c r="P48" s="167">
        <v>0</v>
      </c>
      <c r="Q48" s="167">
        <v>0</v>
      </c>
      <c r="R48" s="169" t="s">
        <v>358</v>
      </c>
      <c r="S48" s="282">
        <v>1</v>
      </c>
      <c r="T48" s="169">
        <v>0</v>
      </c>
      <c r="U48" s="245">
        <v>0</v>
      </c>
      <c r="V48" s="166" t="s">
        <v>319</v>
      </c>
      <c r="W48" s="166">
        <v>0</v>
      </c>
      <c r="X48" s="166">
        <v>0</v>
      </c>
      <c r="Y48" s="166">
        <v>0</v>
      </c>
      <c r="Z48" s="166">
        <v>0</v>
      </c>
      <c r="AA48" s="166">
        <v>0</v>
      </c>
      <c r="AB48" s="166">
        <v>0</v>
      </c>
      <c r="AC48" s="245">
        <v>0</v>
      </c>
      <c r="AD48" s="166">
        <v>0</v>
      </c>
      <c r="AE48" s="166">
        <v>0</v>
      </c>
      <c r="AF48" s="166">
        <v>0</v>
      </c>
      <c r="AG48" s="166">
        <v>0</v>
      </c>
      <c r="AH48" s="246">
        <v>0</v>
      </c>
      <c r="AI48" s="166">
        <v>0</v>
      </c>
      <c r="AJ48" s="166">
        <v>0</v>
      </c>
      <c r="AK48" s="247">
        <v>0</v>
      </c>
      <c r="AL48" s="170">
        <v>0</v>
      </c>
      <c r="AM48" s="166">
        <v>0</v>
      </c>
      <c r="AN48" s="167">
        <v>0</v>
      </c>
      <c r="AO48" s="170">
        <v>0</v>
      </c>
      <c r="AP48" s="166">
        <v>0</v>
      </c>
      <c r="AQ48" s="171">
        <v>1</v>
      </c>
      <c r="AR48" s="166">
        <v>0</v>
      </c>
      <c r="AS48" s="166">
        <v>0</v>
      </c>
      <c r="AT48" s="166">
        <v>0</v>
      </c>
      <c r="AU48" s="166">
        <v>0</v>
      </c>
      <c r="AV48" s="166">
        <v>0</v>
      </c>
      <c r="AW48" s="166">
        <v>0</v>
      </c>
      <c r="AX48" s="166">
        <v>0</v>
      </c>
      <c r="AY48" s="166">
        <v>0</v>
      </c>
      <c r="AZ48" s="166">
        <v>0</v>
      </c>
      <c r="BA48" s="166">
        <v>0</v>
      </c>
      <c r="BB48" s="166" t="s">
        <v>196</v>
      </c>
      <c r="BC48" s="166" t="s">
        <v>196</v>
      </c>
      <c r="BD48" s="166">
        <v>0</v>
      </c>
      <c r="BE48" s="166">
        <v>0</v>
      </c>
      <c r="BF48" s="166">
        <v>0</v>
      </c>
      <c r="BG48" s="166">
        <v>0</v>
      </c>
      <c r="BH48" s="166">
        <v>0</v>
      </c>
      <c r="BI48" s="166">
        <v>0</v>
      </c>
      <c r="BJ48" s="166">
        <v>0</v>
      </c>
      <c r="BK48" s="166">
        <v>0</v>
      </c>
      <c r="BL48" s="166">
        <v>0</v>
      </c>
      <c r="BM48" s="166" t="s">
        <v>323</v>
      </c>
      <c r="BN48" s="166">
        <v>0</v>
      </c>
      <c r="BO48" s="166" t="b">
        <v>0</v>
      </c>
      <c r="BP48" s="166">
        <v>0</v>
      </c>
      <c r="BQ48" s="168">
        <v>0</v>
      </c>
      <c r="BR48" s="167">
        <v>0</v>
      </c>
      <c r="BS48" s="173">
        <v>79</v>
      </c>
      <c r="BT48" s="167">
        <v>0</v>
      </c>
      <c r="BU48" s="231">
        <v>0</v>
      </c>
      <c r="BV48" s="167">
        <v>152</v>
      </c>
      <c r="BW48" s="174">
        <v>0</v>
      </c>
      <c r="BX48" s="174">
        <v>0</v>
      </c>
      <c r="BY48" s="166">
        <v>0</v>
      </c>
      <c r="BZ48" s="166">
        <v>0</v>
      </c>
      <c r="CA48" s="166">
        <v>0</v>
      </c>
      <c r="CB48" s="166">
        <v>0</v>
      </c>
      <c r="CC48" s="166">
        <v>0</v>
      </c>
      <c r="CD48" s="166">
        <v>0</v>
      </c>
      <c r="CE48" s="166">
        <v>0</v>
      </c>
      <c r="CF48" s="166">
        <v>0</v>
      </c>
      <c r="CG48" s="166">
        <v>0</v>
      </c>
      <c r="CH48" s="166">
        <v>0</v>
      </c>
      <c r="CI48" s="166">
        <v>0</v>
      </c>
      <c r="CJ48" s="166">
        <v>0</v>
      </c>
      <c r="CK48" s="167">
        <v>0</v>
      </c>
      <c r="CL48" s="167">
        <v>0</v>
      </c>
    </row>
    <row r="49" spans="1:90" s="189" customFormat="1" ht="20.100000000000001" customHeight="1" outlineLevel="2" x14ac:dyDescent="0.3">
      <c r="A49" s="176" t="s">
        <v>359</v>
      </c>
      <c r="B49" s="176"/>
      <c r="C49" s="176"/>
      <c r="D49" s="176"/>
      <c r="E49" s="176"/>
      <c r="F49" s="176"/>
      <c r="G49" s="176"/>
      <c r="H49" s="176"/>
      <c r="I49" s="177"/>
      <c r="J49" s="179"/>
      <c r="K49" s="179"/>
      <c r="L49" s="181"/>
      <c r="M49" s="181"/>
      <c r="N49" s="181"/>
      <c r="O49" s="180"/>
      <c r="P49" s="181"/>
      <c r="Q49" s="181"/>
      <c r="R49" s="183">
        <v>0</v>
      </c>
      <c r="S49" s="283">
        <v>1</v>
      </c>
      <c r="T49" s="183">
        <v>0</v>
      </c>
      <c r="U49" s="248">
        <v>0</v>
      </c>
      <c r="V49" s="180"/>
      <c r="W49" s="180">
        <v>0</v>
      </c>
      <c r="X49" s="180">
        <v>0</v>
      </c>
      <c r="Y49" s="180">
        <v>0</v>
      </c>
      <c r="Z49" s="180">
        <v>0</v>
      </c>
      <c r="AA49" s="180">
        <v>0</v>
      </c>
      <c r="AB49" s="180">
        <v>0</v>
      </c>
      <c r="AC49" s="248">
        <v>0</v>
      </c>
      <c r="AD49" s="180">
        <v>0</v>
      </c>
      <c r="AE49" s="180">
        <v>0</v>
      </c>
      <c r="AF49" s="180">
        <v>0</v>
      </c>
      <c r="AG49" s="180">
        <v>0</v>
      </c>
      <c r="AH49" s="249">
        <v>0</v>
      </c>
      <c r="AI49" s="180">
        <v>0</v>
      </c>
      <c r="AJ49" s="180">
        <v>0</v>
      </c>
      <c r="AK49" s="250">
        <v>0</v>
      </c>
      <c r="AL49" s="184"/>
      <c r="AM49" s="180">
        <v>0</v>
      </c>
      <c r="AN49" s="181"/>
      <c r="AO49" s="184"/>
      <c r="AP49" s="180">
        <v>0</v>
      </c>
      <c r="AQ49" s="185"/>
      <c r="AR49" s="180"/>
      <c r="AS49" s="180"/>
      <c r="AT49" s="180">
        <v>0</v>
      </c>
      <c r="AU49" s="180">
        <v>0</v>
      </c>
      <c r="AV49" s="180">
        <v>0</v>
      </c>
      <c r="AW49" s="180">
        <v>0</v>
      </c>
      <c r="AX49" s="180">
        <v>0</v>
      </c>
      <c r="AY49" s="180">
        <v>0</v>
      </c>
      <c r="AZ49" s="180">
        <v>0</v>
      </c>
      <c r="BA49" s="180">
        <v>0</v>
      </c>
      <c r="BB49" s="180"/>
      <c r="BC49" s="180"/>
      <c r="BD49" s="180"/>
      <c r="BE49" s="180"/>
      <c r="BF49" s="180"/>
      <c r="BG49" s="180"/>
      <c r="BH49" s="180"/>
      <c r="BI49" s="180"/>
      <c r="BJ49" s="180"/>
      <c r="BK49" s="180"/>
      <c r="BL49" s="180"/>
      <c r="BM49" s="180"/>
      <c r="BN49" s="180"/>
      <c r="BO49" s="180"/>
      <c r="BP49" s="180"/>
      <c r="BQ49" s="182"/>
      <c r="BR49" s="181"/>
      <c r="BS49" s="187"/>
      <c r="BT49" s="181"/>
      <c r="BU49" s="224"/>
      <c r="BV49" s="181"/>
      <c r="BW49" s="188"/>
      <c r="BX49" s="188"/>
      <c r="BY49" s="180"/>
      <c r="BZ49" s="180"/>
      <c r="CA49" s="180">
        <v>0</v>
      </c>
      <c r="CB49" s="180"/>
      <c r="CC49" s="180"/>
      <c r="CD49" s="180"/>
      <c r="CE49" s="180"/>
      <c r="CF49" s="180"/>
      <c r="CG49" s="180"/>
      <c r="CH49" s="180"/>
      <c r="CI49" s="180"/>
      <c r="CJ49" s="180"/>
      <c r="CK49" s="181"/>
      <c r="CL49" s="181"/>
    </row>
    <row r="50" spans="1:90" outlineLevel="3" x14ac:dyDescent="0.3">
      <c r="A50" s="137" t="s">
        <v>389</v>
      </c>
      <c r="B50" s="137" t="s">
        <v>384</v>
      </c>
      <c r="C50" s="137" t="s">
        <v>378</v>
      </c>
      <c r="D50" s="137" t="s">
        <v>379</v>
      </c>
      <c r="E50" s="137" t="s">
        <v>205</v>
      </c>
      <c r="F50" s="137" t="s">
        <v>196</v>
      </c>
      <c r="G50" s="137" t="s">
        <v>385</v>
      </c>
      <c r="H50" s="137" t="s">
        <v>316</v>
      </c>
      <c r="I50" s="163" t="s">
        <v>357</v>
      </c>
      <c r="J50" s="165">
        <v>1</v>
      </c>
      <c r="K50" s="165">
        <v>1</v>
      </c>
      <c r="L50" s="167">
        <v>0</v>
      </c>
      <c r="M50" s="167">
        <v>0</v>
      </c>
      <c r="N50" s="167">
        <v>0</v>
      </c>
      <c r="O50" s="166">
        <v>0</v>
      </c>
      <c r="P50" s="167">
        <v>0</v>
      </c>
      <c r="Q50" s="167">
        <v>0</v>
      </c>
      <c r="R50" s="169" t="s">
        <v>390</v>
      </c>
      <c r="S50" s="282">
        <v>1</v>
      </c>
      <c r="T50" s="169">
        <v>0</v>
      </c>
      <c r="U50" s="245">
        <v>0</v>
      </c>
      <c r="V50" s="166" t="s">
        <v>319</v>
      </c>
      <c r="W50" s="166">
        <v>0</v>
      </c>
      <c r="X50" s="166">
        <v>0</v>
      </c>
      <c r="Y50" s="166">
        <v>0</v>
      </c>
      <c r="Z50" s="166">
        <v>0</v>
      </c>
      <c r="AA50" s="166">
        <v>0</v>
      </c>
      <c r="AB50" s="166">
        <v>0</v>
      </c>
      <c r="AC50" s="245">
        <v>0</v>
      </c>
      <c r="AD50" s="166">
        <v>0</v>
      </c>
      <c r="AE50" s="166">
        <v>0</v>
      </c>
      <c r="AF50" s="166">
        <v>0</v>
      </c>
      <c r="AG50" s="166">
        <v>0</v>
      </c>
      <c r="AH50" s="246">
        <v>-1165662.43</v>
      </c>
      <c r="AI50" s="166">
        <v>0</v>
      </c>
      <c r="AJ50" s="166">
        <v>1165662.43</v>
      </c>
      <c r="AK50" s="247">
        <v>0</v>
      </c>
      <c r="AL50" s="170">
        <v>0</v>
      </c>
      <c r="AM50" s="166">
        <v>1165662.43</v>
      </c>
      <c r="AN50" s="167">
        <v>0</v>
      </c>
      <c r="AO50" s="170">
        <v>0</v>
      </c>
      <c r="AP50" s="166">
        <v>0</v>
      </c>
      <c r="AQ50" s="171">
        <v>1</v>
      </c>
      <c r="AR50" s="166">
        <v>0</v>
      </c>
      <c r="AS50" s="166">
        <v>0</v>
      </c>
      <c r="AT50" s="166">
        <v>0</v>
      </c>
      <c r="AU50" s="166">
        <v>0</v>
      </c>
      <c r="AV50" s="166">
        <v>0</v>
      </c>
      <c r="AW50" s="166">
        <v>0</v>
      </c>
      <c r="AX50" s="166">
        <v>-1165662.43</v>
      </c>
      <c r="AY50" s="166">
        <v>0</v>
      </c>
      <c r="AZ50" s="166">
        <v>1165662.43</v>
      </c>
      <c r="BA50" s="166">
        <v>0</v>
      </c>
      <c r="BB50" s="166" t="s">
        <v>196</v>
      </c>
      <c r="BC50" s="166" t="s">
        <v>196</v>
      </c>
      <c r="BD50" s="166">
        <v>0</v>
      </c>
      <c r="BE50" s="166">
        <v>0</v>
      </c>
      <c r="BF50" s="166">
        <v>0</v>
      </c>
      <c r="BG50" s="166">
        <v>0</v>
      </c>
      <c r="BH50" s="166">
        <v>-1165662.43</v>
      </c>
      <c r="BI50" s="166">
        <v>0</v>
      </c>
      <c r="BJ50" s="166">
        <v>1165662.43</v>
      </c>
      <c r="BK50" s="166">
        <v>0</v>
      </c>
      <c r="BL50" s="166">
        <v>0</v>
      </c>
      <c r="BM50" s="166" t="s">
        <v>320</v>
      </c>
      <c r="BN50" s="166">
        <v>0</v>
      </c>
      <c r="BO50" s="166" t="b">
        <v>0</v>
      </c>
      <c r="BP50" s="166">
        <v>1165662.43</v>
      </c>
      <c r="BQ50" s="168">
        <v>0</v>
      </c>
      <c r="BR50" s="167">
        <v>0</v>
      </c>
      <c r="BS50" s="173">
        <v>81</v>
      </c>
      <c r="BT50" s="167">
        <v>0</v>
      </c>
      <c r="BU50" s="231">
        <v>0</v>
      </c>
      <c r="BV50" s="167">
        <v>157</v>
      </c>
      <c r="BW50" s="174">
        <v>0</v>
      </c>
      <c r="BX50" s="174">
        <v>0</v>
      </c>
      <c r="BY50" s="166">
        <v>0</v>
      </c>
      <c r="BZ50" s="166">
        <v>0</v>
      </c>
      <c r="CA50" s="166">
        <v>0</v>
      </c>
      <c r="CB50" s="166">
        <v>0</v>
      </c>
      <c r="CC50" s="166">
        <v>0</v>
      </c>
      <c r="CD50" s="166">
        <v>0</v>
      </c>
      <c r="CE50" s="166">
        <v>0</v>
      </c>
      <c r="CF50" s="166">
        <v>0</v>
      </c>
      <c r="CG50" s="166">
        <v>-1165662.43</v>
      </c>
      <c r="CH50" s="166">
        <v>0</v>
      </c>
      <c r="CI50" s="166">
        <v>1165662.43</v>
      </c>
      <c r="CJ50" s="166">
        <v>0</v>
      </c>
      <c r="CK50" s="167">
        <v>0</v>
      </c>
      <c r="CL50" s="167">
        <v>0</v>
      </c>
    </row>
    <row r="51" spans="1:90" outlineLevel="3" x14ac:dyDescent="0.3">
      <c r="A51" s="137" t="s">
        <v>389</v>
      </c>
      <c r="B51" s="137" t="s">
        <v>384</v>
      </c>
      <c r="C51" s="137" t="s">
        <v>378</v>
      </c>
      <c r="D51" s="137" t="s">
        <v>379</v>
      </c>
      <c r="E51" s="137" t="s">
        <v>206</v>
      </c>
      <c r="F51" s="137" t="s">
        <v>196</v>
      </c>
      <c r="G51" s="137" t="s">
        <v>385</v>
      </c>
      <c r="H51" s="137" t="s">
        <v>316</v>
      </c>
      <c r="I51" s="163" t="s">
        <v>357</v>
      </c>
      <c r="J51" s="165">
        <v>1</v>
      </c>
      <c r="K51" s="165">
        <v>1</v>
      </c>
      <c r="L51" s="167">
        <v>0</v>
      </c>
      <c r="M51" s="167">
        <v>0</v>
      </c>
      <c r="N51" s="167">
        <v>0</v>
      </c>
      <c r="O51" s="166">
        <v>0</v>
      </c>
      <c r="P51" s="167">
        <v>0</v>
      </c>
      <c r="Q51" s="167">
        <v>0</v>
      </c>
      <c r="R51" s="169" t="s">
        <v>391</v>
      </c>
      <c r="S51" s="279">
        <v>1</v>
      </c>
      <c r="T51" s="169">
        <v>0</v>
      </c>
      <c r="U51" s="245">
        <v>0</v>
      </c>
      <c r="V51" s="166" t="s">
        <v>319</v>
      </c>
      <c r="W51" s="166">
        <v>0</v>
      </c>
      <c r="X51" s="166">
        <v>0</v>
      </c>
      <c r="Y51" s="166">
        <v>0</v>
      </c>
      <c r="Z51" s="166">
        <v>0</v>
      </c>
      <c r="AA51" s="166">
        <v>0</v>
      </c>
      <c r="AB51" s="166">
        <v>0</v>
      </c>
      <c r="AC51" s="245">
        <v>0</v>
      </c>
      <c r="AD51" s="166">
        <v>0</v>
      </c>
      <c r="AE51" s="166">
        <v>0</v>
      </c>
      <c r="AF51" s="166">
        <v>0</v>
      </c>
      <c r="AG51" s="166">
        <v>0</v>
      </c>
      <c r="AH51" s="246">
        <v>570790</v>
      </c>
      <c r="AI51" s="166">
        <v>0</v>
      </c>
      <c r="AJ51" s="166">
        <v>-570790</v>
      </c>
      <c r="AK51" s="247">
        <v>0</v>
      </c>
      <c r="AL51" s="170">
        <v>0</v>
      </c>
      <c r="AM51" s="166">
        <v>429210</v>
      </c>
      <c r="AN51" s="167">
        <v>0</v>
      </c>
      <c r="AO51" s="170">
        <v>0</v>
      </c>
      <c r="AP51" s="166">
        <v>0</v>
      </c>
      <c r="AQ51" s="171">
        <v>1</v>
      </c>
      <c r="AR51" s="166">
        <v>0</v>
      </c>
      <c r="AS51" s="166">
        <v>0</v>
      </c>
      <c r="AT51" s="166">
        <v>0</v>
      </c>
      <c r="AU51" s="166">
        <v>0</v>
      </c>
      <c r="AV51" s="166">
        <v>0</v>
      </c>
      <c r="AW51" s="166">
        <v>0</v>
      </c>
      <c r="AX51" s="166">
        <v>570790</v>
      </c>
      <c r="AY51" s="166">
        <v>0</v>
      </c>
      <c r="AZ51" s="166">
        <v>-570790</v>
      </c>
      <c r="BA51" s="166">
        <v>0</v>
      </c>
      <c r="BB51" s="166" t="s">
        <v>196</v>
      </c>
      <c r="BC51" s="166" t="s">
        <v>196</v>
      </c>
      <c r="BD51" s="166">
        <v>0</v>
      </c>
      <c r="BE51" s="166">
        <v>0</v>
      </c>
      <c r="BF51" s="166">
        <v>0</v>
      </c>
      <c r="BG51" s="166">
        <v>0</v>
      </c>
      <c r="BH51" s="166">
        <v>570790</v>
      </c>
      <c r="BI51" s="166">
        <v>0</v>
      </c>
      <c r="BJ51" s="166">
        <v>-570790</v>
      </c>
      <c r="BK51" s="166">
        <v>0</v>
      </c>
      <c r="BL51" s="166">
        <v>0</v>
      </c>
      <c r="BM51" s="166" t="s">
        <v>320</v>
      </c>
      <c r="BN51" s="166">
        <v>0</v>
      </c>
      <c r="BO51" s="166" t="b">
        <v>0</v>
      </c>
      <c r="BP51" s="166">
        <v>-570790</v>
      </c>
      <c r="BQ51" s="168">
        <v>0</v>
      </c>
      <c r="BR51" s="167">
        <v>0</v>
      </c>
      <c r="BS51" s="173">
        <v>81</v>
      </c>
      <c r="BT51" s="167">
        <v>0</v>
      </c>
      <c r="BU51" s="231">
        <v>0</v>
      </c>
      <c r="BV51" s="167">
        <v>168</v>
      </c>
      <c r="BW51" s="174">
        <v>0</v>
      </c>
      <c r="BX51" s="174">
        <v>0</v>
      </c>
      <c r="BY51" s="166">
        <v>0</v>
      </c>
      <c r="BZ51" s="166">
        <v>0</v>
      </c>
      <c r="CA51" s="166">
        <v>-1000000</v>
      </c>
      <c r="CB51" s="166">
        <v>-1000000</v>
      </c>
      <c r="CC51" s="166">
        <v>0</v>
      </c>
      <c r="CD51" s="166">
        <v>0</v>
      </c>
      <c r="CE51" s="166">
        <v>0</v>
      </c>
      <c r="CF51" s="166">
        <v>0</v>
      </c>
      <c r="CG51" s="166">
        <v>570790</v>
      </c>
      <c r="CH51" s="166">
        <v>0</v>
      </c>
      <c r="CI51" s="166">
        <v>-570790</v>
      </c>
      <c r="CJ51" s="166">
        <v>0</v>
      </c>
      <c r="CK51" s="167">
        <v>0</v>
      </c>
      <c r="CL51" s="167">
        <v>0</v>
      </c>
    </row>
    <row r="52" spans="1:90" outlineLevel="3" x14ac:dyDescent="0.3">
      <c r="A52" s="137" t="s">
        <v>389</v>
      </c>
      <c r="B52" s="137" t="s">
        <v>384</v>
      </c>
      <c r="C52" s="137" t="s">
        <v>378</v>
      </c>
      <c r="D52" s="137" t="s">
        <v>379</v>
      </c>
      <c r="E52" s="137" t="s">
        <v>207</v>
      </c>
      <c r="F52" s="137" t="s">
        <v>196</v>
      </c>
      <c r="G52" s="137" t="s">
        <v>385</v>
      </c>
      <c r="H52" s="137" t="s">
        <v>316</v>
      </c>
      <c r="I52" s="163" t="s">
        <v>357</v>
      </c>
      <c r="J52" s="165">
        <v>1</v>
      </c>
      <c r="K52" s="165">
        <v>1</v>
      </c>
      <c r="L52" s="167">
        <v>0</v>
      </c>
      <c r="M52" s="167">
        <v>0</v>
      </c>
      <c r="N52" s="167">
        <v>0</v>
      </c>
      <c r="O52" s="166">
        <v>0</v>
      </c>
      <c r="P52" s="167">
        <v>0</v>
      </c>
      <c r="Q52" s="167">
        <v>0</v>
      </c>
      <c r="R52" s="169" t="s">
        <v>392</v>
      </c>
      <c r="S52" s="279">
        <v>1</v>
      </c>
      <c r="T52" s="169">
        <v>0</v>
      </c>
      <c r="U52" s="245">
        <v>0</v>
      </c>
      <c r="V52" s="166" t="s">
        <v>319</v>
      </c>
      <c r="W52" s="166">
        <v>0</v>
      </c>
      <c r="X52" s="166">
        <v>0</v>
      </c>
      <c r="Y52" s="166">
        <v>0</v>
      </c>
      <c r="Z52" s="166">
        <v>0</v>
      </c>
      <c r="AA52" s="166">
        <v>0</v>
      </c>
      <c r="AB52" s="166">
        <v>0</v>
      </c>
      <c r="AC52" s="245">
        <v>0</v>
      </c>
      <c r="AD52" s="166">
        <v>0</v>
      </c>
      <c r="AE52" s="166">
        <v>0</v>
      </c>
      <c r="AF52" s="166">
        <v>0</v>
      </c>
      <c r="AG52" s="166">
        <v>0</v>
      </c>
      <c r="AH52" s="246">
        <v>-470790</v>
      </c>
      <c r="AI52" s="166">
        <v>0</v>
      </c>
      <c r="AJ52" s="166">
        <v>470790</v>
      </c>
      <c r="AK52" s="247">
        <v>0</v>
      </c>
      <c r="AL52" s="170">
        <v>0</v>
      </c>
      <c r="AM52" s="166">
        <v>470790</v>
      </c>
      <c r="AN52" s="167">
        <v>0</v>
      </c>
      <c r="AO52" s="170">
        <v>0</v>
      </c>
      <c r="AP52" s="166">
        <v>0</v>
      </c>
      <c r="AQ52" s="171">
        <v>1</v>
      </c>
      <c r="AR52" s="166">
        <v>0</v>
      </c>
      <c r="AS52" s="166">
        <v>0</v>
      </c>
      <c r="AT52" s="166">
        <v>0</v>
      </c>
      <c r="AU52" s="166">
        <v>0</v>
      </c>
      <c r="AV52" s="166">
        <v>0</v>
      </c>
      <c r="AW52" s="166">
        <v>0</v>
      </c>
      <c r="AX52" s="166">
        <v>-470790</v>
      </c>
      <c r="AY52" s="166">
        <v>0</v>
      </c>
      <c r="AZ52" s="166">
        <v>470790</v>
      </c>
      <c r="BA52" s="166">
        <v>0</v>
      </c>
      <c r="BB52" s="166" t="s">
        <v>196</v>
      </c>
      <c r="BC52" s="166" t="s">
        <v>196</v>
      </c>
      <c r="BD52" s="166">
        <v>0</v>
      </c>
      <c r="BE52" s="166">
        <v>0</v>
      </c>
      <c r="BF52" s="166">
        <v>0</v>
      </c>
      <c r="BG52" s="166">
        <v>0</v>
      </c>
      <c r="BH52" s="166">
        <v>-470790</v>
      </c>
      <c r="BI52" s="166">
        <v>0</v>
      </c>
      <c r="BJ52" s="166">
        <v>470790</v>
      </c>
      <c r="BK52" s="166">
        <v>0</v>
      </c>
      <c r="BL52" s="166">
        <v>0</v>
      </c>
      <c r="BM52" s="166" t="s">
        <v>320</v>
      </c>
      <c r="BN52" s="166">
        <v>0</v>
      </c>
      <c r="BO52" s="166" t="b">
        <v>0</v>
      </c>
      <c r="BP52" s="166">
        <v>470790</v>
      </c>
      <c r="BQ52" s="168">
        <v>0</v>
      </c>
      <c r="BR52" s="167">
        <v>0</v>
      </c>
      <c r="BS52" s="173">
        <v>81</v>
      </c>
      <c r="BT52" s="167">
        <v>0</v>
      </c>
      <c r="BU52" s="231">
        <v>0</v>
      </c>
      <c r="BV52" s="167">
        <v>170</v>
      </c>
      <c r="BW52" s="174">
        <v>0</v>
      </c>
      <c r="BX52" s="174">
        <v>0</v>
      </c>
      <c r="BY52" s="166">
        <v>0</v>
      </c>
      <c r="BZ52" s="166">
        <v>0</v>
      </c>
      <c r="CA52" s="166">
        <v>0</v>
      </c>
      <c r="CB52" s="166">
        <v>0</v>
      </c>
      <c r="CC52" s="166">
        <v>0</v>
      </c>
      <c r="CD52" s="166">
        <v>0</v>
      </c>
      <c r="CE52" s="166">
        <v>0</v>
      </c>
      <c r="CF52" s="166">
        <v>0</v>
      </c>
      <c r="CG52" s="166">
        <v>-470790</v>
      </c>
      <c r="CH52" s="166">
        <v>0</v>
      </c>
      <c r="CI52" s="166">
        <v>470790</v>
      </c>
      <c r="CJ52" s="166">
        <v>0</v>
      </c>
      <c r="CK52" s="167">
        <v>0</v>
      </c>
      <c r="CL52" s="167">
        <v>0</v>
      </c>
    </row>
    <row r="53" spans="1:90" outlineLevel="3" x14ac:dyDescent="0.3">
      <c r="A53" s="137" t="s">
        <v>389</v>
      </c>
      <c r="B53" s="137" t="s">
        <v>384</v>
      </c>
      <c r="C53" s="137" t="s">
        <v>378</v>
      </c>
      <c r="D53" s="137" t="s">
        <v>379</v>
      </c>
      <c r="E53" s="137" t="s">
        <v>208</v>
      </c>
      <c r="F53" s="137" t="s">
        <v>196</v>
      </c>
      <c r="G53" s="137" t="s">
        <v>385</v>
      </c>
      <c r="H53" s="137" t="s">
        <v>316</v>
      </c>
      <c r="I53" s="163" t="s">
        <v>357</v>
      </c>
      <c r="J53" s="165">
        <v>1</v>
      </c>
      <c r="K53" s="165">
        <v>1</v>
      </c>
      <c r="L53" s="167">
        <v>0</v>
      </c>
      <c r="M53" s="167">
        <v>0</v>
      </c>
      <c r="N53" s="167">
        <v>0</v>
      </c>
      <c r="O53" s="166">
        <v>7121810</v>
      </c>
      <c r="P53" s="167">
        <v>7121810</v>
      </c>
      <c r="Q53" s="167">
        <v>0</v>
      </c>
      <c r="R53" s="169" t="s">
        <v>393</v>
      </c>
      <c r="S53" s="279">
        <v>0.5</v>
      </c>
      <c r="T53" s="169">
        <v>0</v>
      </c>
      <c r="U53" s="245">
        <v>7121810</v>
      </c>
      <c r="V53" s="166" t="s">
        <v>319</v>
      </c>
      <c r="W53" s="166">
        <v>0</v>
      </c>
      <c r="X53" s="166">
        <v>0</v>
      </c>
      <c r="Y53" s="166">
        <v>0</v>
      </c>
      <c r="Z53" s="166">
        <v>0</v>
      </c>
      <c r="AA53" s="166">
        <v>0</v>
      </c>
      <c r="AB53" s="166">
        <v>0</v>
      </c>
      <c r="AC53" s="245">
        <v>7121810</v>
      </c>
      <c r="AD53" s="166">
        <v>0</v>
      </c>
      <c r="AE53" s="166">
        <v>0</v>
      </c>
      <c r="AF53" s="166">
        <v>0</v>
      </c>
      <c r="AG53" s="166">
        <v>0</v>
      </c>
      <c r="AH53" s="246">
        <v>0</v>
      </c>
      <c r="AI53" s="166">
        <v>0</v>
      </c>
      <c r="AJ53" s="166">
        <v>0</v>
      </c>
      <c r="AK53" s="247">
        <v>0</v>
      </c>
      <c r="AL53" s="170">
        <v>0</v>
      </c>
      <c r="AM53" s="166">
        <v>7121810</v>
      </c>
      <c r="AN53" s="167">
        <v>0</v>
      </c>
      <c r="AO53" s="170">
        <v>0</v>
      </c>
      <c r="AP53" s="166">
        <v>7121810</v>
      </c>
      <c r="AQ53" s="171">
        <v>1</v>
      </c>
      <c r="AR53" s="166">
        <v>0</v>
      </c>
      <c r="AS53" s="166">
        <v>7121810</v>
      </c>
      <c r="AT53" s="166">
        <v>0</v>
      </c>
      <c r="AU53" s="166">
        <v>0</v>
      </c>
      <c r="AV53" s="166">
        <v>0</v>
      </c>
      <c r="AW53" s="166">
        <v>0</v>
      </c>
      <c r="AX53" s="166">
        <v>0</v>
      </c>
      <c r="AY53" s="166">
        <v>0</v>
      </c>
      <c r="AZ53" s="166">
        <v>0</v>
      </c>
      <c r="BA53" s="166">
        <v>0</v>
      </c>
      <c r="BB53" s="166" t="s">
        <v>196</v>
      </c>
      <c r="BC53" s="166" t="s">
        <v>196</v>
      </c>
      <c r="BD53" s="166">
        <v>0</v>
      </c>
      <c r="BE53" s="166">
        <v>0</v>
      </c>
      <c r="BF53" s="166">
        <v>0</v>
      </c>
      <c r="BG53" s="166">
        <v>0</v>
      </c>
      <c r="BH53" s="166">
        <v>0</v>
      </c>
      <c r="BI53" s="166">
        <v>0</v>
      </c>
      <c r="BJ53" s="166">
        <v>0</v>
      </c>
      <c r="BK53" s="166">
        <v>0</v>
      </c>
      <c r="BL53" s="166">
        <v>7121810</v>
      </c>
      <c r="BM53" s="166" t="s">
        <v>320</v>
      </c>
      <c r="BN53" s="166">
        <v>0</v>
      </c>
      <c r="BO53" s="166" t="b">
        <v>0</v>
      </c>
      <c r="BP53" s="166">
        <v>0</v>
      </c>
      <c r="BQ53" s="168">
        <v>0</v>
      </c>
      <c r="BR53" s="167">
        <v>0</v>
      </c>
      <c r="BS53" s="173">
        <v>81</v>
      </c>
      <c r="BT53" s="167">
        <v>0</v>
      </c>
      <c r="BU53" s="231">
        <v>0</v>
      </c>
      <c r="BV53" s="167">
        <v>171</v>
      </c>
      <c r="BW53" s="174">
        <v>0</v>
      </c>
      <c r="BX53" s="174">
        <v>0</v>
      </c>
      <c r="BY53" s="166">
        <v>0</v>
      </c>
      <c r="BZ53" s="166">
        <v>0</v>
      </c>
      <c r="CA53" s="166">
        <v>0</v>
      </c>
      <c r="CB53" s="166">
        <v>0</v>
      </c>
      <c r="CC53" s="166">
        <v>0</v>
      </c>
      <c r="CD53" s="166">
        <v>0</v>
      </c>
      <c r="CE53" s="166">
        <v>0</v>
      </c>
      <c r="CF53" s="166">
        <v>0</v>
      </c>
      <c r="CG53" s="166">
        <v>0</v>
      </c>
      <c r="CH53" s="166">
        <v>0</v>
      </c>
      <c r="CI53" s="166">
        <v>0</v>
      </c>
      <c r="CJ53" s="166">
        <v>0</v>
      </c>
      <c r="CK53" s="167">
        <v>0</v>
      </c>
      <c r="CL53" s="167">
        <v>0</v>
      </c>
    </row>
    <row r="54" spans="1:90" s="189" customFormat="1" ht="20.100000000000001" customHeight="1" outlineLevel="2" x14ac:dyDescent="0.3">
      <c r="A54" s="176" t="s">
        <v>394</v>
      </c>
      <c r="B54" s="176"/>
      <c r="C54" s="176"/>
      <c r="D54" s="176"/>
      <c r="E54" s="176"/>
      <c r="F54" s="176"/>
      <c r="G54" s="176"/>
      <c r="H54" s="176"/>
      <c r="I54" s="177"/>
      <c r="J54" s="179"/>
      <c r="K54" s="179"/>
      <c r="L54" s="181"/>
      <c r="M54" s="181"/>
      <c r="N54" s="181"/>
      <c r="O54" s="180"/>
      <c r="P54" s="181"/>
      <c r="Q54" s="181"/>
      <c r="R54" s="183">
        <v>0</v>
      </c>
      <c r="S54" s="280">
        <v>3.5</v>
      </c>
      <c r="T54" s="183">
        <v>0</v>
      </c>
      <c r="U54" s="248">
        <v>7121810</v>
      </c>
      <c r="V54" s="180"/>
      <c r="W54" s="180">
        <v>0</v>
      </c>
      <c r="X54" s="180">
        <v>0</v>
      </c>
      <c r="Y54" s="180">
        <v>0</v>
      </c>
      <c r="Z54" s="180">
        <v>0</v>
      </c>
      <c r="AA54" s="180">
        <v>0</v>
      </c>
      <c r="AB54" s="180">
        <v>0</v>
      </c>
      <c r="AC54" s="248">
        <v>7121810</v>
      </c>
      <c r="AD54" s="180">
        <v>0</v>
      </c>
      <c r="AE54" s="180">
        <v>0</v>
      </c>
      <c r="AF54" s="180">
        <v>0</v>
      </c>
      <c r="AG54" s="180">
        <v>0</v>
      </c>
      <c r="AH54" s="249">
        <v>-1065662.43</v>
      </c>
      <c r="AI54" s="180">
        <v>0</v>
      </c>
      <c r="AJ54" s="180">
        <v>1065662.43</v>
      </c>
      <c r="AK54" s="250">
        <v>0</v>
      </c>
      <c r="AL54" s="184"/>
      <c r="AM54" s="180">
        <v>9187472.4299999997</v>
      </c>
      <c r="AN54" s="181"/>
      <c r="AO54" s="184"/>
      <c r="AP54" s="180">
        <v>7121810</v>
      </c>
      <c r="AQ54" s="185"/>
      <c r="AR54" s="180"/>
      <c r="AS54" s="180"/>
      <c r="AT54" s="180">
        <v>0</v>
      </c>
      <c r="AU54" s="180">
        <v>0</v>
      </c>
      <c r="AV54" s="180">
        <v>0</v>
      </c>
      <c r="AW54" s="180">
        <v>0</v>
      </c>
      <c r="AX54" s="180">
        <v>-1065662.43</v>
      </c>
      <c r="AY54" s="180">
        <v>0</v>
      </c>
      <c r="AZ54" s="180">
        <v>1065662.43</v>
      </c>
      <c r="BA54" s="180">
        <v>0</v>
      </c>
      <c r="BB54" s="180"/>
      <c r="BC54" s="180"/>
      <c r="BD54" s="180"/>
      <c r="BE54" s="180"/>
      <c r="BF54" s="180"/>
      <c r="BG54" s="180"/>
      <c r="BH54" s="180"/>
      <c r="BI54" s="180"/>
      <c r="BJ54" s="180"/>
      <c r="BK54" s="180"/>
      <c r="BL54" s="180"/>
      <c r="BM54" s="180"/>
      <c r="BN54" s="180"/>
      <c r="BO54" s="180"/>
      <c r="BP54" s="180"/>
      <c r="BQ54" s="182"/>
      <c r="BR54" s="181"/>
      <c r="BS54" s="187"/>
      <c r="BT54" s="181"/>
      <c r="BU54" s="224"/>
      <c r="BV54" s="181"/>
      <c r="BW54" s="188"/>
      <c r="BX54" s="188"/>
      <c r="BY54" s="180"/>
      <c r="BZ54" s="180"/>
      <c r="CA54" s="180">
        <v>-1000000</v>
      </c>
      <c r="CB54" s="180"/>
      <c r="CC54" s="180"/>
      <c r="CD54" s="180"/>
      <c r="CE54" s="180"/>
      <c r="CF54" s="180"/>
      <c r="CG54" s="180"/>
      <c r="CH54" s="180"/>
      <c r="CI54" s="180"/>
      <c r="CJ54" s="180"/>
      <c r="CK54" s="181"/>
      <c r="CL54" s="181"/>
    </row>
    <row r="55" spans="1:90" outlineLevel="3" x14ac:dyDescent="0.3">
      <c r="A55" s="137" t="s">
        <v>395</v>
      </c>
      <c r="B55" s="137" t="s">
        <v>384</v>
      </c>
      <c r="C55" s="137" t="s">
        <v>378</v>
      </c>
      <c r="D55" s="137" t="s">
        <v>379</v>
      </c>
      <c r="E55" s="137" t="s">
        <v>209</v>
      </c>
      <c r="F55" s="137" t="s">
        <v>396</v>
      </c>
      <c r="G55" s="137" t="s">
        <v>385</v>
      </c>
      <c r="H55" s="137" t="s">
        <v>349</v>
      </c>
      <c r="I55" s="163" t="s">
        <v>349</v>
      </c>
      <c r="J55" s="164">
        <v>1</v>
      </c>
      <c r="K55" s="165">
        <v>1</v>
      </c>
      <c r="L55" s="167">
        <v>0</v>
      </c>
      <c r="M55" s="167">
        <v>0</v>
      </c>
      <c r="N55" s="167">
        <v>1</v>
      </c>
      <c r="O55" s="166">
        <v>0</v>
      </c>
      <c r="P55" s="167">
        <v>0</v>
      </c>
      <c r="Q55" s="167">
        <v>0</v>
      </c>
      <c r="R55" s="169" t="s">
        <v>397</v>
      </c>
      <c r="S55" s="279">
        <v>1</v>
      </c>
      <c r="T55" s="169">
        <v>0</v>
      </c>
      <c r="U55" s="245">
        <v>0</v>
      </c>
      <c r="V55" s="166" t="s">
        <v>319</v>
      </c>
      <c r="W55" s="166">
        <v>0</v>
      </c>
      <c r="X55" s="166">
        <v>0</v>
      </c>
      <c r="Y55" s="166">
        <v>0</v>
      </c>
      <c r="Z55" s="166">
        <v>0</v>
      </c>
      <c r="AA55" s="166">
        <v>0</v>
      </c>
      <c r="AB55" s="166">
        <v>0</v>
      </c>
      <c r="AC55" s="245">
        <v>0</v>
      </c>
      <c r="AD55" s="166">
        <v>0</v>
      </c>
      <c r="AE55" s="166">
        <v>0</v>
      </c>
      <c r="AF55" s="166">
        <v>0</v>
      </c>
      <c r="AG55" s="166">
        <v>0</v>
      </c>
      <c r="AH55" s="246">
        <v>-3486752</v>
      </c>
      <c r="AI55" s="166">
        <v>0</v>
      </c>
      <c r="AJ55" s="166">
        <v>3486752</v>
      </c>
      <c r="AK55" s="247">
        <v>0</v>
      </c>
      <c r="AL55" s="170">
        <v>0</v>
      </c>
      <c r="AM55" s="166">
        <v>3486752</v>
      </c>
      <c r="AN55" s="170">
        <v>0</v>
      </c>
      <c r="AO55" s="170">
        <v>0</v>
      </c>
      <c r="AP55" s="166">
        <v>0</v>
      </c>
      <c r="AQ55" s="171">
        <v>1</v>
      </c>
      <c r="AR55" s="166">
        <v>0</v>
      </c>
      <c r="AS55" s="166">
        <v>0</v>
      </c>
      <c r="AT55" s="166">
        <v>0</v>
      </c>
      <c r="AU55" s="166">
        <v>0</v>
      </c>
      <c r="AV55" s="166">
        <v>0</v>
      </c>
      <c r="AW55" s="166">
        <v>0</v>
      </c>
      <c r="AX55" s="166">
        <v>-3486752</v>
      </c>
      <c r="AY55" s="166">
        <v>0</v>
      </c>
      <c r="AZ55" s="166">
        <v>3486752</v>
      </c>
      <c r="BA55" s="166">
        <v>0</v>
      </c>
      <c r="BB55" s="166" t="s">
        <v>196</v>
      </c>
      <c r="BC55" s="166" t="s">
        <v>196</v>
      </c>
      <c r="BD55" s="166">
        <v>0</v>
      </c>
      <c r="BE55" s="166">
        <v>0</v>
      </c>
      <c r="BF55" s="166">
        <v>0</v>
      </c>
      <c r="BG55" s="166">
        <v>0</v>
      </c>
      <c r="BH55" s="166">
        <v>-3486752</v>
      </c>
      <c r="BI55" s="166">
        <v>0</v>
      </c>
      <c r="BJ55" s="166">
        <v>3486752</v>
      </c>
      <c r="BK55" s="166">
        <v>0</v>
      </c>
      <c r="BL55" s="166">
        <v>0</v>
      </c>
      <c r="BM55" s="166" t="s">
        <v>320</v>
      </c>
      <c r="BN55" s="166">
        <v>0</v>
      </c>
      <c r="BO55" s="166" t="b">
        <v>0</v>
      </c>
      <c r="BP55" s="166">
        <v>3486752</v>
      </c>
      <c r="BQ55" s="167">
        <v>0</v>
      </c>
      <c r="BR55" s="167">
        <v>0</v>
      </c>
      <c r="BS55" s="173">
        <v>74</v>
      </c>
      <c r="BT55" s="167">
        <v>0</v>
      </c>
      <c r="BU55" s="231">
        <v>0</v>
      </c>
      <c r="BV55" s="167">
        <v>82</v>
      </c>
      <c r="BW55" s="174">
        <v>0</v>
      </c>
      <c r="BX55" s="174">
        <v>0</v>
      </c>
      <c r="BY55" s="166">
        <v>0</v>
      </c>
      <c r="BZ55" s="166">
        <v>0</v>
      </c>
      <c r="CA55" s="166">
        <v>0</v>
      </c>
      <c r="CB55" s="166">
        <v>0</v>
      </c>
      <c r="CC55" s="166">
        <v>0</v>
      </c>
      <c r="CD55" s="166">
        <v>0</v>
      </c>
      <c r="CE55" s="166">
        <v>0</v>
      </c>
      <c r="CF55" s="166">
        <v>0</v>
      </c>
      <c r="CG55" s="166">
        <v>-3486752</v>
      </c>
      <c r="CH55" s="166">
        <v>0</v>
      </c>
      <c r="CI55" s="166">
        <v>3486752</v>
      </c>
      <c r="CJ55" s="166">
        <v>0</v>
      </c>
      <c r="CK55" s="167">
        <v>0</v>
      </c>
      <c r="CL55" s="167">
        <v>0</v>
      </c>
    </row>
    <row r="56" spans="1:90" s="189" customFormat="1" ht="20.100000000000001" customHeight="1" outlineLevel="2" x14ac:dyDescent="0.3">
      <c r="A56" s="176" t="s">
        <v>398</v>
      </c>
      <c r="B56" s="176"/>
      <c r="C56" s="176"/>
      <c r="D56" s="176"/>
      <c r="E56" s="176"/>
      <c r="F56" s="176"/>
      <c r="G56" s="176"/>
      <c r="H56" s="176"/>
      <c r="I56" s="177"/>
      <c r="J56" s="178"/>
      <c r="K56" s="179"/>
      <c r="L56" s="181"/>
      <c r="M56" s="181"/>
      <c r="N56" s="181"/>
      <c r="O56" s="180"/>
      <c r="P56" s="181"/>
      <c r="Q56" s="181"/>
      <c r="R56" s="183">
        <v>0</v>
      </c>
      <c r="S56" s="280">
        <v>1</v>
      </c>
      <c r="T56" s="183">
        <v>0</v>
      </c>
      <c r="U56" s="248">
        <v>0</v>
      </c>
      <c r="V56" s="180"/>
      <c r="W56" s="180">
        <v>0</v>
      </c>
      <c r="X56" s="180">
        <v>0</v>
      </c>
      <c r="Y56" s="180">
        <v>0</v>
      </c>
      <c r="Z56" s="180">
        <v>0</v>
      </c>
      <c r="AA56" s="180">
        <v>0</v>
      </c>
      <c r="AB56" s="180">
        <v>0</v>
      </c>
      <c r="AC56" s="248">
        <v>0</v>
      </c>
      <c r="AD56" s="180">
        <v>0</v>
      </c>
      <c r="AE56" s="180">
        <v>0</v>
      </c>
      <c r="AF56" s="180">
        <v>0</v>
      </c>
      <c r="AG56" s="180">
        <v>0</v>
      </c>
      <c r="AH56" s="249">
        <v>-3486752</v>
      </c>
      <c r="AI56" s="180">
        <v>0</v>
      </c>
      <c r="AJ56" s="180">
        <v>3486752</v>
      </c>
      <c r="AK56" s="250">
        <v>0</v>
      </c>
      <c r="AL56" s="184"/>
      <c r="AM56" s="180">
        <v>3486752</v>
      </c>
      <c r="AN56" s="184"/>
      <c r="AO56" s="184"/>
      <c r="AP56" s="180">
        <v>0</v>
      </c>
      <c r="AQ56" s="185"/>
      <c r="AR56" s="180"/>
      <c r="AS56" s="180"/>
      <c r="AT56" s="180">
        <v>0</v>
      </c>
      <c r="AU56" s="180">
        <v>0</v>
      </c>
      <c r="AV56" s="180">
        <v>0</v>
      </c>
      <c r="AW56" s="180">
        <v>0</v>
      </c>
      <c r="AX56" s="180">
        <v>-3486752</v>
      </c>
      <c r="AY56" s="180">
        <v>0</v>
      </c>
      <c r="AZ56" s="180">
        <v>3486752</v>
      </c>
      <c r="BA56" s="180">
        <v>0</v>
      </c>
      <c r="BB56" s="180"/>
      <c r="BC56" s="180"/>
      <c r="BD56" s="180"/>
      <c r="BE56" s="180"/>
      <c r="BF56" s="180"/>
      <c r="BG56" s="180"/>
      <c r="BH56" s="180"/>
      <c r="BI56" s="180"/>
      <c r="BJ56" s="180"/>
      <c r="BK56" s="180"/>
      <c r="BL56" s="180"/>
      <c r="BM56" s="180"/>
      <c r="BN56" s="180"/>
      <c r="BO56" s="180"/>
      <c r="BP56" s="180"/>
      <c r="BQ56" s="181"/>
      <c r="BR56" s="181"/>
      <c r="BS56" s="187"/>
      <c r="BT56" s="181"/>
      <c r="BU56" s="224"/>
      <c r="BV56" s="181"/>
      <c r="BW56" s="188"/>
      <c r="BX56" s="188"/>
      <c r="BY56" s="180"/>
      <c r="BZ56" s="180"/>
      <c r="CA56" s="180">
        <v>0</v>
      </c>
      <c r="CB56" s="180"/>
      <c r="CC56" s="180"/>
      <c r="CD56" s="180"/>
      <c r="CE56" s="180"/>
      <c r="CF56" s="180"/>
      <c r="CG56" s="180"/>
      <c r="CH56" s="180"/>
      <c r="CI56" s="180"/>
      <c r="CJ56" s="180"/>
      <c r="CK56" s="181"/>
      <c r="CL56" s="181"/>
    </row>
    <row r="57" spans="1:90" outlineLevel="3" x14ac:dyDescent="0.3">
      <c r="A57" s="137" t="s">
        <v>399</v>
      </c>
      <c r="B57" s="137" t="s">
        <v>384</v>
      </c>
      <c r="C57" s="137" t="s">
        <v>378</v>
      </c>
      <c r="D57" s="137" t="s">
        <v>379</v>
      </c>
      <c r="E57" s="137" t="s">
        <v>210</v>
      </c>
      <c r="F57" s="137" t="s">
        <v>400</v>
      </c>
      <c r="G57" s="137" t="s">
        <v>385</v>
      </c>
      <c r="H57" s="137" t="s">
        <v>349</v>
      </c>
      <c r="I57" s="163" t="s">
        <v>349</v>
      </c>
      <c r="J57" s="165">
        <v>156250</v>
      </c>
      <c r="K57" s="165">
        <v>156250</v>
      </c>
      <c r="L57" s="167">
        <v>1.5986105810147946E-2</v>
      </c>
      <c r="M57" s="167">
        <v>0</v>
      </c>
      <c r="N57" s="167">
        <v>0.94680374949205237</v>
      </c>
      <c r="O57" s="166">
        <v>5.5439673718800018</v>
      </c>
      <c r="P57" s="167">
        <v>5.7071178057666909</v>
      </c>
      <c r="Q57" s="167">
        <v>-0.16315043388668915</v>
      </c>
      <c r="R57" s="169" t="s">
        <v>401</v>
      </c>
      <c r="S57" s="279">
        <v>1</v>
      </c>
      <c r="T57" s="169">
        <v>0</v>
      </c>
      <c r="U57" s="245">
        <v>866244.90185625025</v>
      </c>
      <c r="V57" s="166" t="s">
        <v>319</v>
      </c>
      <c r="W57" s="166">
        <v>0</v>
      </c>
      <c r="X57" s="166">
        <v>0</v>
      </c>
      <c r="Y57" s="166">
        <v>0</v>
      </c>
      <c r="Z57" s="166">
        <v>0</v>
      </c>
      <c r="AA57" s="166">
        <v>0</v>
      </c>
      <c r="AB57" s="166">
        <v>0</v>
      </c>
      <c r="AC57" s="245">
        <v>891737.15715104551</v>
      </c>
      <c r="AD57" s="166">
        <v>-25492.255294795264</v>
      </c>
      <c r="AE57" s="166">
        <v>0</v>
      </c>
      <c r="AF57" s="166">
        <v>25492.255294795264</v>
      </c>
      <c r="AG57" s="166">
        <v>0</v>
      </c>
      <c r="AH57" s="246">
        <v>-78444.505525612622</v>
      </c>
      <c r="AI57" s="166">
        <v>0</v>
      </c>
      <c r="AJ57" s="166">
        <v>78444.505525612622</v>
      </c>
      <c r="AK57" s="247">
        <v>0</v>
      </c>
      <c r="AL57" s="170">
        <v>0</v>
      </c>
      <c r="AM57" s="166">
        <v>944689.40738186287</v>
      </c>
      <c r="AN57" s="170">
        <v>0</v>
      </c>
      <c r="AO57" s="170">
        <v>21582.803986845251</v>
      </c>
      <c r="AP57" s="166">
        <v>1711868.3881841477</v>
      </c>
      <c r="AQ57" s="171">
        <v>1</v>
      </c>
      <c r="AR57" s="166">
        <v>1278277.523117932</v>
      </c>
      <c r="AS57" s="166">
        <v>8.640625</v>
      </c>
      <c r="AT57" s="166">
        <v>-100239.8605152634</v>
      </c>
      <c r="AU57" s="166">
        <v>0</v>
      </c>
      <c r="AV57" s="166">
        <v>100239.8605152634</v>
      </c>
      <c r="AW57" s="166">
        <v>0</v>
      </c>
      <c r="AX57" s="166">
        <v>-78444.505525612622</v>
      </c>
      <c r="AY57" s="166">
        <v>0</v>
      </c>
      <c r="AZ57" s="166">
        <v>78444.505525612622</v>
      </c>
      <c r="BA57" s="166">
        <v>0</v>
      </c>
      <c r="BB57" s="166">
        <v>8.640625</v>
      </c>
      <c r="BC57" s="166">
        <v>8.8125</v>
      </c>
      <c r="BD57" s="166">
        <v>-74747.605220468133</v>
      </c>
      <c r="BE57" s="166">
        <v>0</v>
      </c>
      <c r="BF57" s="166">
        <v>74747.605220468133</v>
      </c>
      <c r="BG57" s="166">
        <v>0</v>
      </c>
      <c r="BH57" s="166">
        <v>-52952.250230817357</v>
      </c>
      <c r="BI57" s="166">
        <v>0</v>
      </c>
      <c r="BJ57" s="166">
        <v>52952.250230817357</v>
      </c>
      <c r="BK57" s="166">
        <v>0</v>
      </c>
      <c r="BL57" s="166">
        <v>1711868.3881841477</v>
      </c>
      <c r="BM57" s="166" t="s">
        <v>323</v>
      </c>
      <c r="BN57" s="166">
        <v>0</v>
      </c>
      <c r="BO57" s="166" t="b">
        <v>0</v>
      </c>
      <c r="BP57" s="166">
        <v>52952.250230817357</v>
      </c>
      <c r="BQ57" s="167">
        <v>0</v>
      </c>
      <c r="BR57" s="167">
        <v>0</v>
      </c>
      <c r="BS57" s="173">
        <v>75</v>
      </c>
      <c r="BT57" s="167">
        <v>0</v>
      </c>
      <c r="BU57" s="231">
        <v>147938.08585813318</v>
      </c>
      <c r="BV57" s="167">
        <v>85</v>
      </c>
      <c r="BW57" s="174">
        <v>8.640625</v>
      </c>
      <c r="BX57" s="174">
        <v>8.640625</v>
      </c>
      <c r="BY57" s="166">
        <v>0</v>
      </c>
      <c r="BZ57" s="166">
        <v>0</v>
      </c>
      <c r="CA57" s="166">
        <v>0</v>
      </c>
      <c r="CB57" s="166">
        <v>0</v>
      </c>
      <c r="CC57" s="166">
        <v>0</v>
      </c>
      <c r="CD57" s="166">
        <v>0</v>
      </c>
      <c r="CE57" s="166">
        <v>0</v>
      </c>
      <c r="CF57" s="166">
        <v>0</v>
      </c>
      <c r="CG57" s="166">
        <v>-52952.250230817357</v>
      </c>
      <c r="CH57" s="166">
        <v>0</v>
      </c>
      <c r="CI57" s="166">
        <v>52952.250230817357</v>
      </c>
      <c r="CJ57" s="166">
        <v>0</v>
      </c>
      <c r="CK57" s="167">
        <v>0</v>
      </c>
      <c r="CL57" s="167">
        <v>0</v>
      </c>
    </row>
    <row r="58" spans="1:90" outlineLevel="3" x14ac:dyDescent="0.3">
      <c r="A58" s="137" t="s">
        <v>399</v>
      </c>
      <c r="B58" s="137" t="s">
        <v>384</v>
      </c>
      <c r="C58" s="137" t="s">
        <v>378</v>
      </c>
      <c r="D58" s="137" t="s">
        <v>379</v>
      </c>
      <c r="E58" s="137" t="s">
        <v>211</v>
      </c>
      <c r="F58" s="137" t="s">
        <v>347</v>
      </c>
      <c r="G58" s="137" t="s">
        <v>385</v>
      </c>
      <c r="H58" s="137" t="s">
        <v>349</v>
      </c>
      <c r="I58" s="163" t="s">
        <v>349</v>
      </c>
      <c r="J58" s="165">
        <v>78000</v>
      </c>
      <c r="K58" s="165">
        <v>78000</v>
      </c>
      <c r="L58" s="167">
        <v>3.1755692880248411E-2</v>
      </c>
      <c r="M58" s="167">
        <v>0.5</v>
      </c>
      <c r="N58" s="167">
        <v>0.41953279372047475</v>
      </c>
      <c r="O58" s="166">
        <v>2.6458290838380072</v>
      </c>
      <c r="P58" s="167">
        <v>2.65255223406644</v>
      </c>
      <c r="Q58" s="167">
        <v>-6.7231502284328393E-3</v>
      </c>
      <c r="R58" s="169" t="s">
        <v>402</v>
      </c>
      <c r="S58" s="279">
        <v>0</v>
      </c>
      <c r="T58" s="169">
        <v>0</v>
      </c>
      <c r="U58" s="245">
        <v>206374.66853936456</v>
      </c>
      <c r="V58" s="166" t="s">
        <v>319</v>
      </c>
      <c r="W58" s="166">
        <v>292722.45161855937</v>
      </c>
      <c r="X58" s="166">
        <v>0</v>
      </c>
      <c r="Y58" s="166">
        <v>292722.45161855937</v>
      </c>
      <c r="Z58" s="166">
        <v>0</v>
      </c>
      <c r="AA58" s="166">
        <v>0</v>
      </c>
      <c r="AB58" s="166">
        <v>0</v>
      </c>
      <c r="AC58" s="245">
        <v>206899.07425718234</v>
      </c>
      <c r="AD58" s="166">
        <v>-524.40571781777544</v>
      </c>
      <c r="AE58" s="166">
        <v>0</v>
      </c>
      <c r="AF58" s="166">
        <v>524.40571781777544</v>
      </c>
      <c r="AG58" s="166">
        <v>0</v>
      </c>
      <c r="AH58" s="246">
        <v>-5390.1945382975391</v>
      </c>
      <c r="AI58" s="166">
        <v>0</v>
      </c>
      <c r="AJ58" s="166">
        <v>5390.1945382975391</v>
      </c>
      <c r="AK58" s="247">
        <v>0</v>
      </c>
      <c r="AL58" s="170">
        <v>0</v>
      </c>
      <c r="AM58" s="166">
        <v>211764.8630776621</v>
      </c>
      <c r="AN58" s="170">
        <v>0</v>
      </c>
      <c r="AO58" s="170">
        <v>44314.077048984152</v>
      </c>
      <c r="AP58" s="166">
        <v>140980.7076861134</v>
      </c>
      <c r="AQ58" s="171">
        <v>1</v>
      </c>
      <c r="AR58" s="166">
        <v>585444.90323711873</v>
      </c>
      <c r="AS58" s="166">
        <v>17.890625</v>
      </c>
      <c r="AT58" s="166">
        <v>33730.743635253806</v>
      </c>
      <c r="AU58" s="166">
        <v>0</v>
      </c>
      <c r="AV58" s="166">
        <v>-33730.743635253806</v>
      </c>
      <c r="AW58" s="166">
        <v>0</v>
      </c>
      <c r="AX58" s="166">
        <v>-5390.1945382975391</v>
      </c>
      <c r="AY58" s="166">
        <v>0</v>
      </c>
      <c r="AZ58" s="166">
        <v>5390.1945382975391</v>
      </c>
      <c r="BA58" s="166">
        <v>0</v>
      </c>
      <c r="BB58" s="166">
        <v>18.3125</v>
      </c>
      <c r="BC58" s="166">
        <v>17.890625</v>
      </c>
      <c r="BD58" s="166">
        <v>34255.149353071582</v>
      </c>
      <c r="BE58" s="166">
        <v>0</v>
      </c>
      <c r="BF58" s="166">
        <v>-34255.149353071582</v>
      </c>
      <c r="BG58" s="166">
        <v>0</v>
      </c>
      <c r="BH58" s="166">
        <v>-4865.7888204797637</v>
      </c>
      <c r="BI58" s="166">
        <v>0</v>
      </c>
      <c r="BJ58" s="166">
        <v>4865.7888204797637</v>
      </c>
      <c r="BK58" s="166">
        <v>0</v>
      </c>
      <c r="BL58" s="166">
        <v>140980.7076861134</v>
      </c>
      <c r="BM58" s="166" t="s">
        <v>323</v>
      </c>
      <c r="BN58" s="166">
        <v>0</v>
      </c>
      <c r="BO58" s="166" t="b">
        <v>0</v>
      </c>
      <c r="BP58" s="166">
        <v>4865.7888204797637</v>
      </c>
      <c r="BQ58" s="167">
        <v>0</v>
      </c>
      <c r="BR58" s="167">
        <v>0</v>
      </c>
      <c r="BS58" s="173">
        <v>75</v>
      </c>
      <c r="BT58" s="167">
        <v>0</v>
      </c>
      <c r="BU58" s="231">
        <v>32723.557910197029</v>
      </c>
      <c r="BV58" s="167">
        <v>88</v>
      </c>
      <c r="BW58" s="174">
        <v>18.3125</v>
      </c>
      <c r="BX58" s="174">
        <v>18.3125</v>
      </c>
      <c r="BY58" s="166">
        <v>0</v>
      </c>
      <c r="BZ58" s="166">
        <v>0</v>
      </c>
      <c r="CA58" s="166">
        <v>0</v>
      </c>
      <c r="CB58" s="166">
        <v>0</v>
      </c>
      <c r="CC58" s="166">
        <v>0</v>
      </c>
      <c r="CD58" s="166">
        <v>0</v>
      </c>
      <c r="CE58" s="166">
        <v>0</v>
      </c>
      <c r="CF58" s="166">
        <v>0</v>
      </c>
      <c r="CG58" s="166">
        <v>-4865.7888204797637</v>
      </c>
      <c r="CH58" s="166">
        <v>0</v>
      </c>
      <c r="CI58" s="166">
        <v>4865.7888204797637</v>
      </c>
      <c r="CJ58" s="166">
        <v>0</v>
      </c>
      <c r="CK58" s="167">
        <v>0.5</v>
      </c>
      <c r="CL58" s="167">
        <v>0</v>
      </c>
    </row>
    <row r="59" spans="1:90" s="189" customFormat="1" ht="20.100000000000001" customHeight="1" outlineLevel="2" x14ac:dyDescent="0.3">
      <c r="A59" s="176" t="s">
        <v>403</v>
      </c>
      <c r="B59" s="176"/>
      <c r="C59" s="176"/>
      <c r="D59" s="176"/>
      <c r="E59" s="176"/>
      <c r="F59" s="176"/>
      <c r="G59" s="176"/>
      <c r="H59" s="176"/>
      <c r="I59" s="177"/>
      <c r="J59" s="179"/>
      <c r="K59" s="179"/>
      <c r="L59" s="181"/>
      <c r="M59" s="181"/>
      <c r="N59" s="181"/>
      <c r="O59" s="180"/>
      <c r="P59" s="181"/>
      <c r="Q59" s="181"/>
      <c r="R59" s="183">
        <v>0</v>
      </c>
      <c r="S59" s="280">
        <v>1</v>
      </c>
      <c r="T59" s="183">
        <v>0</v>
      </c>
      <c r="U59" s="248">
        <v>1072619.5703956147</v>
      </c>
      <c r="V59" s="180"/>
      <c r="W59" s="180">
        <v>292722.45161855937</v>
      </c>
      <c r="X59" s="180">
        <v>0</v>
      </c>
      <c r="Y59" s="180">
        <v>292722.45161855937</v>
      </c>
      <c r="Z59" s="180">
        <v>0</v>
      </c>
      <c r="AA59" s="180">
        <v>0</v>
      </c>
      <c r="AB59" s="180">
        <v>0</v>
      </c>
      <c r="AC59" s="248">
        <v>1098636.2314082279</v>
      </c>
      <c r="AD59" s="180">
        <v>-26016.66101261304</v>
      </c>
      <c r="AE59" s="180">
        <v>0</v>
      </c>
      <c r="AF59" s="180">
        <v>26016.66101261304</v>
      </c>
      <c r="AG59" s="180">
        <v>0</v>
      </c>
      <c r="AH59" s="249">
        <v>-83834.700063910161</v>
      </c>
      <c r="AI59" s="180">
        <v>0</v>
      </c>
      <c r="AJ59" s="180">
        <v>83834.700063910161</v>
      </c>
      <c r="AK59" s="250">
        <v>0</v>
      </c>
      <c r="AL59" s="184"/>
      <c r="AM59" s="180">
        <v>1156454.2704595251</v>
      </c>
      <c r="AN59" s="184"/>
      <c r="AO59" s="184"/>
      <c r="AP59" s="180">
        <v>1852849.0958702611</v>
      </c>
      <c r="AQ59" s="185"/>
      <c r="AR59" s="180"/>
      <c r="AS59" s="180"/>
      <c r="AT59" s="180">
        <v>-66509.116880009591</v>
      </c>
      <c r="AU59" s="180">
        <v>0</v>
      </c>
      <c r="AV59" s="180">
        <v>66509.116880009591</v>
      </c>
      <c r="AW59" s="180">
        <v>0</v>
      </c>
      <c r="AX59" s="180">
        <v>-83834.700063910161</v>
      </c>
      <c r="AY59" s="180">
        <v>0</v>
      </c>
      <c r="AZ59" s="180">
        <v>83834.700063910161</v>
      </c>
      <c r="BA59" s="180">
        <v>0</v>
      </c>
      <c r="BB59" s="180"/>
      <c r="BC59" s="180"/>
      <c r="BD59" s="180"/>
      <c r="BE59" s="180"/>
      <c r="BF59" s="180"/>
      <c r="BG59" s="180"/>
      <c r="BH59" s="180"/>
      <c r="BI59" s="180"/>
      <c r="BJ59" s="180"/>
      <c r="BK59" s="180"/>
      <c r="BL59" s="180"/>
      <c r="BM59" s="180"/>
      <c r="BN59" s="180"/>
      <c r="BO59" s="180"/>
      <c r="BP59" s="180"/>
      <c r="BQ59" s="181"/>
      <c r="BR59" s="181"/>
      <c r="BS59" s="187"/>
      <c r="BT59" s="181"/>
      <c r="BU59" s="224"/>
      <c r="BV59" s="181"/>
      <c r="BW59" s="188"/>
      <c r="BX59" s="188"/>
      <c r="BY59" s="180"/>
      <c r="BZ59" s="180"/>
      <c r="CA59" s="180">
        <v>0</v>
      </c>
      <c r="CB59" s="180"/>
      <c r="CC59" s="180"/>
      <c r="CD59" s="180"/>
      <c r="CE59" s="180"/>
      <c r="CF59" s="180"/>
      <c r="CG59" s="180"/>
      <c r="CH59" s="180"/>
      <c r="CI59" s="180"/>
      <c r="CJ59" s="180"/>
      <c r="CK59" s="181"/>
      <c r="CL59" s="181"/>
    </row>
    <row r="60" spans="1:90" s="200" customFormat="1" ht="30" customHeight="1" outlineLevel="1" x14ac:dyDescent="0.3">
      <c r="A60" s="176"/>
      <c r="B60" s="176" t="s">
        <v>404</v>
      </c>
      <c r="C60" s="176"/>
      <c r="D60" s="176"/>
      <c r="E60" s="176"/>
      <c r="F60" s="176"/>
      <c r="G60" s="176"/>
      <c r="H60" s="176"/>
      <c r="I60" s="177"/>
      <c r="J60" s="190"/>
      <c r="K60" s="190"/>
      <c r="L60" s="192"/>
      <c r="M60" s="192"/>
      <c r="N60" s="192"/>
      <c r="O60" s="191"/>
      <c r="P60" s="192"/>
      <c r="Q60" s="192"/>
      <c r="R60" s="194">
        <v>0</v>
      </c>
      <c r="S60" s="281">
        <v>10.1</v>
      </c>
      <c r="T60" s="194">
        <v>0</v>
      </c>
      <c r="U60" s="251">
        <v>9527250.3453956153</v>
      </c>
      <c r="V60" s="191"/>
      <c r="W60" s="191">
        <v>292722.45161855937</v>
      </c>
      <c r="X60" s="191">
        <v>0</v>
      </c>
      <c r="Y60" s="191">
        <v>292722.45161855937</v>
      </c>
      <c r="Z60" s="191">
        <v>0</v>
      </c>
      <c r="AA60" s="191">
        <v>0</v>
      </c>
      <c r="AB60" s="191">
        <v>0</v>
      </c>
      <c r="AC60" s="251">
        <v>9552000.1814082265</v>
      </c>
      <c r="AD60" s="191">
        <v>-24749.836012612985</v>
      </c>
      <c r="AE60" s="191">
        <v>0</v>
      </c>
      <c r="AF60" s="191">
        <v>24749.836012612985</v>
      </c>
      <c r="AG60" s="191">
        <v>0</v>
      </c>
      <c r="AH60" s="252">
        <v>-38686539.40006391</v>
      </c>
      <c r="AI60" s="191">
        <v>0</v>
      </c>
      <c r="AJ60" s="191">
        <v>38686539.40006391</v>
      </c>
      <c r="AK60" s="253">
        <v>0</v>
      </c>
      <c r="AL60" s="195"/>
      <c r="AM60" s="191">
        <v>49038559.175459526</v>
      </c>
      <c r="AN60" s="195"/>
      <c r="AO60" s="195"/>
      <c r="AP60" s="191">
        <v>10626356.011870259</v>
      </c>
      <c r="AQ60" s="196"/>
      <c r="AR60" s="191"/>
      <c r="AS60" s="191"/>
      <c r="AT60" s="191">
        <v>-60808.404380009495</v>
      </c>
      <c r="AU60" s="191">
        <v>0</v>
      </c>
      <c r="AV60" s="191">
        <v>60808.404380009495</v>
      </c>
      <c r="AW60" s="191">
        <v>0</v>
      </c>
      <c r="AX60" s="191">
        <v>-38686539.40006391</v>
      </c>
      <c r="AY60" s="191">
        <v>0</v>
      </c>
      <c r="AZ60" s="191">
        <v>38686539.40006391</v>
      </c>
      <c r="BA60" s="191">
        <v>0</v>
      </c>
      <c r="BB60" s="191"/>
      <c r="BC60" s="191"/>
      <c r="BD60" s="191"/>
      <c r="BE60" s="191"/>
      <c r="BF60" s="191"/>
      <c r="BG60" s="191"/>
      <c r="BH60" s="191"/>
      <c r="BI60" s="191"/>
      <c r="BJ60" s="191"/>
      <c r="BK60" s="191"/>
      <c r="BL60" s="191"/>
      <c r="BM60" s="191"/>
      <c r="BN60" s="191"/>
      <c r="BO60" s="191"/>
      <c r="BP60" s="191"/>
      <c r="BQ60" s="192"/>
      <c r="BR60" s="192"/>
      <c r="BS60" s="198"/>
      <c r="BT60" s="192"/>
      <c r="BU60" s="225"/>
      <c r="BV60" s="192"/>
      <c r="BW60" s="199"/>
      <c r="BX60" s="199"/>
      <c r="BY60" s="191"/>
      <c r="BZ60" s="191"/>
      <c r="CA60" s="191">
        <v>-824769.43</v>
      </c>
      <c r="CB60" s="191"/>
      <c r="CC60" s="191"/>
      <c r="CD60" s="191"/>
      <c r="CE60" s="191"/>
      <c r="CF60" s="191"/>
      <c r="CG60" s="191"/>
      <c r="CH60" s="191"/>
      <c r="CI60" s="191"/>
      <c r="CJ60" s="191"/>
      <c r="CK60" s="192"/>
      <c r="CL60" s="192"/>
    </row>
    <row r="61" spans="1:90" outlineLevel="3" x14ac:dyDescent="0.3">
      <c r="A61" s="137" t="s">
        <v>383</v>
      </c>
      <c r="B61" s="137" t="s">
        <v>405</v>
      </c>
      <c r="C61" s="137" t="s">
        <v>378</v>
      </c>
      <c r="D61" s="137" t="s">
        <v>379</v>
      </c>
      <c r="E61" s="137" t="s">
        <v>212</v>
      </c>
      <c r="F61" s="137" t="s">
        <v>396</v>
      </c>
      <c r="G61" s="137" t="s">
        <v>503</v>
      </c>
      <c r="H61" s="137" t="s">
        <v>407</v>
      </c>
      <c r="I61" s="163" t="s">
        <v>408</v>
      </c>
      <c r="J61" s="164">
        <v>375000</v>
      </c>
      <c r="K61" s="165">
        <v>375000</v>
      </c>
      <c r="L61" s="167">
        <v>0</v>
      </c>
      <c r="M61" s="167">
        <v>0</v>
      </c>
      <c r="N61" s="167">
        <v>0</v>
      </c>
      <c r="O61" s="166">
        <v>216.56166666666667</v>
      </c>
      <c r="P61" s="168">
        <v>216.56166666666667</v>
      </c>
      <c r="Q61" s="168">
        <v>0</v>
      </c>
      <c r="R61" s="169" t="s">
        <v>409</v>
      </c>
      <c r="S61" s="279">
        <v>0.625</v>
      </c>
      <c r="T61" s="169">
        <v>0</v>
      </c>
      <c r="U61" s="245">
        <v>81210625</v>
      </c>
      <c r="V61" s="166" t="s">
        <v>319</v>
      </c>
      <c r="W61" s="166">
        <v>0</v>
      </c>
      <c r="X61" s="166">
        <v>0</v>
      </c>
      <c r="Y61" s="166">
        <v>0</v>
      </c>
      <c r="Z61" s="166">
        <v>0</v>
      </c>
      <c r="AA61" s="166">
        <v>0</v>
      </c>
      <c r="AB61" s="166">
        <v>0</v>
      </c>
      <c r="AC61" s="245">
        <v>81210625</v>
      </c>
      <c r="AD61" s="166">
        <v>0</v>
      </c>
      <c r="AE61" s="166">
        <v>0</v>
      </c>
      <c r="AF61" s="166">
        <v>0</v>
      </c>
      <c r="AG61" s="166">
        <v>0</v>
      </c>
      <c r="AH61" s="246">
        <v>0</v>
      </c>
      <c r="AI61" s="166">
        <v>0</v>
      </c>
      <c r="AJ61" s="166">
        <v>0</v>
      </c>
      <c r="AK61" s="247">
        <v>0</v>
      </c>
      <c r="AL61" s="170">
        <v>0</v>
      </c>
      <c r="AM61" s="166">
        <v>81210625</v>
      </c>
      <c r="AN61" s="170">
        <v>0</v>
      </c>
      <c r="AO61" s="167">
        <v>0</v>
      </c>
      <c r="AP61" s="166">
        <v>81210625</v>
      </c>
      <c r="AQ61" s="171">
        <v>1</v>
      </c>
      <c r="AR61" s="166">
        <v>0</v>
      </c>
      <c r="AS61" s="166">
        <v>216.56166666666667</v>
      </c>
      <c r="AT61" s="166">
        <v>0</v>
      </c>
      <c r="AU61" s="166">
        <v>0</v>
      </c>
      <c r="AV61" s="166">
        <v>0</v>
      </c>
      <c r="AW61" s="166">
        <v>0</v>
      </c>
      <c r="AX61" s="166">
        <v>0</v>
      </c>
      <c r="AY61" s="166">
        <v>0</v>
      </c>
      <c r="AZ61" s="166">
        <v>0</v>
      </c>
      <c r="BA61" s="166">
        <v>0</v>
      </c>
      <c r="BB61" s="166" t="s">
        <v>196</v>
      </c>
      <c r="BC61" s="166" t="s">
        <v>196</v>
      </c>
      <c r="BD61" s="166">
        <v>0</v>
      </c>
      <c r="BE61" s="166">
        <v>0</v>
      </c>
      <c r="BF61" s="166">
        <v>0</v>
      </c>
      <c r="BG61" s="166">
        <v>0</v>
      </c>
      <c r="BH61" s="166">
        <v>0</v>
      </c>
      <c r="BI61" s="166">
        <v>0</v>
      </c>
      <c r="BJ61" s="166">
        <v>0</v>
      </c>
      <c r="BK61" s="166">
        <v>0</v>
      </c>
      <c r="BL61" s="166">
        <v>81210625</v>
      </c>
      <c r="BM61" s="166" t="s">
        <v>320</v>
      </c>
      <c r="BN61" s="166">
        <v>0</v>
      </c>
      <c r="BO61" s="166" t="b">
        <v>0</v>
      </c>
      <c r="BP61" s="166">
        <v>0</v>
      </c>
      <c r="BQ61" s="167">
        <v>100</v>
      </c>
      <c r="BR61" s="167">
        <v>37500000</v>
      </c>
      <c r="BS61" s="173">
        <v>73</v>
      </c>
      <c r="BT61" s="167">
        <v>0</v>
      </c>
      <c r="BU61" s="231">
        <v>0</v>
      </c>
      <c r="BV61" s="167">
        <v>78</v>
      </c>
      <c r="BW61" s="174">
        <v>0</v>
      </c>
      <c r="BX61" s="174">
        <v>0</v>
      </c>
      <c r="BY61" s="166">
        <v>0</v>
      </c>
      <c r="BZ61" s="166">
        <v>0</v>
      </c>
      <c r="CA61" s="166">
        <v>0</v>
      </c>
      <c r="CB61" s="166">
        <v>0</v>
      </c>
      <c r="CC61" s="166">
        <v>0</v>
      </c>
      <c r="CD61" s="166">
        <v>0</v>
      </c>
      <c r="CE61" s="166">
        <v>0</v>
      </c>
      <c r="CF61" s="166">
        <v>0</v>
      </c>
      <c r="CG61" s="166">
        <v>0</v>
      </c>
      <c r="CH61" s="166">
        <v>0</v>
      </c>
      <c r="CI61" s="166">
        <v>0</v>
      </c>
      <c r="CJ61" s="166">
        <v>0</v>
      </c>
      <c r="CK61" s="167">
        <v>0</v>
      </c>
      <c r="CL61" s="167">
        <v>0</v>
      </c>
    </row>
    <row r="62" spans="1:90" s="189" customFormat="1" ht="20.100000000000001" customHeight="1" outlineLevel="2" x14ac:dyDescent="0.3">
      <c r="A62" s="176" t="s">
        <v>386</v>
      </c>
      <c r="B62" s="176"/>
      <c r="C62" s="176"/>
      <c r="D62" s="176"/>
      <c r="E62" s="176"/>
      <c r="F62" s="176"/>
      <c r="G62" s="176"/>
      <c r="H62" s="176"/>
      <c r="I62" s="177"/>
      <c r="J62" s="178"/>
      <c r="K62" s="179"/>
      <c r="L62" s="181"/>
      <c r="M62" s="181"/>
      <c r="N62" s="181"/>
      <c r="O62" s="180"/>
      <c r="P62" s="182"/>
      <c r="Q62" s="182"/>
      <c r="R62" s="183">
        <v>0</v>
      </c>
      <c r="S62" s="280">
        <v>0.625</v>
      </c>
      <c r="T62" s="183">
        <v>0</v>
      </c>
      <c r="U62" s="248">
        <v>81210625</v>
      </c>
      <c r="V62" s="180"/>
      <c r="W62" s="180">
        <v>0</v>
      </c>
      <c r="X62" s="180">
        <v>0</v>
      </c>
      <c r="Y62" s="180">
        <v>0</v>
      </c>
      <c r="Z62" s="180">
        <v>0</v>
      </c>
      <c r="AA62" s="180">
        <v>0</v>
      </c>
      <c r="AB62" s="180">
        <v>0</v>
      </c>
      <c r="AC62" s="248">
        <v>81210625</v>
      </c>
      <c r="AD62" s="180">
        <v>0</v>
      </c>
      <c r="AE62" s="180">
        <v>0</v>
      </c>
      <c r="AF62" s="180">
        <v>0</v>
      </c>
      <c r="AG62" s="180">
        <v>0</v>
      </c>
      <c r="AH62" s="249">
        <v>0</v>
      </c>
      <c r="AI62" s="180">
        <v>0</v>
      </c>
      <c r="AJ62" s="180">
        <v>0</v>
      </c>
      <c r="AK62" s="250">
        <v>0</v>
      </c>
      <c r="AL62" s="184"/>
      <c r="AM62" s="180">
        <v>81210625</v>
      </c>
      <c r="AN62" s="184"/>
      <c r="AO62" s="181"/>
      <c r="AP62" s="180">
        <v>81210625</v>
      </c>
      <c r="AQ62" s="185"/>
      <c r="AR62" s="180"/>
      <c r="AS62" s="180"/>
      <c r="AT62" s="180">
        <v>0</v>
      </c>
      <c r="AU62" s="180">
        <v>0</v>
      </c>
      <c r="AV62" s="180">
        <v>0</v>
      </c>
      <c r="AW62" s="180">
        <v>0</v>
      </c>
      <c r="AX62" s="180">
        <v>0</v>
      </c>
      <c r="AY62" s="180">
        <v>0</v>
      </c>
      <c r="AZ62" s="180">
        <v>0</v>
      </c>
      <c r="BA62" s="180">
        <v>0</v>
      </c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80"/>
      <c r="BN62" s="180"/>
      <c r="BO62" s="180"/>
      <c r="BP62" s="180"/>
      <c r="BQ62" s="181"/>
      <c r="BR62" s="181"/>
      <c r="BS62" s="187"/>
      <c r="BT62" s="181"/>
      <c r="BU62" s="224"/>
      <c r="BV62" s="181"/>
      <c r="BW62" s="188"/>
      <c r="BX62" s="188"/>
      <c r="BY62" s="180"/>
      <c r="BZ62" s="180"/>
      <c r="CA62" s="180">
        <v>0</v>
      </c>
      <c r="CB62" s="180"/>
      <c r="CC62" s="180"/>
      <c r="CD62" s="180"/>
      <c r="CE62" s="180"/>
      <c r="CF62" s="180"/>
      <c r="CG62" s="180"/>
      <c r="CH62" s="180"/>
      <c r="CI62" s="180"/>
      <c r="CJ62" s="180"/>
      <c r="CK62" s="181"/>
      <c r="CL62" s="181"/>
    </row>
    <row r="63" spans="1:90" outlineLevel="3" x14ac:dyDescent="0.3">
      <c r="A63" s="137" t="s">
        <v>325</v>
      </c>
      <c r="B63" s="137" t="s">
        <v>405</v>
      </c>
      <c r="C63" s="137" t="s">
        <v>378</v>
      </c>
      <c r="D63" s="137" t="s">
        <v>379</v>
      </c>
      <c r="E63" s="137" t="s">
        <v>493</v>
      </c>
      <c r="F63" s="137" t="s">
        <v>196</v>
      </c>
      <c r="G63" s="137" t="s">
        <v>406</v>
      </c>
      <c r="H63" s="137" t="s">
        <v>316</v>
      </c>
      <c r="I63" s="163" t="s">
        <v>331</v>
      </c>
      <c r="J63" s="165">
        <v>1</v>
      </c>
      <c r="K63" s="165">
        <v>1</v>
      </c>
      <c r="L63" s="167">
        <v>0</v>
      </c>
      <c r="M63" s="167">
        <v>0</v>
      </c>
      <c r="N63" s="167">
        <v>0</v>
      </c>
      <c r="O63" s="166">
        <v>1250000</v>
      </c>
      <c r="P63" s="167">
        <v>1250000</v>
      </c>
      <c r="Q63" s="167">
        <v>0</v>
      </c>
      <c r="R63" s="169" t="s">
        <v>410</v>
      </c>
      <c r="S63" s="279">
        <v>1</v>
      </c>
      <c r="T63" s="169">
        <v>0</v>
      </c>
      <c r="U63" s="245">
        <v>1250000</v>
      </c>
      <c r="V63" s="166" t="s">
        <v>319</v>
      </c>
      <c r="W63" s="166">
        <v>0</v>
      </c>
      <c r="X63" s="166">
        <v>0</v>
      </c>
      <c r="Y63" s="166">
        <v>0</v>
      </c>
      <c r="Z63" s="166">
        <v>0</v>
      </c>
      <c r="AA63" s="166">
        <v>0</v>
      </c>
      <c r="AB63" s="166">
        <v>0</v>
      </c>
      <c r="AC63" s="245">
        <v>1250000</v>
      </c>
      <c r="AD63" s="166">
        <v>0</v>
      </c>
      <c r="AE63" s="166">
        <v>0</v>
      </c>
      <c r="AF63" s="166">
        <v>0</v>
      </c>
      <c r="AG63" s="166">
        <v>0</v>
      </c>
      <c r="AH63" s="246">
        <v>0</v>
      </c>
      <c r="AI63" s="166">
        <v>0</v>
      </c>
      <c r="AJ63" s="166">
        <v>0</v>
      </c>
      <c r="AK63" s="247">
        <v>0</v>
      </c>
      <c r="AL63" s="170">
        <v>0</v>
      </c>
      <c r="AM63" s="166">
        <v>1250000</v>
      </c>
      <c r="AN63" s="167">
        <v>0</v>
      </c>
      <c r="AO63" s="170">
        <v>0</v>
      </c>
      <c r="AP63" s="166">
        <v>1250000</v>
      </c>
      <c r="AQ63" s="171">
        <v>1</v>
      </c>
      <c r="AR63" s="166">
        <v>0</v>
      </c>
      <c r="AS63" s="166">
        <v>1250000</v>
      </c>
      <c r="AT63" s="166">
        <v>0</v>
      </c>
      <c r="AU63" s="166">
        <v>0</v>
      </c>
      <c r="AV63" s="166">
        <v>0</v>
      </c>
      <c r="AW63" s="166">
        <v>0</v>
      </c>
      <c r="AX63" s="166">
        <v>0</v>
      </c>
      <c r="AY63" s="166">
        <v>0</v>
      </c>
      <c r="AZ63" s="166">
        <v>0</v>
      </c>
      <c r="BA63" s="166">
        <v>0</v>
      </c>
      <c r="BB63" s="166" t="s">
        <v>196</v>
      </c>
      <c r="BC63" s="166" t="s">
        <v>196</v>
      </c>
      <c r="BD63" s="166">
        <v>0</v>
      </c>
      <c r="BE63" s="166">
        <v>0</v>
      </c>
      <c r="BF63" s="166">
        <v>0</v>
      </c>
      <c r="BG63" s="166">
        <v>0</v>
      </c>
      <c r="BH63" s="166">
        <v>0</v>
      </c>
      <c r="BI63" s="166">
        <v>0</v>
      </c>
      <c r="BJ63" s="166">
        <v>0</v>
      </c>
      <c r="BK63" s="166">
        <v>0</v>
      </c>
      <c r="BL63" s="166">
        <v>1250000</v>
      </c>
      <c r="BM63" s="166" t="s">
        <v>320</v>
      </c>
      <c r="BN63" s="166">
        <v>0</v>
      </c>
      <c r="BO63" s="166" t="b">
        <v>0</v>
      </c>
      <c r="BP63" s="166">
        <v>0</v>
      </c>
      <c r="BQ63" s="168">
        <v>0</v>
      </c>
      <c r="BR63" s="167">
        <v>0</v>
      </c>
      <c r="BS63" s="173">
        <v>78</v>
      </c>
      <c r="BT63" s="167">
        <v>0</v>
      </c>
      <c r="BU63" s="231">
        <v>0</v>
      </c>
      <c r="BV63" s="167">
        <v>111</v>
      </c>
      <c r="BW63" s="174">
        <v>0</v>
      </c>
      <c r="BX63" s="174">
        <v>0</v>
      </c>
      <c r="BY63" s="166">
        <v>0</v>
      </c>
      <c r="BZ63" s="166">
        <v>0</v>
      </c>
      <c r="CA63" s="166">
        <v>0</v>
      </c>
      <c r="CB63" s="166">
        <v>0</v>
      </c>
      <c r="CC63" s="166">
        <v>0</v>
      </c>
      <c r="CD63" s="166">
        <v>0</v>
      </c>
      <c r="CE63" s="166">
        <v>0</v>
      </c>
      <c r="CF63" s="166">
        <v>0</v>
      </c>
      <c r="CG63" s="166">
        <v>0</v>
      </c>
      <c r="CH63" s="166">
        <v>0</v>
      </c>
      <c r="CI63" s="166">
        <v>0</v>
      </c>
      <c r="CJ63" s="166">
        <v>0</v>
      </c>
      <c r="CK63" s="167">
        <v>0</v>
      </c>
      <c r="CL63" s="167">
        <v>0</v>
      </c>
    </row>
    <row r="64" spans="1:90" outlineLevel="3" x14ac:dyDescent="0.3">
      <c r="A64" s="137" t="s">
        <v>325</v>
      </c>
      <c r="B64" s="137" t="s">
        <v>405</v>
      </c>
      <c r="C64" s="137" t="s">
        <v>378</v>
      </c>
      <c r="D64" s="137" t="s">
        <v>379</v>
      </c>
      <c r="E64" s="137" t="s">
        <v>213</v>
      </c>
      <c r="F64" s="137" t="s">
        <v>196</v>
      </c>
      <c r="G64" s="137" t="s">
        <v>503</v>
      </c>
      <c r="H64" s="201" t="s">
        <v>330</v>
      </c>
      <c r="I64" s="163" t="s">
        <v>411</v>
      </c>
      <c r="J64" s="165">
        <v>1</v>
      </c>
      <c r="K64" s="165">
        <v>1</v>
      </c>
      <c r="L64" s="167">
        <v>0</v>
      </c>
      <c r="M64" s="167">
        <v>0</v>
      </c>
      <c r="N64" s="167">
        <v>0</v>
      </c>
      <c r="O64" s="166">
        <v>1663000</v>
      </c>
      <c r="P64" s="167">
        <v>1663000</v>
      </c>
      <c r="Q64" s="167">
        <v>0</v>
      </c>
      <c r="R64" s="169" t="s">
        <v>412</v>
      </c>
      <c r="S64" s="279">
        <v>1</v>
      </c>
      <c r="T64" s="169">
        <v>0</v>
      </c>
      <c r="U64" s="245">
        <v>1663000</v>
      </c>
      <c r="V64" s="166" t="s">
        <v>319</v>
      </c>
      <c r="W64" s="166">
        <v>0</v>
      </c>
      <c r="X64" s="166">
        <v>0</v>
      </c>
      <c r="Y64" s="166">
        <v>0</v>
      </c>
      <c r="Z64" s="166">
        <v>0</v>
      </c>
      <c r="AA64" s="166">
        <v>0</v>
      </c>
      <c r="AB64" s="166">
        <v>0</v>
      </c>
      <c r="AC64" s="245">
        <v>1663000</v>
      </c>
      <c r="AD64" s="166">
        <v>0</v>
      </c>
      <c r="AE64" s="166">
        <v>0</v>
      </c>
      <c r="AF64" s="166">
        <v>0</v>
      </c>
      <c r="AG64" s="166">
        <v>0</v>
      </c>
      <c r="AH64" s="246">
        <v>0</v>
      </c>
      <c r="AI64" s="166">
        <v>0</v>
      </c>
      <c r="AJ64" s="166">
        <v>0</v>
      </c>
      <c r="AK64" s="247">
        <v>0</v>
      </c>
      <c r="AL64" s="170">
        <v>0</v>
      </c>
      <c r="AM64" s="166">
        <v>1663000</v>
      </c>
      <c r="AN64" s="167">
        <v>0</v>
      </c>
      <c r="AO64" s="170">
        <v>0</v>
      </c>
      <c r="AP64" s="166">
        <v>1663000</v>
      </c>
      <c r="AQ64" s="171">
        <v>1</v>
      </c>
      <c r="AR64" s="166">
        <v>0</v>
      </c>
      <c r="AS64" s="166">
        <v>1663000</v>
      </c>
      <c r="AT64" s="166">
        <v>0</v>
      </c>
      <c r="AU64" s="166">
        <v>0</v>
      </c>
      <c r="AV64" s="166">
        <v>0</v>
      </c>
      <c r="AW64" s="166">
        <v>0</v>
      </c>
      <c r="AX64" s="166">
        <v>0</v>
      </c>
      <c r="AY64" s="166">
        <v>0</v>
      </c>
      <c r="AZ64" s="166">
        <v>0</v>
      </c>
      <c r="BA64" s="166">
        <v>0</v>
      </c>
      <c r="BB64" s="166" t="s">
        <v>196</v>
      </c>
      <c r="BC64" s="166" t="s">
        <v>196</v>
      </c>
      <c r="BD64" s="166">
        <v>0</v>
      </c>
      <c r="BE64" s="166">
        <v>0</v>
      </c>
      <c r="BF64" s="166">
        <v>0</v>
      </c>
      <c r="BG64" s="166">
        <v>0</v>
      </c>
      <c r="BH64" s="166">
        <v>0</v>
      </c>
      <c r="BI64" s="166">
        <v>0</v>
      </c>
      <c r="BJ64" s="166">
        <v>0</v>
      </c>
      <c r="BK64" s="166">
        <v>0</v>
      </c>
      <c r="BL64" s="166">
        <v>1663000</v>
      </c>
      <c r="BM64" s="166" t="s">
        <v>320</v>
      </c>
      <c r="BN64" s="166">
        <v>0</v>
      </c>
      <c r="BO64" s="166" t="b">
        <v>0</v>
      </c>
      <c r="BP64" s="166">
        <v>0</v>
      </c>
      <c r="BQ64" s="167">
        <v>0</v>
      </c>
      <c r="BR64" s="167">
        <v>0</v>
      </c>
      <c r="BS64" s="173">
        <v>78</v>
      </c>
      <c r="BT64" s="167">
        <v>0</v>
      </c>
      <c r="BU64" s="231">
        <v>0</v>
      </c>
      <c r="BV64" s="167">
        <v>115</v>
      </c>
      <c r="BW64" s="174">
        <v>0</v>
      </c>
      <c r="BX64" s="174">
        <v>0</v>
      </c>
      <c r="BY64" s="166">
        <v>0</v>
      </c>
      <c r="BZ64" s="166">
        <v>0</v>
      </c>
      <c r="CA64" s="166">
        <v>0</v>
      </c>
      <c r="CB64" s="166">
        <v>0</v>
      </c>
      <c r="CC64" s="166">
        <v>0</v>
      </c>
      <c r="CD64" s="166">
        <v>0</v>
      </c>
      <c r="CE64" s="166">
        <v>0</v>
      </c>
      <c r="CF64" s="166">
        <v>0</v>
      </c>
      <c r="CG64" s="166">
        <v>0</v>
      </c>
      <c r="CH64" s="166">
        <v>0</v>
      </c>
      <c r="CI64" s="166">
        <v>0</v>
      </c>
      <c r="CJ64" s="166">
        <v>0</v>
      </c>
      <c r="CK64" s="167">
        <v>0</v>
      </c>
      <c r="CL64" s="167">
        <v>0</v>
      </c>
    </row>
    <row r="65" spans="1:90" s="189" customFormat="1" ht="20.100000000000001" customHeight="1" outlineLevel="2" x14ac:dyDescent="0.3">
      <c r="A65" s="176" t="s">
        <v>338</v>
      </c>
      <c r="B65" s="176"/>
      <c r="C65" s="176"/>
      <c r="D65" s="176"/>
      <c r="E65" s="176"/>
      <c r="F65" s="176"/>
      <c r="G65" s="176"/>
      <c r="H65" s="202"/>
      <c r="I65" s="177"/>
      <c r="J65" s="179"/>
      <c r="K65" s="179"/>
      <c r="L65" s="181"/>
      <c r="M65" s="181"/>
      <c r="N65" s="181"/>
      <c r="O65" s="180"/>
      <c r="P65" s="181"/>
      <c r="Q65" s="181"/>
      <c r="R65" s="183">
        <v>0</v>
      </c>
      <c r="S65" s="280">
        <v>2</v>
      </c>
      <c r="T65" s="183">
        <v>0</v>
      </c>
      <c r="U65" s="248">
        <v>2913000</v>
      </c>
      <c r="V65" s="180"/>
      <c r="W65" s="180">
        <v>0</v>
      </c>
      <c r="X65" s="180">
        <v>0</v>
      </c>
      <c r="Y65" s="180">
        <v>0</v>
      </c>
      <c r="Z65" s="180">
        <v>0</v>
      </c>
      <c r="AA65" s="180">
        <v>0</v>
      </c>
      <c r="AB65" s="180">
        <v>0</v>
      </c>
      <c r="AC65" s="248">
        <v>2913000</v>
      </c>
      <c r="AD65" s="180">
        <v>0</v>
      </c>
      <c r="AE65" s="180">
        <v>0</v>
      </c>
      <c r="AF65" s="180">
        <v>0</v>
      </c>
      <c r="AG65" s="180">
        <v>0</v>
      </c>
      <c r="AH65" s="249">
        <v>0</v>
      </c>
      <c r="AI65" s="180">
        <v>0</v>
      </c>
      <c r="AJ65" s="180">
        <v>0</v>
      </c>
      <c r="AK65" s="250">
        <v>0</v>
      </c>
      <c r="AL65" s="184"/>
      <c r="AM65" s="180">
        <v>2913000</v>
      </c>
      <c r="AN65" s="181"/>
      <c r="AO65" s="184"/>
      <c r="AP65" s="180">
        <v>2913000</v>
      </c>
      <c r="AQ65" s="185"/>
      <c r="AR65" s="180"/>
      <c r="AS65" s="180"/>
      <c r="AT65" s="180">
        <v>0</v>
      </c>
      <c r="AU65" s="180">
        <v>0</v>
      </c>
      <c r="AV65" s="180">
        <v>0</v>
      </c>
      <c r="AW65" s="180">
        <v>0</v>
      </c>
      <c r="AX65" s="180">
        <v>0</v>
      </c>
      <c r="AY65" s="180">
        <v>0</v>
      </c>
      <c r="AZ65" s="180">
        <v>0</v>
      </c>
      <c r="BA65" s="180">
        <v>0</v>
      </c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80"/>
      <c r="BN65" s="180"/>
      <c r="BO65" s="180"/>
      <c r="BP65" s="180"/>
      <c r="BQ65" s="181"/>
      <c r="BR65" s="181"/>
      <c r="BS65" s="187"/>
      <c r="BT65" s="181"/>
      <c r="BU65" s="224"/>
      <c r="BV65" s="181"/>
      <c r="BW65" s="188"/>
      <c r="BX65" s="188"/>
      <c r="BY65" s="180"/>
      <c r="BZ65" s="180"/>
      <c r="CA65" s="180">
        <v>0</v>
      </c>
      <c r="CB65" s="180"/>
      <c r="CC65" s="180"/>
      <c r="CD65" s="180"/>
      <c r="CE65" s="180"/>
      <c r="CF65" s="180"/>
      <c r="CG65" s="180"/>
      <c r="CH65" s="180"/>
      <c r="CI65" s="180"/>
      <c r="CJ65" s="180"/>
      <c r="CK65" s="181"/>
      <c r="CL65" s="181"/>
    </row>
    <row r="66" spans="1:90" outlineLevel="3" x14ac:dyDescent="0.3">
      <c r="A66" s="137" t="s">
        <v>362</v>
      </c>
      <c r="B66" s="137" t="s">
        <v>405</v>
      </c>
      <c r="C66" s="137" t="s">
        <v>378</v>
      </c>
      <c r="D66" s="137" t="s">
        <v>379</v>
      </c>
      <c r="E66" s="137" t="s">
        <v>214</v>
      </c>
      <c r="F66" s="137" t="s">
        <v>196</v>
      </c>
      <c r="G66" s="137" t="s">
        <v>503</v>
      </c>
      <c r="H66" s="201" t="s">
        <v>330</v>
      </c>
      <c r="I66" s="163" t="s">
        <v>317</v>
      </c>
      <c r="J66" s="164">
        <v>1000</v>
      </c>
      <c r="K66" s="165">
        <v>1000</v>
      </c>
      <c r="L66" s="167">
        <v>0</v>
      </c>
      <c r="M66" s="167">
        <v>0</v>
      </c>
      <c r="N66" s="167">
        <v>1</v>
      </c>
      <c r="O66" s="166">
        <v>1360</v>
      </c>
      <c r="P66" s="168">
        <v>1360</v>
      </c>
      <c r="Q66" s="168">
        <v>0</v>
      </c>
      <c r="R66" s="169" t="s">
        <v>413</v>
      </c>
      <c r="S66" s="279">
        <v>1</v>
      </c>
      <c r="T66" s="169">
        <v>0</v>
      </c>
      <c r="U66" s="245">
        <v>1360000</v>
      </c>
      <c r="V66" s="166" t="s">
        <v>319</v>
      </c>
      <c r="W66" s="166">
        <v>0</v>
      </c>
      <c r="X66" s="166">
        <v>0</v>
      </c>
      <c r="Y66" s="166">
        <v>0</v>
      </c>
      <c r="Z66" s="166">
        <v>0</v>
      </c>
      <c r="AA66" s="166">
        <v>0</v>
      </c>
      <c r="AB66" s="166">
        <v>0</v>
      </c>
      <c r="AC66" s="245">
        <v>1360000</v>
      </c>
      <c r="AD66" s="166">
        <v>0</v>
      </c>
      <c r="AE66" s="166">
        <v>0</v>
      </c>
      <c r="AF66" s="166">
        <v>0</v>
      </c>
      <c r="AG66" s="166">
        <v>0</v>
      </c>
      <c r="AH66" s="246">
        <v>0</v>
      </c>
      <c r="AI66" s="166">
        <v>0</v>
      </c>
      <c r="AJ66" s="166">
        <v>0</v>
      </c>
      <c r="AK66" s="247">
        <v>0</v>
      </c>
      <c r="AL66" s="170">
        <v>0</v>
      </c>
      <c r="AM66" s="166">
        <v>1360000</v>
      </c>
      <c r="AN66" s="170">
        <v>0</v>
      </c>
      <c r="AO66" s="167">
        <v>0</v>
      </c>
      <c r="AP66" s="166">
        <v>1360000</v>
      </c>
      <c r="AQ66" s="171">
        <v>1</v>
      </c>
      <c r="AR66" s="166">
        <v>1360000</v>
      </c>
      <c r="AS66" s="166">
        <v>1360</v>
      </c>
      <c r="AT66" s="166">
        <v>0</v>
      </c>
      <c r="AU66" s="166">
        <v>0</v>
      </c>
      <c r="AV66" s="166">
        <v>0</v>
      </c>
      <c r="AW66" s="166">
        <v>0</v>
      </c>
      <c r="AX66" s="166">
        <v>0</v>
      </c>
      <c r="AY66" s="166">
        <v>0</v>
      </c>
      <c r="AZ66" s="166">
        <v>0</v>
      </c>
      <c r="BA66" s="166">
        <v>0</v>
      </c>
      <c r="BB66" s="166" t="s">
        <v>196</v>
      </c>
      <c r="BC66" s="166" t="s">
        <v>196</v>
      </c>
      <c r="BD66" s="166">
        <v>0</v>
      </c>
      <c r="BE66" s="166">
        <v>0</v>
      </c>
      <c r="BF66" s="166">
        <v>0</v>
      </c>
      <c r="BG66" s="166">
        <v>0</v>
      </c>
      <c r="BH66" s="166">
        <v>0</v>
      </c>
      <c r="BI66" s="166">
        <v>0</v>
      </c>
      <c r="BJ66" s="166">
        <v>0</v>
      </c>
      <c r="BK66" s="166">
        <v>0</v>
      </c>
      <c r="BL66" s="174">
        <v>1360000</v>
      </c>
      <c r="BM66" s="166" t="s">
        <v>320</v>
      </c>
      <c r="BN66" s="166">
        <v>0</v>
      </c>
      <c r="BO66" s="166" t="b">
        <v>0</v>
      </c>
      <c r="BP66" s="166">
        <v>0</v>
      </c>
      <c r="BQ66" s="167">
        <v>2360</v>
      </c>
      <c r="BR66" s="167">
        <v>2360000</v>
      </c>
      <c r="BS66" s="173">
        <v>72</v>
      </c>
      <c r="BT66" s="167">
        <v>0</v>
      </c>
      <c r="BU66" s="231">
        <v>0</v>
      </c>
      <c r="BV66" s="167">
        <v>35</v>
      </c>
      <c r="BW66" s="174">
        <v>0</v>
      </c>
      <c r="BX66" s="174">
        <v>0</v>
      </c>
      <c r="BY66" s="166">
        <v>0</v>
      </c>
      <c r="BZ66" s="166">
        <v>0</v>
      </c>
      <c r="CA66" s="166">
        <v>0</v>
      </c>
      <c r="CB66" s="166">
        <v>0</v>
      </c>
      <c r="CC66" s="166">
        <v>0</v>
      </c>
      <c r="CD66" s="166">
        <v>0</v>
      </c>
      <c r="CE66" s="166">
        <v>0</v>
      </c>
      <c r="CF66" s="166">
        <v>0</v>
      </c>
      <c r="CG66" s="166">
        <v>0</v>
      </c>
      <c r="CH66" s="166">
        <v>0</v>
      </c>
      <c r="CI66" s="166">
        <v>0</v>
      </c>
      <c r="CJ66" s="166">
        <v>0</v>
      </c>
      <c r="CK66" s="167">
        <v>0</v>
      </c>
      <c r="CL66" s="167">
        <v>0</v>
      </c>
    </row>
    <row r="67" spans="1:90" s="189" customFormat="1" ht="20.100000000000001" customHeight="1" outlineLevel="2" x14ac:dyDescent="0.3">
      <c r="A67" s="176" t="s">
        <v>363</v>
      </c>
      <c r="B67" s="176"/>
      <c r="C67" s="176"/>
      <c r="D67" s="176"/>
      <c r="E67" s="176"/>
      <c r="F67" s="176"/>
      <c r="G67" s="176"/>
      <c r="H67" s="202"/>
      <c r="I67" s="177"/>
      <c r="J67" s="178"/>
      <c r="K67" s="179"/>
      <c r="L67" s="181"/>
      <c r="M67" s="181"/>
      <c r="N67" s="181"/>
      <c r="O67" s="180"/>
      <c r="P67" s="182"/>
      <c r="Q67" s="182"/>
      <c r="R67" s="183">
        <v>0</v>
      </c>
      <c r="S67" s="280">
        <v>1</v>
      </c>
      <c r="T67" s="183">
        <v>0</v>
      </c>
      <c r="U67" s="248">
        <v>1360000</v>
      </c>
      <c r="V67" s="180"/>
      <c r="W67" s="180">
        <v>0</v>
      </c>
      <c r="X67" s="180">
        <v>0</v>
      </c>
      <c r="Y67" s="180">
        <v>0</v>
      </c>
      <c r="Z67" s="180">
        <v>0</v>
      </c>
      <c r="AA67" s="180">
        <v>0</v>
      </c>
      <c r="AB67" s="180">
        <v>0</v>
      </c>
      <c r="AC67" s="248">
        <v>1360000</v>
      </c>
      <c r="AD67" s="180">
        <v>0</v>
      </c>
      <c r="AE67" s="180">
        <v>0</v>
      </c>
      <c r="AF67" s="180">
        <v>0</v>
      </c>
      <c r="AG67" s="180">
        <v>0</v>
      </c>
      <c r="AH67" s="249">
        <v>0</v>
      </c>
      <c r="AI67" s="180">
        <v>0</v>
      </c>
      <c r="AJ67" s="180">
        <v>0</v>
      </c>
      <c r="AK67" s="250">
        <v>0</v>
      </c>
      <c r="AL67" s="184"/>
      <c r="AM67" s="180">
        <v>1360000</v>
      </c>
      <c r="AN67" s="184"/>
      <c r="AO67" s="181"/>
      <c r="AP67" s="180">
        <v>1360000</v>
      </c>
      <c r="AQ67" s="185"/>
      <c r="AR67" s="180"/>
      <c r="AS67" s="180"/>
      <c r="AT67" s="180">
        <v>0</v>
      </c>
      <c r="AU67" s="180">
        <v>0</v>
      </c>
      <c r="AV67" s="180">
        <v>0</v>
      </c>
      <c r="AW67" s="180">
        <v>0</v>
      </c>
      <c r="AX67" s="180">
        <v>0</v>
      </c>
      <c r="AY67" s="180">
        <v>0</v>
      </c>
      <c r="AZ67" s="180">
        <v>0</v>
      </c>
      <c r="BA67" s="180">
        <v>0</v>
      </c>
      <c r="BB67" s="180"/>
      <c r="BC67" s="180"/>
      <c r="BD67" s="180"/>
      <c r="BE67" s="180"/>
      <c r="BF67" s="180"/>
      <c r="BG67" s="180"/>
      <c r="BH67" s="180"/>
      <c r="BI67" s="180"/>
      <c r="BJ67" s="180"/>
      <c r="BK67" s="180"/>
      <c r="BL67" s="188"/>
      <c r="BM67" s="180"/>
      <c r="BN67" s="180"/>
      <c r="BO67" s="180"/>
      <c r="BP67" s="180"/>
      <c r="BQ67" s="181"/>
      <c r="BR67" s="181"/>
      <c r="BS67" s="187"/>
      <c r="BT67" s="181"/>
      <c r="BU67" s="224"/>
      <c r="BV67" s="181"/>
      <c r="BW67" s="188"/>
      <c r="BX67" s="188"/>
      <c r="BY67" s="180"/>
      <c r="BZ67" s="180"/>
      <c r="CA67" s="180">
        <v>0</v>
      </c>
      <c r="CB67" s="180"/>
      <c r="CC67" s="180"/>
      <c r="CD67" s="180"/>
      <c r="CE67" s="180"/>
      <c r="CF67" s="180"/>
      <c r="CG67" s="180"/>
      <c r="CH67" s="180"/>
      <c r="CI67" s="180"/>
      <c r="CJ67" s="180"/>
      <c r="CK67" s="181"/>
      <c r="CL67" s="181"/>
    </row>
    <row r="68" spans="1:90" outlineLevel="3" x14ac:dyDescent="0.3">
      <c r="A68" s="137" t="s">
        <v>339</v>
      </c>
      <c r="B68" s="137" t="s">
        <v>405</v>
      </c>
      <c r="C68" s="137" t="s">
        <v>378</v>
      </c>
      <c r="D68" s="137" t="s">
        <v>379</v>
      </c>
      <c r="E68" s="137" t="s">
        <v>215</v>
      </c>
      <c r="F68" s="137" t="s">
        <v>414</v>
      </c>
      <c r="G68" s="137" t="s">
        <v>406</v>
      </c>
      <c r="H68" s="137" t="s">
        <v>322</v>
      </c>
      <c r="I68" s="163" t="s">
        <v>317</v>
      </c>
      <c r="J68" s="165">
        <v>59891</v>
      </c>
      <c r="K68" s="165">
        <v>59891</v>
      </c>
      <c r="L68" s="167">
        <v>0</v>
      </c>
      <c r="M68" s="167">
        <v>0</v>
      </c>
      <c r="N68" s="167">
        <v>1</v>
      </c>
      <c r="O68" s="166">
        <v>5.625</v>
      </c>
      <c r="P68" s="168">
        <v>5.4375</v>
      </c>
      <c r="Q68" s="168">
        <v>0.1875</v>
      </c>
      <c r="R68" s="169" t="s">
        <v>415</v>
      </c>
      <c r="S68" s="279">
        <v>0.5</v>
      </c>
      <c r="T68" s="169">
        <v>0</v>
      </c>
      <c r="U68" s="245">
        <v>336886.875</v>
      </c>
      <c r="V68" s="166" t="s">
        <v>319</v>
      </c>
      <c r="W68" s="166">
        <v>0</v>
      </c>
      <c r="X68" s="166">
        <v>0</v>
      </c>
      <c r="Y68" s="166">
        <v>0</v>
      </c>
      <c r="Z68" s="166">
        <v>0</v>
      </c>
      <c r="AA68" s="166">
        <v>0</v>
      </c>
      <c r="AB68" s="166">
        <v>0</v>
      </c>
      <c r="AC68" s="245">
        <v>325657.3125</v>
      </c>
      <c r="AD68" s="166">
        <v>11229.5625</v>
      </c>
      <c r="AE68" s="166">
        <v>0</v>
      </c>
      <c r="AF68" s="166">
        <v>-11229.5625</v>
      </c>
      <c r="AG68" s="166">
        <v>0</v>
      </c>
      <c r="AH68" s="246">
        <v>67377.375</v>
      </c>
      <c r="AI68" s="166">
        <v>0</v>
      </c>
      <c r="AJ68" s="166">
        <v>-67377.375</v>
      </c>
      <c r="AK68" s="247">
        <v>0</v>
      </c>
      <c r="AL68" s="170">
        <v>0</v>
      </c>
      <c r="AM68" s="166">
        <v>269509.5</v>
      </c>
      <c r="AN68" s="167">
        <v>0</v>
      </c>
      <c r="AO68" s="170">
        <v>0</v>
      </c>
      <c r="AP68" s="166">
        <v>385548.3125</v>
      </c>
      <c r="AQ68" s="171">
        <v>1</v>
      </c>
      <c r="AR68" s="166">
        <v>336886.875</v>
      </c>
      <c r="AS68" s="166">
        <v>5.625</v>
      </c>
      <c r="AT68" s="166">
        <v>37431.875</v>
      </c>
      <c r="AU68" s="166">
        <v>0</v>
      </c>
      <c r="AV68" s="166">
        <v>-37431.875</v>
      </c>
      <c r="AW68" s="166">
        <v>0</v>
      </c>
      <c r="AX68" s="166">
        <v>67377.375</v>
      </c>
      <c r="AY68" s="166">
        <v>0</v>
      </c>
      <c r="AZ68" s="166">
        <v>-67377.375</v>
      </c>
      <c r="BA68" s="166">
        <v>0</v>
      </c>
      <c r="BB68" s="166">
        <v>5.625</v>
      </c>
      <c r="BC68" s="166">
        <v>5.4375</v>
      </c>
      <c r="BD68" s="166">
        <v>26202.3125</v>
      </c>
      <c r="BE68" s="166">
        <v>0</v>
      </c>
      <c r="BF68" s="166">
        <v>-26202.3125</v>
      </c>
      <c r="BG68" s="166">
        <v>0</v>
      </c>
      <c r="BH68" s="166">
        <v>56147.8125</v>
      </c>
      <c r="BI68" s="166">
        <v>0</v>
      </c>
      <c r="BJ68" s="166">
        <v>-56147.8125</v>
      </c>
      <c r="BK68" s="166">
        <v>0</v>
      </c>
      <c r="BL68" s="166">
        <v>385548.3125</v>
      </c>
      <c r="BM68" s="166" t="s">
        <v>323</v>
      </c>
      <c r="BN68" s="166">
        <v>0</v>
      </c>
      <c r="BO68" s="166" t="b">
        <v>0</v>
      </c>
      <c r="BP68" s="166">
        <v>-56147.8125</v>
      </c>
      <c r="BQ68" s="168">
        <v>1.1200000000000001</v>
      </c>
      <c r="BR68" s="167">
        <v>67077.919999999998</v>
      </c>
      <c r="BS68" s="173">
        <v>71</v>
      </c>
      <c r="BT68" s="167">
        <v>11229.5625</v>
      </c>
      <c r="BU68" s="231">
        <v>59891</v>
      </c>
      <c r="BV68" s="167">
        <v>6</v>
      </c>
      <c r="BW68" s="174">
        <v>5.625</v>
      </c>
      <c r="BX68" s="174">
        <v>0</v>
      </c>
      <c r="BY68" s="166">
        <v>0</v>
      </c>
      <c r="BZ68" s="166">
        <v>0</v>
      </c>
      <c r="CA68" s="166">
        <v>0</v>
      </c>
      <c r="CB68" s="166">
        <v>0</v>
      </c>
      <c r="CC68" s="166">
        <v>0</v>
      </c>
      <c r="CD68" s="166">
        <v>0</v>
      </c>
      <c r="CE68" s="166">
        <v>0</v>
      </c>
      <c r="CF68" s="166">
        <v>0</v>
      </c>
      <c r="CG68" s="166">
        <v>56147.8125</v>
      </c>
      <c r="CH68" s="166">
        <v>0</v>
      </c>
      <c r="CI68" s="166">
        <v>-56147.8125</v>
      </c>
      <c r="CJ68" s="166">
        <v>0</v>
      </c>
      <c r="CK68" s="167">
        <v>0</v>
      </c>
      <c r="CL68" s="167">
        <v>0</v>
      </c>
    </row>
    <row r="69" spans="1:90" outlineLevel="3" x14ac:dyDescent="0.3">
      <c r="A69" s="137" t="s">
        <v>339</v>
      </c>
      <c r="B69" s="137" t="s">
        <v>405</v>
      </c>
      <c r="C69" s="137" t="s">
        <v>378</v>
      </c>
      <c r="D69" s="137" t="s">
        <v>379</v>
      </c>
      <c r="E69" s="137" t="s">
        <v>515</v>
      </c>
      <c r="F69" s="137" t="s">
        <v>514</v>
      </c>
      <c r="G69" s="137" t="s">
        <v>406</v>
      </c>
      <c r="H69" s="137" t="s">
        <v>322</v>
      </c>
      <c r="I69" s="163" t="s">
        <v>317</v>
      </c>
      <c r="J69" s="165">
        <v>1339286</v>
      </c>
      <c r="K69" s="165">
        <v>1339286</v>
      </c>
      <c r="L69" s="167">
        <v>0</v>
      </c>
      <c r="M69" s="167">
        <v>0.03</v>
      </c>
      <c r="N69" s="167">
        <v>1</v>
      </c>
      <c r="O69" s="166">
        <v>14.875</v>
      </c>
      <c r="P69" s="168">
        <v>15.6875</v>
      </c>
      <c r="Q69" s="168">
        <v>-0.8125</v>
      </c>
      <c r="R69" s="169">
        <v>0</v>
      </c>
      <c r="S69" s="279">
        <v>1</v>
      </c>
      <c r="T69" s="169">
        <v>0</v>
      </c>
      <c r="U69" s="245">
        <v>19921879.25</v>
      </c>
      <c r="V69" s="166" t="s">
        <v>319</v>
      </c>
      <c r="W69" s="166">
        <v>597656.37749999994</v>
      </c>
      <c r="X69" s="166">
        <v>0</v>
      </c>
      <c r="Y69" s="166">
        <v>597656.37749999994</v>
      </c>
      <c r="Z69" s="166">
        <v>0</v>
      </c>
      <c r="AA69" s="166">
        <v>0</v>
      </c>
      <c r="AB69" s="166">
        <v>0</v>
      </c>
      <c r="AC69" s="245">
        <v>21010049.125</v>
      </c>
      <c r="AD69" s="166">
        <v>-1088169.875</v>
      </c>
      <c r="AE69" s="166">
        <v>0</v>
      </c>
      <c r="AF69" s="166">
        <v>1088169.875</v>
      </c>
      <c r="AG69" s="166">
        <v>0</v>
      </c>
      <c r="AH69" s="246">
        <v>-3180804.25</v>
      </c>
      <c r="AI69" s="166">
        <v>0</v>
      </c>
      <c r="AJ69" s="166">
        <v>3180804.25</v>
      </c>
      <c r="AK69" s="247">
        <v>0</v>
      </c>
      <c r="AL69" s="170">
        <v>0</v>
      </c>
      <c r="AM69" s="166">
        <v>23102683.5</v>
      </c>
      <c r="AN69" s="167">
        <v>0</v>
      </c>
      <c r="AO69" s="170">
        <v>0</v>
      </c>
      <c r="AP69" s="166">
        <v>0</v>
      </c>
      <c r="AQ69" s="171">
        <v>1</v>
      </c>
      <c r="AR69" s="166">
        <v>19921879.25</v>
      </c>
      <c r="AS69" s="166">
        <v>14.875</v>
      </c>
      <c r="AT69" s="166">
        <v>-2343750.5</v>
      </c>
      <c r="AU69" s="166">
        <v>0</v>
      </c>
      <c r="AV69" s="166">
        <v>2343750.5</v>
      </c>
      <c r="AW69" s="166">
        <v>0</v>
      </c>
      <c r="AX69" s="166">
        <v>-3180804.25</v>
      </c>
      <c r="AY69" s="166">
        <v>0</v>
      </c>
      <c r="AZ69" s="166">
        <v>3180804.25</v>
      </c>
      <c r="BA69" s="166">
        <v>0</v>
      </c>
      <c r="BB69" s="166">
        <v>14.875</v>
      </c>
      <c r="BC69" s="166">
        <v>15.6875</v>
      </c>
      <c r="BD69" s="166">
        <v>-1255580.625</v>
      </c>
      <c r="BE69" s="166">
        <v>0</v>
      </c>
      <c r="BF69" s="166">
        <v>1255580.625</v>
      </c>
      <c r="BG69" s="166">
        <v>0</v>
      </c>
      <c r="BH69" s="166">
        <v>-2092634.375</v>
      </c>
      <c r="BI69" s="166">
        <v>0</v>
      </c>
      <c r="BJ69" s="166">
        <v>2092634.375</v>
      </c>
      <c r="BK69" s="166">
        <v>0</v>
      </c>
      <c r="BL69" s="166">
        <v>0</v>
      </c>
      <c r="BM69" s="166" t="s">
        <v>323</v>
      </c>
      <c r="BN69" s="166">
        <v>0</v>
      </c>
      <c r="BO69" s="166" t="b">
        <v>0</v>
      </c>
      <c r="BP69" s="166">
        <v>2092634.375</v>
      </c>
      <c r="BQ69" s="168">
        <v>0</v>
      </c>
      <c r="BR69" s="167">
        <v>0</v>
      </c>
      <c r="BS69" s="173">
        <v>71</v>
      </c>
      <c r="BT69" s="167">
        <v>-1088169.875</v>
      </c>
      <c r="BU69" s="231">
        <v>1339286</v>
      </c>
      <c r="BV69" s="167">
        <v>22</v>
      </c>
      <c r="BW69" s="174">
        <v>14.875</v>
      </c>
      <c r="BX69" s="174">
        <v>0</v>
      </c>
      <c r="BY69" s="166">
        <v>0</v>
      </c>
      <c r="BZ69" s="166">
        <v>0</v>
      </c>
      <c r="CA69" s="166">
        <v>0</v>
      </c>
      <c r="CB69" s="166">
        <v>0</v>
      </c>
      <c r="CC69" s="166">
        <v>0</v>
      </c>
      <c r="CD69" s="166">
        <v>0</v>
      </c>
      <c r="CE69" s="166">
        <v>0</v>
      </c>
      <c r="CF69" s="166">
        <v>0</v>
      </c>
      <c r="CG69" s="166">
        <v>-2092634.375</v>
      </c>
      <c r="CH69" s="166">
        <v>0</v>
      </c>
      <c r="CI69" s="166">
        <v>2092634.375</v>
      </c>
      <c r="CJ69" s="166">
        <v>0</v>
      </c>
      <c r="CK69" s="167">
        <v>0.03</v>
      </c>
      <c r="CL69" s="167">
        <v>0</v>
      </c>
    </row>
    <row r="70" spans="1:90" s="189" customFormat="1" ht="20.100000000000001" customHeight="1" outlineLevel="2" x14ac:dyDescent="0.3">
      <c r="A70" s="176" t="s">
        <v>340</v>
      </c>
      <c r="B70" s="176"/>
      <c r="C70" s="176"/>
      <c r="D70" s="176"/>
      <c r="E70" s="176"/>
      <c r="F70" s="176"/>
      <c r="G70" s="176"/>
      <c r="H70" s="176"/>
      <c r="I70" s="177"/>
      <c r="J70" s="179"/>
      <c r="K70" s="179"/>
      <c r="L70" s="181"/>
      <c r="M70" s="181"/>
      <c r="N70" s="181"/>
      <c r="O70" s="180"/>
      <c r="P70" s="182"/>
      <c r="Q70" s="182"/>
      <c r="R70" s="183">
        <v>0</v>
      </c>
      <c r="S70" s="280">
        <v>1.5</v>
      </c>
      <c r="T70" s="183">
        <v>0</v>
      </c>
      <c r="U70" s="248">
        <v>20258766.125</v>
      </c>
      <c r="V70" s="180"/>
      <c r="W70" s="180">
        <v>597656.37749999994</v>
      </c>
      <c r="X70" s="180">
        <v>0</v>
      </c>
      <c r="Y70" s="180">
        <v>597656.37749999994</v>
      </c>
      <c r="Z70" s="180">
        <v>0</v>
      </c>
      <c r="AA70" s="180">
        <v>0</v>
      </c>
      <c r="AB70" s="180">
        <v>0</v>
      </c>
      <c r="AC70" s="248">
        <v>21335706.4375</v>
      </c>
      <c r="AD70" s="180">
        <v>-1076940.3125</v>
      </c>
      <c r="AE70" s="180">
        <v>0</v>
      </c>
      <c r="AF70" s="180">
        <v>1076940.3125</v>
      </c>
      <c r="AG70" s="180">
        <v>0</v>
      </c>
      <c r="AH70" s="249">
        <v>-3113426.875</v>
      </c>
      <c r="AI70" s="180">
        <v>0</v>
      </c>
      <c r="AJ70" s="180">
        <v>3113426.875</v>
      </c>
      <c r="AK70" s="250">
        <v>0</v>
      </c>
      <c r="AL70" s="184"/>
      <c r="AM70" s="180">
        <v>23372193</v>
      </c>
      <c r="AN70" s="181"/>
      <c r="AO70" s="184"/>
      <c r="AP70" s="180">
        <v>385548.3125</v>
      </c>
      <c r="AQ70" s="185"/>
      <c r="AR70" s="180"/>
      <c r="AS70" s="180"/>
      <c r="AT70" s="180">
        <v>-2306318.625</v>
      </c>
      <c r="AU70" s="180">
        <v>0</v>
      </c>
      <c r="AV70" s="180">
        <v>2306318.625</v>
      </c>
      <c r="AW70" s="180">
        <v>0</v>
      </c>
      <c r="AX70" s="180">
        <v>-3113426.875</v>
      </c>
      <c r="AY70" s="180">
        <v>0</v>
      </c>
      <c r="AZ70" s="180">
        <v>3113426.875</v>
      </c>
      <c r="BA70" s="180">
        <v>0</v>
      </c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2"/>
      <c r="BR70" s="181"/>
      <c r="BS70" s="187"/>
      <c r="BT70" s="181"/>
      <c r="BU70" s="224"/>
      <c r="BV70" s="181"/>
      <c r="BW70" s="188"/>
      <c r="BX70" s="188"/>
      <c r="BY70" s="180"/>
      <c r="BZ70" s="180"/>
      <c r="CA70" s="180">
        <v>0</v>
      </c>
      <c r="CB70" s="180"/>
      <c r="CC70" s="180"/>
      <c r="CD70" s="180"/>
      <c r="CE70" s="180"/>
      <c r="CF70" s="180"/>
      <c r="CG70" s="180"/>
      <c r="CH70" s="180"/>
      <c r="CI70" s="180"/>
      <c r="CJ70" s="180"/>
      <c r="CK70" s="181"/>
      <c r="CL70" s="181"/>
    </row>
    <row r="71" spans="1:90" outlineLevel="3" x14ac:dyDescent="0.3">
      <c r="A71" s="137" t="s">
        <v>356</v>
      </c>
      <c r="B71" s="137" t="s">
        <v>405</v>
      </c>
      <c r="C71" s="137" t="s">
        <v>378</v>
      </c>
      <c r="D71" s="137" t="s">
        <v>379</v>
      </c>
      <c r="E71" s="137" t="s">
        <v>216</v>
      </c>
      <c r="F71" s="137" t="s">
        <v>196</v>
      </c>
      <c r="G71" s="137" t="s">
        <v>406</v>
      </c>
      <c r="H71" s="137" t="s">
        <v>316</v>
      </c>
      <c r="I71" s="163" t="s">
        <v>357</v>
      </c>
      <c r="J71" s="165">
        <v>1</v>
      </c>
      <c r="K71" s="165">
        <v>1</v>
      </c>
      <c r="L71" s="167">
        <v>0</v>
      </c>
      <c r="M71" s="167">
        <v>0</v>
      </c>
      <c r="N71" s="167">
        <v>0</v>
      </c>
      <c r="O71" s="166">
        <v>2013591.6599838899</v>
      </c>
      <c r="P71" s="167">
        <v>2013591.6599838899</v>
      </c>
      <c r="Q71" s="167">
        <v>0</v>
      </c>
      <c r="R71" s="169" t="s">
        <v>416</v>
      </c>
      <c r="S71" s="282">
        <v>0.75</v>
      </c>
      <c r="T71" s="169">
        <v>0</v>
      </c>
      <c r="U71" s="245">
        <v>2013591.6599838899</v>
      </c>
      <c r="V71" s="166" t="s">
        <v>319</v>
      </c>
      <c r="W71" s="166">
        <v>0</v>
      </c>
      <c r="X71" s="166">
        <v>0</v>
      </c>
      <c r="Y71" s="166">
        <v>0</v>
      </c>
      <c r="Z71" s="166">
        <v>0</v>
      </c>
      <c r="AA71" s="166">
        <v>0</v>
      </c>
      <c r="AB71" s="166">
        <v>0</v>
      </c>
      <c r="AC71" s="245">
        <v>2013591.6599838899</v>
      </c>
      <c r="AD71" s="166">
        <v>0</v>
      </c>
      <c r="AE71" s="166">
        <v>0</v>
      </c>
      <c r="AF71" s="166">
        <v>0</v>
      </c>
      <c r="AG71" s="166">
        <v>0</v>
      </c>
      <c r="AH71" s="246">
        <v>0</v>
      </c>
      <c r="AI71" s="166">
        <v>0</v>
      </c>
      <c r="AJ71" s="166">
        <v>0</v>
      </c>
      <c r="AK71" s="247">
        <v>0</v>
      </c>
      <c r="AL71" s="170">
        <v>0</v>
      </c>
      <c r="AM71" s="166">
        <v>2013591.6599838899</v>
      </c>
      <c r="AN71" s="167">
        <v>0</v>
      </c>
      <c r="AO71" s="170">
        <v>0</v>
      </c>
      <c r="AP71" s="166">
        <v>2002698.811523003</v>
      </c>
      <c r="AQ71" s="171">
        <v>1</v>
      </c>
      <c r="AR71" s="166">
        <v>0</v>
      </c>
      <c r="AS71" s="166">
        <v>2013591.6599838899</v>
      </c>
      <c r="AT71" s="166">
        <v>0</v>
      </c>
      <c r="AU71" s="166">
        <v>0</v>
      </c>
      <c r="AV71" s="166">
        <v>0</v>
      </c>
      <c r="AW71" s="166">
        <v>0</v>
      </c>
      <c r="AX71" s="166">
        <v>0</v>
      </c>
      <c r="AY71" s="166">
        <v>0</v>
      </c>
      <c r="AZ71" s="166">
        <v>0</v>
      </c>
      <c r="BA71" s="166">
        <v>0</v>
      </c>
      <c r="BB71" s="166" t="s">
        <v>196</v>
      </c>
      <c r="BC71" s="166" t="s">
        <v>196</v>
      </c>
      <c r="BD71" s="166">
        <v>0</v>
      </c>
      <c r="BE71" s="166">
        <v>0</v>
      </c>
      <c r="BF71" s="166">
        <v>0</v>
      </c>
      <c r="BG71" s="166">
        <v>0</v>
      </c>
      <c r="BH71" s="166">
        <v>0</v>
      </c>
      <c r="BI71" s="166">
        <v>0</v>
      </c>
      <c r="BJ71" s="166">
        <v>0</v>
      </c>
      <c r="BK71" s="166">
        <v>0</v>
      </c>
      <c r="BL71" s="166">
        <v>2002698.811523003</v>
      </c>
      <c r="BM71" s="166" t="s">
        <v>323</v>
      </c>
      <c r="BN71" s="166">
        <v>0</v>
      </c>
      <c r="BO71" s="166" t="b">
        <v>0</v>
      </c>
      <c r="BP71" s="166">
        <v>0</v>
      </c>
      <c r="BQ71" s="168">
        <v>0</v>
      </c>
      <c r="BR71" s="167">
        <v>0</v>
      </c>
      <c r="BS71" s="173">
        <v>79</v>
      </c>
      <c r="BT71" s="167">
        <v>0</v>
      </c>
      <c r="BU71" s="231">
        <v>0</v>
      </c>
      <c r="BV71" s="167">
        <v>153</v>
      </c>
      <c r="BW71" s="174">
        <v>0</v>
      </c>
      <c r="BX71" s="174">
        <v>0</v>
      </c>
      <c r="BY71" s="166">
        <v>0</v>
      </c>
      <c r="BZ71" s="166">
        <v>0</v>
      </c>
      <c r="CA71" s="166">
        <v>0</v>
      </c>
      <c r="CB71" s="166">
        <v>0</v>
      </c>
      <c r="CC71" s="166">
        <v>0</v>
      </c>
      <c r="CD71" s="166">
        <v>0</v>
      </c>
      <c r="CE71" s="166">
        <v>0</v>
      </c>
      <c r="CF71" s="166">
        <v>0</v>
      </c>
      <c r="CG71" s="166">
        <v>0</v>
      </c>
      <c r="CH71" s="166">
        <v>0</v>
      </c>
      <c r="CI71" s="166">
        <v>0</v>
      </c>
      <c r="CJ71" s="166">
        <v>0</v>
      </c>
      <c r="CK71" s="167">
        <v>0</v>
      </c>
      <c r="CL71" s="167">
        <v>0</v>
      </c>
    </row>
    <row r="72" spans="1:90" s="189" customFormat="1" ht="20.100000000000001" customHeight="1" outlineLevel="2" x14ac:dyDescent="0.3">
      <c r="A72" s="176" t="s">
        <v>359</v>
      </c>
      <c r="B72" s="176"/>
      <c r="C72" s="176"/>
      <c r="D72" s="176"/>
      <c r="E72" s="176"/>
      <c r="F72" s="176"/>
      <c r="G72" s="176"/>
      <c r="H72" s="176"/>
      <c r="I72" s="177"/>
      <c r="J72" s="179"/>
      <c r="K72" s="179"/>
      <c r="L72" s="181"/>
      <c r="M72" s="181"/>
      <c r="N72" s="181"/>
      <c r="O72" s="180"/>
      <c r="P72" s="181"/>
      <c r="Q72" s="181"/>
      <c r="R72" s="183">
        <v>0</v>
      </c>
      <c r="S72" s="283">
        <v>0.75</v>
      </c>
      <c r="T72" s="183">
        <v>0</v>
      </c>
      <c r="U72" s="248">
        <v>2013591.6599838899</v>
      </c>
      <c r="V72" s="180"/>
      <c r="W72" s="180">
        <v>0</v>
      </c>
      <c r="X72" s="180">
        <v>0</v>
      </c>
      <c r="Y72" s="180">
        <v>0</v>
      </c>
      <c r="Z72" s="180">
        <v>0</v>
      </c>
      <c r="AA72" s="180">
        <v>0</v>
      </c>
      <c r="AB72" s="180">
        <v>0</v>
      </c>
      <c r="AC72" s="248">
        <v>2013591.6599838899</v>
      </c>
      <c r="AD72" s="180">
        <v>0</v>
      </c>
      <c r="AE72" s="180">
        <v>0</v>
      </c>
      <c r="AF72" s="180">
        <v>0</v>
      </c>
      <c r="AG72" s="180">
        <v>0</v>
      </c>
      <c r="AH72" s="249">
        <v>0</v>
      </c>
      <c r="AI72" s="180">
        <v>0</v>
      </c>
      <c r="AJ72" s="180">
        <v>0</v>
      </c>
      <c r="AK72" s="250">
        <v>0</v>
      </c>
      <c r="AL72" s="184"/>
      <c r="AM72" s="180">
        <v>2013591.6599838899</v>
      </c>
      <c r="AN72" s="181"/>
      <c r="AO72" s="184"/>
      <c r="AP72" s="180">
        <v>2002698.811523003</v>
      </c>
      <c r="AQ72" s="185"/>
      <c r="AR72" s="180"/>
      <c r="AS72" s="180"/>
      <c r="AT72" s="180">
        <v>0</v>
      </c>
      <c r="AU72" s="180">
        <v>0</v>
      </c>
      <c r="AV72" s="180">
        <v>0</v>
      </c>
      <c r="AW72" s="180">
        <v>0</v>
      </c>
      <c r="AX72" s="180">
        <v>0</v>
      </c>
      <c r="AY72" s="180">
        <v>0</v>
      </c>
      <c r="AZ72" s="180">
        <v>0</v>
      </c>
      <c r="BA72" s="180">
        <v>0</v>
      </c>
      <c r="BB72" s="180"/>
      <c r="BC72" s="180"/>
      <c r="BD72" s="180"/>
      <c r="BE72" s="180"/>
      <c r="BF72" s="180"/>
      <c r="BG72" s="180"/>
      <c r="BH72" s="180"/>
      <c r="BI72" s="180"/>
      <c r="BJ72" s="180"/>
      <c r="BK72" s="180"/>
      <c r="BL72" s="180"/>
      <c r="BM72" s="180"/>
      <c r="BN72" s="180"/>
      <c r="BO72" s="180"/>
      <c r="BP72" s="180"/>
      <c r="BQ72" s="182"/>
      <c r="BR72" s="181"/>
      <c r="BS72" s="187"/>
      <c r="BT72" s="181"/>
      <c r="BU72" s="224"/>
      <c r="BV72" s="181"/>
      <c r="BW72" s="188"/>
      <c r="BX72" s="188"/>
      <c r="BY72" s="180"/>
      <c r="BZ72" s="180"/>
      <c r="CA72" s="180">
        <v>0</v>
      </c>
      <c r="CB72" s="180"/>
      <c r="CC72" s="180"/>
      <c r="CD72" s="180"/>
      <c r="CE72" s="180"/>
      <c r="CF72" s="180"/>
      <c r="CG72" s="180"/>
      <c r="CH72" s="180"/>
      <c r="CI72" s="180"/>
      <c r="CJ72" s="180"/>
      <c r="CK72" s="181"/>
      <c r="CL72" s="181"/>
    </row>
    <row r="73" spans="1:90" outlineLevel="3" x14ac:dyDescent="0.3">
      <c r="A73" s="137" t="s">
        <v>395</v>
      </c>
      <c r="B73" s="137" t="s">
        <v>405</v>
      </c>
      <c r="C73" s="137" t="s">
        <v>378</v>
      </c>
      <c r="D73" s="137" t="s">
        <v>379</v>
      </c>
      <c r="E73" s="137" t="s">
        <v>555</v>
      </c>
      <c r="F73" s="137" t="s">
        <v>396</v>
      </c>
      <c r="G73" s="137" t="s">
        <v>503</v>
      </c>
      <c r="H73" s="137" t="s">
        <v>349</v>
      </c>
      <c r="I73" s="163" t="s">
        <v>349</v>
      </c>
      <c r="J73" s="164">
        <v>1</v>
      </c>
      <c r="K73" s="165">
        <v>1</v>
      </c>
      <c r="L73" s="167">
        <v>0</v>
      </c>
      <c r="M73" s="167">
        <v>0</v>
      </c>
      <c r="N73" s="167">
        <v>1</v>
      </c>
      <c r="O73" s="166">
        <v>23513434.5</v>
      </c>
      <c r="P73" s="167">
        <v>23513434.5</v>
      </c>
      <c r="Q73" s="167">
        <v>0</v>
      </c>
      <c r="R73" s="169" t="s">
        <v>417</v>
      </c>
      <c r="S73" s="279">
        <v>0.75</v>
      </c>
      <c r="T73" s="169">
        <v>0</v>
      </c>
      <c r="U73" s="245">
        <v>23513434.5</v>
      </c>
      <c r="V73" s="166" t="s">
        <v>319</v>
      </c>
      <c r="W73" s="166">
        <v>0</v>
      </c>
      <c r="X73" s="166">
        <v>0</v>
      </c>
      <c r="Y73" s="166">
        <v>0</v>
      </c>
      <c r="Z73" s="166">
        <v>0</v>
      </c>
      <c r="AA73" s="166">
        <v>0</v>
      </c>
      <c r="AB73" s="166">
        <v>0</v>
      </c>
      <c r="AC73" s="245">
        <v>23513434.5</v>
      </c>
      <c r="AD73" s="166">
        <v>0</v>
      </c>
      <c r="AE73" s="166">
        <v>0</v>
      </c>
      <c r="AF73" s="166">
        <v>0</v>
      </c>
      <c r="AG73" s="166">
        <v>0</v>
      </c>
      <c r="AH73" s="246">
        <v>0</v>
      </c>
      <c r="AI73" s="166">
        <v>0</v>
      </c>
      <c r="AJ73" s="166">
        <v>0</v>
      </c>
      <c r="AK73" s="247">
        <v>0</v>
      </c>
      <c r="AL73" s="170">
        <v>0</v>
      </c>
      <c r="AM73" s="166">
        <v>23513434.5</v>
      </c>
      <c r="AN73" s="170">
        <v>0</v>
      </c>
      <c r="AO73" s="170">
        <v>0</v>
      </c>
      <c r="AP73" s="166">
        <v>23513434.5</v>
      </c>
      <c r="AQ73" s="171">
        <v>1</v>
      </c>
      <c r="AR73" s="166">
        <v>23513434.5</v>
      </c>
      <c r="AS73" s="166">
        <v>23513434.5</v>
      </c>
      <c r="AT73" s="166">
        <v>0</v>
      </c>
      <c r="AU73" s="166">
        <v>0</v>
      </c>
      <c r="AV73" s="166">
        <v>0</v>
      </c>
      <c r="AW73" s="166">
        <v>0</v>
      </c>
      <c r="AX73" s="166">
        <v>0</v>
      </c>
      <c r="AY73" s="166">
        <v>0</v>
      </c>
      <c r="AZ73" s="166">
        <v>0</v>
      </c>
      <c r="BA73" s="166">
        <v>0</v>
      </c>
      <c r="BB73" s="166" t="s">
        <v>196</v>
      </c>
      <c r="BC73" s="166" t="s">
        <v>196</v>
      </c>
      <c r="BD73" s="166">
        <v>0</v>
      </c>
      <c r="BE73" s="166">
        <v>0</v>
      </c>
      <c r="BF73" s="166">
        <v>0</v>
      </c>
      <c r="BG73" s="166">
        <v>0</v>
      </c>
      <c r="BH73" s="166">
        <v>0</v>
      </c>
      <c r="BI73" s="166">
        <v>0</v>
      </c>
      <c r="BJ73" s="166">
        <v>0</v>
      </c>
      <c r="BK73" s="166">
        <v>0</v>
      </c>
      <c r="BL73" s="166">
        <v>23513434.5</v>
      </c>
      <c r="BM73" s="166" t="s">
        <v>320</v>
      </c>
      <c r="BN73" s="166">
        <v>0</v>
      </c>
      <c r="BO73" s="166" t="b">
        <v>0</v>
      </c>
      <c r="BP73" s="166">
        <v>0</v>
      </c>
      <c r="BQ73" s="167">
        <v>0</v>
      </c>
      <c r="BR73" s="167">
        <v>0</v>
      </c>
      <c r="BS73" s="173">
        <v>74</v>
      </c>
      <c r="BT73" s="167">
        <v>0</v>
      </c>
      <c r="BU73" s="231">
        <v>0</v>
      </c>
      <c r="BV73" s="167">
        <v>81</v>
      </c>
      <c r="BW73" s="174">
        <v>0</v>
      </c>
      <c r="BX73" s="174">
        <v>0</v>
      </c>
      <c r="BY73" s="166">
        <v>0</v>
      </c>
      <c r="BZ73" s="166">
        <v>0</v>
      </c>
      <c r="CA73" s="166">
        <v>0</v>
      </c>
      <c r="CB73" s="166">
        <v>0</v>
      </c>
      <c r="CC73" s="166">
        <v>0</v>
      </c>
      <c r="CD73" s="166">
        <v>0</v>
      </c>
      <c r="CE73" s="166">
        <v>0</v>
      </c>
      <c r="CF73" s="166">
        <v>0</v>
      </c>
      <c r="CG73" s="166">
        <v>0</v>
      </c>
      <c r="CH73" s="166">
        <v>0</v>
      </c>
      <c r="CI73" s="166">
        <v>0</v>
      </c>
      <c r="CJ73" s="166">
        <v>0</v>
      </c>
      <c r="CK73" s="167">
        <v>0</v>
      </c>
      <c r="CL73" s="167">
        <v>0</v>
      </c>
    </row>
    <row r="74" spans="1:90" outlineLevel="3" x14ac:dyDescent="0.3">
      <c r="A74" s="137" t="s">
        <v>395</v>
      </c>
      <c r="B74" s="137" t="s">
        <v>405</v>
      </c>
      <c r="C74" s="137" t="s">
        <v>378</v>
      </c>
      <c r="D74" s="137" t="s">
        <v>379</v>
      </c>
      <c r="E74" s="137" t="s">
        <v>217</v>
      </c>
      <c r="F74" s="137" t="s">
        <v>396</v>
      </c>
      <c r="G74" s="137" t="s">
        <v>406</v>
      </c>
      <c r="H74" s="137" t="s">
        <v>349</v>
      </c>
      <c r="I74" s="163" t="s">
        <v>349</v>
      </c>
      <c r="J74" s="164">
        <v>1</v>
      </c>
      <c r="K74" s="165">
        <v>1</v>
      </c>
      <c r="L74" s="167">
        <v>0</v>
      </c>
      <c r="M74" s="167">
        <v>0</v>
      </c>
      <c r="N74" s="167">
        <v>1</v>
      </c>
      <c r="O74" s="166">
        <v>1374750</v>
      </c>
      <c r="P74" s="167">
        <v>1374750</v>
      </c>
      <c r="Q74" s="167">
        <v>0</v>
      </c>
      <c r="R74" s="169" t="s">
        <v>418</v>
      </c>
      <c r="S74" s="279">
        <v>0.75</v>
      </c>
      <c r="T74" s="169">
        <v>0</v>
      </c>
      <c r="U74" s="245">
        <v>1374750</v>
      </c>
      <c r="V74" s="166" t="s">
        <v>319</v>
      </c>
      <c r="W74" s="166">
        <v>0</v>
      </c>
      <c r="X74" s="166">
        <v>0</v>
      </c>
      <c r="Y74" s="166">
        <v>0</v>
      </c>
      <c r="Z74" s="166">
        <v>0</v>
      </c>
      <c r="AA74" s="166">
        <v>0</v>
      </c>
      <c r="AB74" s="166">
        <v>0</v>
      </c>
      <c r="AC74" s="245">
        <v>1374750</v>
      </c>
      <c r="AD74" s="166">
        <v>0</v>
      </c>
      <c r="AE74" s="166">
        <v>0</v>
      </c>
      <c r="AF74" s="166">
        <v>0</v>
      </c>
      <c r="AG74" s="166">
        <v>0</v>
      </c>
      <c r="AH74" s="246">
        <v>0</v>
      </c>
      <c r="AI74" s="166">
        <v>0</v>
      </c>
      <c r="AJ74" s="166">
        <v>0</v>
      </c>
      <c r="AK74" s="247">
        <v>0</v>
      </c>
      <c r="AL74" s="170">
        <v>0</v>
      </c>
      <c r="AM74" s="166">
        <v>1374750</v>
      </c>
      <c r="AN74" s="170">
        <v>0</v>
      </c>
      <c r="AO74" s="170">
        <v>0</v>
      </c>
      <c r="AP74" s="166">
        <v>1374750</v>
      </c>
      <c r="AQ74" s="171">
        <v>1</v>
      </c>
      <c r="AR74" s="166">
        <v>1374750</v>
      </c>
      <c r="AS74" s="166">
        <v>1374750</v>
      </c>
      <c r="AT74" s="166">
        <v>0</v>
      </c>
      <c r="AU74" s="166">
        <v>0</v>
      </c>
      <c r="AV74" s="166">
        <v>0</v>
      </c>
      <c r="AW74" s="166">
        <v>0</v>
      </c>
      <c r="AX74" s="166">
        <v>0</v>
      </c>
      <c r="AY74" s="166">
        <v>0</v>
      </c>
      <c r="AZ74" s="166">
        <v>0</v>
      </c>
      <c r="BA74" s="166">
        <v>0</v>
      </c>
      <c r="BB74" s="166" t="s">
        <v>196</v>
      </c>
      <c r="BC74" s="166" t="s">
        <v>196</v>
      </c>
      <c r="BD74" s="166">
        <v>0</v>
      </c>
      <c r="BE74" s="166">
        <v>0</v>
      </c>
      <c r="BF74" s="166">
        <v>0</v>
      </c>
      <c r="BG74" s="166">
        <v>0</v>
      </c>
      <c r="BH74" s="166">
        <v>0</v>
      </c>
      <c r="BI74" s="166">
        <v>0</v>
      </c>
      <c r="BJ74" s="166">
        <v>0</v>
      </c>
      <c r="BK74" s="166">
        <v>0</v>
      </c>
      <c r="BL74" s="166">
        <v>1374750</v>
      </c>
      <c r="BM74" s="166" t="s">
        <v>320</v>
      </c>
      <c r="BN74" s="166">
        <v>0</v>
      </c>
      <c r="BO74" s="166" t="b">
        <v>0</v>
      </c>
      <c r="BP74" s="166">
        <v>0</v>
      </c>
      <c r="BQ74" s="167">
        <v>0</v>
      </c>
      <c r="BR74" s="167">
        <v>0</v>
      </c>
      <c r="BS74" s="173">
        <v>74</v>
      </c>
      <c r="BT74" s="167">
        <v>0</v>
      </c>
      <c r="BU74" s="231">
        <v>0</v>
      </c>
      <c r="BV74" s="167">
        <v>83</v>
      </c>
      <c r="BW74" s="174">
        <v>0</v>
      </c>
      <c r="BX74" s="174">
        <v>0</v>
      </c>
      <c r="BY74" s="166">
        <v>0</v>
      </c>
      <c r="BZ74" s="166">
        <v>0</v>
      </c>
      <c r="CA74" s="166">
        <v>0</v>
      </c>
      <c r="CB74" s="166">
        <v>0</v>
      </c>
      <c r="CC74" s="166">
        <v>0</v>
      </c>
      <c r="CD74" s="166">
        <v>0</v>
      </c>
      <c r="CE74" s="166">
        <v>0</v>
      </c>
      <c r="CF74" s="166">
        <v>0</v>
      </c>
      <c r="CG74" s="166">
        <v>0</v>
      </c>
      <c r="CH74" s="166">
        <v>0</v>
      </c>
      <c r="CI74" s="166">
        <v>0</v>
      </c>
      <c r="CJ74" s="166">
        <v>0</v>
      </c>
      <c r="CK74" s="167">
        <v>0</v>
      </c>
      <c r="CL74" s="167">
        <v>0</v>
      </c>
    </row>
    <row r="75" spans="1:90" s="189" customFormat="1" ht="20.100000000000001" customHeight="1" outlineLevel="2" x14ac:dyDescent="0.3">
      <c r="A75" s="176" t="s">
        <v>398</v>
      </c>
      <c r="B75" s="176"/>
      <c r="C75" s="176"/>
      <c r="D75" s="176"/>
      <c r="E75" s="176"/>
      <c r="F75" s="176"/>
      <c r="G75" s="176"/>
      <c r="H75" s="176"/>
      <c r="I75" s="177"/>
      <c r="J75" s="178"/>
      <c r="K75" s="179"/>
      <c r="L75" s="181"/>
      <c r="M75" s="181"/>
      <c r="N75" s="181"/>
      <c r="O75" s="180"/>
      <c r="P75" s="181"/>
      <c r="Q75" s="181"/>
      <c r="R75" s="183">
        <v>0</v>
      </c>
      <c r="S75" s="280">
        <v>1.5</v>
      </c>
      <c r="T75" s="183">
        <v>0</v>
      </c>
      <c r="U75" s="248">
        <v>24888184.5</v>
      </c>
      <c r="V75" s="180"/>
      <c r="W75" s="180">
        <v>0</v>
      </c>
      <c r="X75" s="180">
        <v>0</v>
      </c>
      <c r="Y75" s="180">
        <v>0</v>
      </c>
      <c r="Z75" s="180">
        <v>0</v>
      </c>
      <c r="AA75" s="180">
        <v>0</v>
      </c>
      <c r="AB75" s="180">
        <v>0</v>
      </c>
      <c r="AC75" s="248">
        <v>24888184.5</v>
      </c>
      <c r="AD75" s="180">
        <v>0</v>
      </c>
      <c r="AE75" s="180">
        <v>0</v>
      </c>
      <c r="AF75" s="180">
        <v>0</v>
      </c>
      <c r="AG75" s="180">
        <v>0</v>
      </c>
      <c r="AH75" s="249">
        <v>0</v>
      </c>
      <c r="AI75" s="180">
        <v>0</v>
      </c>
      <c r="AJ75" s="180">
        <v>0</v>
      </c>
      <c r="AK75" s="250">
        <v>0</v>
      </c>
      <c r="AL75" s="184"/>
      <c r="AM75" s="180">
        <v>24888184.5</v>
      </c>
      <c r="AN75" s="184"/>
      <c r="AO75" s="184"/>
      <c r="AP75" s="180">
        <v>24888184.5</v>
      </c>
      <c r="AQ75" s="185"/>
      <c r="AR75" s="180"/>
      <c r="AS75" s="180"/>
      <c r="AT75" s="180">
        <v>0</v>
      </c>
      <c r="AU75" s="180">
        <v>0</v>
      </c>
      <c r="AV75" s="180">
        <v>0</v>
      </c>
      <c r="AW75" s="180">
        <v>0</v>
      </c>
      <c r="AX75" s="180">
        <v>0</v>
      </c>
      <c r="AY75" s="180">
        <v>0</v>
      </c>
      <c r="AZ75" s="180">
        <v>0</v>
      </c>
      <c r="BA75" s="180">
        <v>0</v>
      </c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1"/>
      <c r="BR75" s="181"/>
      <c r="BS75" s="187"/>
      <c r="BT75" s="181"/>
      <c r="BU75" s="224"/>
      <c r="BV75" s="181"/>
      <c r="BW75" s="188"/>
      <c r="BX75" s="188"/>
      <c r="BY75" s="180"/>
      <c r="BZ75" s="180"/>
      <c r="CA75" s="180">
        <v>0</v>
      </c>
      <c r="CB75" s="180"/>
      <c r="CC75" s="180"/>
      <c r="CD75" s="180"/>
      <c r="CE75" s="180"/>
      <c r="CF75" s="180"/>
      <c r="CG75" s="180"/>
      <c r="CH75" s="180"/>
      <c r="CI75" s="180"/>
      <c r="CJ75" s="180"/>
      <c r="CK75" s="181"/>
      <c r="CL75" s="181"/>
    </row>
    <row r="76" spans="1:90" outlineLevel="3" x14ac:dyDescent="0.3">
      <c r="A76" s="137" t="s">
        <v>545</v>
      </c>
      <c r="B76" s="137" t="s">
        <v>405</v>
      </c>
      <c r="C76" s="137" t="s">
        <v>378</v>
      </c>
      <c r="D76" s="137" t="s">
        <v>379</v>
      </c>
      <c r="E76" s="137" t="s">
        <v>546</v>
      </c>
      <c r="F76" s="137" t="s">
        <v>519</v>
      </c>
      <c r="G76" s="137" t="s">
        <v>348</v>
      </c>
      <c r="H76" s="137" t="s">
        <v>322</v>
      </c>
      <c r="I76" s="163" t="s">
        <v>317</v>
      </c>
      <c r="J76" s="165">
        <v>3314340</v>
      </c>
      <c r="K76" s="165">
        <v>3314340</v>
      </c>
      <c r="L76" s="167">
        <v>0</v>
      </c>
      <c r="M76" s="167">
        <v>0.62</v>
      </c>
      <c r="N76" s="167">
        <v>1</v>
      </c>
      <c r="O76" s="166">
        <v>38.46</v>
      </c>
      <c r="P76" s="168">
        <v>38.450000000000003</v>
      </c>
      <c r="Q76" s="168">
        <v>9.9999999999980105E-3</v>
      </c>
      <c r="R76" s="169" t="s">
        <v>520</v>
      </c>
      <c r="S76" s="279">
        <v>1</v>
      </c>
      <c r="T76" s="169">
        <v>0</v>
      </c>
      <c r="U76" s="245">
        <v>127469516.40000001</v>
      </c>
      <c r="V76" s="166" t="s">
        <v>542</v>
      </c>
      <c r="W76" s="166">
        <v>79031100.167999998</v>
      </c>
      <c r="X76" s="166">
        <v>0</v>
      </c>
      <c r="Y76" s="166">
        <v>79031100.167999998</v>
      </c>
      <c r="Z76" s="166">
        <v>0</v>
      </c>
      <c r="AA76" s="166">
        <v>0</v>
      </c>
      <c r="AB76" s="166">
        <v>0</v>
      </c>
      <c r="AC76" s="245">
        <v>127436373.00000001</v>
      </c>
      <c r="AD76" s="166">
        <v>33143.399999991059</v>
      </c>
      <c r="AE76" s="166">
        <v>0</v>
      </c>
      <c r="AF76" s="166">
        <v>-33143.399999991059</v>
      </c>
      <c r="AG76" s="166">
        <v>0</v>
      </c>
      <c r="AH76" s="246">
        <v>-21261491.099999994</v>
      </c>
      <c r="AI76" s="166">
        <v>0</v>
      </c>
      <c r="AJ76" s="166">
        <v>21261491.099999994</v>
      </c>
      <c r="AK76" s="247">
        <v>0</v>
      </c>
      <c r="AL76" s="170">
        <v>0</v>
      </c>
      <c r="AM76" s="166">
        <v>0</v>
      </c>
      <c r="AN76" s="167">
        <v>0</v>
      </c>
      <c r="AO76" s="170">
        <v>0</v>
      </c>
      <c r="AP76" s="166">
        <v>0</v>
      </c>
      <c r="AQ76" s="171">
        <v>1</v>
      </c>
      <c r="AR76" s="166">
        <v>127469516.40000001</v>
      </c>
      <c r="AS76" s="166">
        <v>38.46</v>
      </c>
      <c r="AT76" s="166">
        <v>298290.60000000591</v>
      </c>
      <c r="AU76" s="166">
        <v>0</v>
      </c>
      <c r="AV76" s="166">
        <v>-298290.60000000591</v>
      </c>
      <c r="AW76" s="166">
        <v>0</v>
      </c>
      <c r="AX76" s="166">
        <v>-21261491.099999994</v>
      </c>
      <c r="AY76" s="166">
        <v>0</v>
      </c>
      <c r="AZ76" s="166">
        <v>21261491.099999994</v>
      </c>
      <c r="BA76" s="166">
        <v>0</v>
      </c>
      <c r="BB76" s="166">
        <v>38.46</v>
      </c>
      <c r="BC76" s="166">
        <v>38.450000000000003</v>
      </c>
      <c r="BD76" s="166">
        <v>265147.20000001485</v>
      </c>
      <c r="BE76" s="166">
        <v>0</v>
      </c>
      <c r="BF76" s="166">
        <v>-265147.20000001485</v>
      </c>
      <c r="BG76" s="166">
        <v>0</v>
      </c>
      <c r="BH76" s="166">
        <v>-21294634.499999985</v>
      </c>
      <c r="BI76" s="166">
        <v>0</v>
      </c>
      <c r="BJ76" s="166">
        <v>21294634.499999985</v>
      </c>
      <c r="BK76" s="166">
        <v>0</v>
      </c>
      <c r="BL76" s="166">
        <v>0</v>
      </c>
      <c r="BM76" s="166" t="s">
        <v>323</v>
      </c>
      <c r="BN76" s="166">
        <v>0</v>
      </c>
      <c r="BO76" s="166" t="b">
        <v>0</v>
      </c>
      <c r="BP76" s="166">
        <v>21294634.499999985</v>
      </c>
      <c r="BQ76" s="168">
        <v>11.95</v>
      </c>
      <c r="BR76" s="167">
        <v>39606363</v>
      </c>
      <c r="BS76" s="173">
        <v>82</v>
      </c>
      <c r="BT76" s="167">
        <v>33143.399999991059</v>
      </c>
      <c r="BU76" s="231">
        <v>3314340</v>
      </c>
      <c r="BV76" s="167">
        <v>8</v>
      </c>
      <c r="BW76" s="174">
        <v>38.46</v>
      </c>
      <c r="BX76" s="174">
        <v>0</v>
      </c>
      <c r="BY76" s="166">
        <v>0</v>
      </c>
      <c r="BZ76" s="166">
        <v>0</v>
      </c>
      <c r="CA76" s="166">
        <v>148731007.5</v>
      </c>
      <c r="CB76" s="166">
        <v>148731007.5</v>
      </c>
      <c r="CC76" s="166">
        <v>0</v>
      </c>
      <c r="CD76" s="166">
        <v>0</v>
      </c>
      <c r="CE76" s="166">
        <v>0</v>
      </c>
      <c r="CF76" s="166">
        <v>0</v>
      </c>
      <c r="CG76" s="166">
        <v>-21294634.499999985</v>
      </c>
      <c r="CH76" s="166">
        <v>0</v>
      </c>
      <c r="CI76" s="166">
        <v>21294634.499999985</v>
      </c>
      <c r="CJ76" s="166">
        <v>0</v>
      </c>
      <c r="CK76" s="167">
        <v>0.62</v>
      </c>
      <c r="CL76" s="167">
        <v>0</v>
      </c>
    </row>
    <row r="77" spans="1:90" s="189" customFormat="1" ht="20.100000000000001" customHeight="1" outlineLevel="2" x14ac:dyDescent="0.3">
      <c r="A77" s="176" t="s">
        <v>547</v>
      </c>
      <c r="B77" s="176"/>
      <c r="C77" s="176"/>
      <c r="D77" s="176"/>
      <c r="E77" s="176"/>
      <c r="F77" s="176"/>
      <c r="G77" s="176"/>
      <c r="H77" s="176"/>
      <c r="I77" s="177"/>
      <c r="J77" s="179"/>
      <c r="K77" s="179"/>
      <c r="L77" s="181"/>
      <c r="M77" s="181"/>
      <c r="N77" s="181"/>
      <c r="O77" s="180"/>
      <c r="P77" s="182"/>
      <c r="Q77" s="182"/>
      <c r="R77" s="183">
        <v>0</v>
      </c>
      <c r="S77" s="280">
        <v>1</v>
      </c>
      <c r="T77" s="183">
        <v>0</v>
      </c>
      <c r="U77" s="248">
        <v>127469516.40000001</v>
      </c>
      <c r="V77" s="180"/>
      <c r="W77" s="180">
        <v>79031100.167999998</v>
      </c>
      <c r="X77" s="180">
        <v>0</v>
      </c>
      <c r="Y77" s="180">
        <v>79031100.167999998</v>
      </c>
      <c r="Z77" s="180">
        <v>0</v>
      </c>
      <c r="AA77" s="180">
        <v>0</v>
      </c>
      <c r="AB77" s="180">
        <v>0</v>
      </c>
      <c r="AC77" s="248">
        <v>127436373.00000001</v>
      </c>
      <c r="AD77" s="180">
        <v>33143.399999991059</v>
      </c>
      <c r="AE77" s="180">
        <v>0</v>
      </c>
      <c r="AF77" s="180">
        <v>-33143.399999991059</v>
      </c>
      <c r="AG77" s="180">
        <v>0</v>
      </c>
      <c r="AH77" s="249">
        <v>-21261491.099999994</v>
      </c>
      <c r="AI77" s="180">
        <v>0</v>
      </c>
      <c r="AJ77" s="180">
        <v>21261491.099999994</v>
      </c>
      <c r="AK77" s="250">
        <v>0</v>
      </c>
      <c r="AL77" s="184"/>
      <c r="AM77" s="180">
        <v>0</v>
      </c>
      <c r="AN77" s="181"/>
      <c r="AO77" s="184"/>
      <c r="AP77" s="180">
        <v>0</v>
      </c>
      <c r="AQ77" s="185"/>
      <c r="AR77" s="180"/>
      <c r="AS77" s="180"/>
      <c r="AT77" s="180">
        <v>298290.60000000591</v>
      </c>
      <c r="AU77" s="180">
        <v>0</v>
      </c>
      <c r="AV77" s="180">
        <v>-298290.60000000591</v>
      </c>
      <c r="AW77" s="180">
        <v>0</v>
      </c>
      <c r="AX77" s="180">
        <v>-21261491.099999994</v>
      </c>
      <c r="AY77" s="180">
        <v>0</v>
      </c>
      <c r="AZ77" s="180">
        <v>21261491.099999994</v>
      </c>
      <c r="BA77" s="180">
        <v>0</v>
      </c>
      <c r="BB77" s="180"/>
      <c r="BC77" s="180"/>
      <c r="BD77" s="180"/>
      <c r="BE77" s="180"/>
      <c r="BF77" s="180"/>
      <c r="BG77" s="180"/>
      <c r="BH77" s="180"/>
      <c r="BI77" s="180"/>
      <c r="BJ77" s="180"/>
      <c r="BK77" s="180"/>
      <c r="BL77" s="180"/>
      <c r="BM77" s="180"/>
      <c r="BN77" s="180"/>
      <c r="BO77" s="180"/>
      <c r="BP77" s="180"/>
      <c r="BQ77" s="182"/>
      <c r="BR77" s="181"/>
      <c r="BS77" s="187"/>
      <c r="BT77" s="181"/>
      <c r="BU77" s="224"/>
      <c r="BV77" s="181"/>
      <c r="BW77" s="188"/>
      <c r="BX77" s="188"/>
      <c r="BY77" s="180"/>
      <c r="BZ77" s="180"/>
      <c r="CA77" s="180">
        <v>148731007.5</v>
      </c>
      <c r="CB77" s="180"/>
      <c r="CC77" s="180"/>
      <c r="CD77" s="180"/>
      <c r="CE77" s="180"/>
      <c r="CF77" s="180"/>
      <c r="CG77" s="180"/>
      <c r="CH77" s="180"/>
      <c r="CI77" s="180"/>
      <c r="CJ77" s="180"/>
      <c r="CK77" s="181"/>
      <c r="CL77" s="181"/>
    </row>
    <row r="78" spans="1:90" s="200" customFormat="1" ht="30" customHeight="1" outlineLevel="1" x14ac:dyDescent="0.3">
      <c r="A78" s="176"/>
      <c r="B78" s="176" t="s">
        <v>419</v>
      </c>
      <c r="C78" s="176"/>
      <c r="D78" s="176"/>
      <c r="E78" s="176"/>
      <c r="F78" s="176"/>
      <c r="G78" s="176"/>
      <c r="H78" s="176"/>
      <c r="I78" s="177"/>
      <c r="J78" s="190"/>
      <c r="K78" s="190"/>
      <c r="L78" s="192"/>
      <c r="M78" s="192"/>
      <c r="N78" s="192"/>
      <c r="O78" s="191"/>
      <c r="P78" s="193"/>
      <c r="Q78" s="193"/>
      <c r="R78" s="194">
        <v>0</v>
      </c>
      <c r="S78" s="281">
        <v>8.375</v>
      </c>
      <c r="T78" s="194">
        <v>0</v>
      </c>
      <c r="U78" s="251">
        <v>260113683.68498391</v>
      </c>
      <c r="V78" s="191"/>
      <c r="W78" s="191">
        <v>79628756.545499995</v>
      </c>
      <c r="X78" s="191">
        <v>0</v>
      </c>
      <c r="Y78" s="191">
        <v>79628756.545499995</v>
      </c>
      <c r="Z78" s="191">
        <v>0</v>
      </c>
      <c r="AA78" s="191">
        <v>0</v>
      </c>
      <c r="AB78" s="191">
        <v>0</v>
      </c>
      <c r="AC78" s="251">
        <v>261157480.5974839</v>
      </c>
      <c r="AD78" s="191">
        <v>-1043796.9125000089</v>
      </c>
      <c r="AE78" s="191">
        <v>0</v>
      </c>
      <c r="AF78" s="191">
        <v>1043796.9125000089</v>
      </c>
      <c r="AG78" s="191">
        <v>0</v>
      </c>
      <c r="AH78" s="252">
        <v>-24374917.974999994</v>
      </c>
      <c r="AI78" s="191">
        <v>0</v>
      </c>
      <c r="AJ78" s="191">
        <v>24374917.974999994</v>
      </c>
      <c r="AK78" s="253">
        <v>0</v>
      </c>
      <c r="AL78" s="195"/>
      <c r="AM78" s="191">
        <v>135757594.15998387</v>
      </c>
      <c r="AN78" s="192"/>
      <c r="AO78" s="195"/>
      <c r="AP78" s="191">
        <v>112760056.62402301</v>
      </c>
      <c r="AQ78" s="196"/>
      <c r="AR78" s="191"/>
      <c r="AS78" s="191"/>
      <c r="AT78" s="191">
        <v>-2008028.0249999941</v>
      </c>
      <c r="AU78" s="191">
        <v>0</v>
      </c>
      <c r="AV78" s="191">
        <v>2008028.0249999941</v>
      </c>
      <c r="AW78" s="191">
        <v>0</v>
      </c>
      <c r="AX78" s="191">
        <v>-24374917.974999994</v>
      </c>
      <c r="AY78" s="191">
        <v>0</v>
      </c>
      <c r="AZ78" s="191">
        <v>24374917.974999994</v>
      </c>
      <c r="BA78" s="191">
        <v>0</v>
      </c>
      <c r="BB78" s="191"/>
      <c r="BC78" s="191"/>
      <c r="BD78" s="191"/>
      <c r="BE78" s="191"/>
      <c r="BF78" s="191"/>
      <c r="BG78" s="191"/>
      <c r="BH78" s="191"/>
      <c r="BI78" s="191"/>
      <c r="BJ78" s="191"/>
      <c r="BK78" s="191"/>
      <c r="BL78" s="191"/>
      <c r="BM78" s="191"/>
      <c r="BN78" s="191"/>
      <c r="BO78" s="191"/>
      <c r="BP78" s="191"/>
      <c r="BQ78" s="193"/>
      <c r="BR78" s="192"/>
      <c r="BS78" s="198"/>
      <c r="BT78" s="192"/>
      <c r="BU78" s="225"/>
      <c r="BV78" s="192"/>
      <c r="BW78" s="199"/>
      <c r="BX78" s="199"/>
      <c r="BY78" s="191"/>
      <c r="BZ78" s="191"/>
      <c r="CA78" s="191">
        <v>148731007.5</v>
      </c>
      <c r="CB78" s="191"/>
      <c r="CC78" s="191"/>
      <c r="CD78" s="191"/>
      <c r="CE78" s="191"/>
      <c r="CF78" s="191"/>
      <c r="CG78" s="191"/>
      <c r="CH78" s="191"/>
      <c r="CI78" s="191"/>
      <c r="CJ78" s="191"/>
      <c r="CK78" s="192"/>
      <c r="CL78" s="192"/>
    </row>
    <row r="79" spans="1:90" s="189" customFormat="1" ht="20.100000000000001" hidden="1" customHeight="1" x14ac:dyDescent="0.3">
      <c r="A79" s="176" t="s">
        <v>420</v>
      </c>
      <c r="B79" s="176"/>
      <c r="C79" s="176"/>
      <c r="D79" s="176"/>
      <c r="E79" s="176"/>
      <c r="F79" s="176"/>
      <c r="G79" s="176"/>
      <c r="H79" s="176"/>
      <c r="I79" s="177"/>
      <c r="J79" s="179"/>
      <c r="K79" s="179"/>
      <c r="L79" s="181"/>
      <c r="M79" s="181"/>
      <c r="N79" s="181"/>
      <c r="O79" s="180"/>
      <c r="P79" s="182"/>
      <c r="Q79" s="182"/>
      <c r="R79" s="183">
        <v>0</v>
      </c>
      <c r="S79" s="280">
        <v>31.975000000000001</v>
      </c>
      <c r="T79" s="183">
        <v>0</v>
      </c>
      <c r="U79" s="248">
        <v>474961853.05644822</v>
      </c>
      <c r="V79" s="180"/>
      <c r="W79" s="180">
        <v>79921478.997118562</v>
      </c>
      <c r="X79" s="180">
        <v>0</v>
      </c>
      <c r="Y79" s="180">
        <v>79921478.997118562</v>
      </c>
      <c r="Z79" s="180">
        <v>0</v>
      </c>
      <c r="AA79" s="180">
        <v>0</v>
      </c>
      <c r="AB79" s="180">
        <v>0</v>
      </c>
      <c r="AC79" s="248">
        <v>477881629.11105293</v>
      </c>
      <c r="AD79" s="180">
        <v>-2919776.0546047557</v>
      </c>
      <c r="AE79" s="180">
        <v>0</v>
      </c>
      <c r="AF79" s="180">
        <v>2919776.0546047557</v>
      </c>
      <c r="AG79" s="180">
        <v>0</v>
      </c>
      <c r="AH79" s="249">
        <v>-141770127.83424264</v>
      </c>
      <c r="AI79" s="180">
        <v>0</v>
      </c>
      <c r="AJ79" s="180">
        <v>141770127.83424264</v>
      </c>
      <c r="AK79" s="250">
        <v>0</v>
      </c>
      <c r="AL79" s="184"/>
      <c r="AM79" s="180">
        <v>385997193.01694417</v>
      </c>
      <c r="AN79" s="181"/>
      <c r="AO79" s="184"/>
      <c r="AP79" s="180">
        <v>389569041.5048303</v>
      </c>
      <c r="AQ79" s="185"/>
      <c r="AR79" s="180"/>
      <c r="AS79" s="180"/>
      <c r="AT79" s="180">
        <v>-18968504.000286579</v>
      </c>
      <c r="AU79" s="180">
        <v>0</v>
      </c>
      <c r="AV79" s="180">
        <v>18968504.000286579</v>
      </c>
      <c r="AW79" s="180">
        <v>0</v>
      </c>
      <c r="AX79" s="180">
        <v>-141770127.83424264</v>
      </c>
      <c r="AY79" s="180">
        <v>0</v>
      </c>
      <c r="AZ79" s="180">
        <v>141770127.83424264</v>
      </c>
      <c r="BA79" s="180">
        <v>0</v>
      </c>
      <c r="BB79" s="180"/>
      <c r="BC79" s="180"/>
      <c r="BD79" s="180"/>
      <c r="BE79" s="180"/>
      <c r="BF79" s="180"/>
      <c r="BG79" s="180"/>
      <c r="BH79" s="180"/>
      <c r="BI79" s="180"/>
      <c r="BJ79" s="180"/>
      <c r="BK79" s="180"/>
      <c r="BL79" s="180"/>
      <c r="BM79" s="180"/>
      <c r="BN79" s="180"/>
      <c r="BO79" s="180"/>
      <c r="BP79" s="180"/>
      <c r="BQ79" s="182"/>
      <c r="BR79" s="181"/>
      <c r="BS79" s="187"/>
      <c r="BT79" s="181"/>
      <c r="BU79" s="224"/>
      <c r="BV79" s="181"/>
      <c r="BW79" s="188"/>
      <c r="BX79" s="188"/>
      <c r="BY79" s="180"/>
      <c r="BZ79" s="180"/>
      <c r="CA79" s="180">
        <v>230734787.87374669</v>
      </c>
      <c r="CB79" s="180"/>
      <c r="CC79" s="180"/>
      <c r="CD79" s="180"/>
      <c r="CE79" s="180"/>
      <c r="CF79" s="180"/>
      <c r="CG79" s="180"/>
      <c r="CH79" s="180"/>
      <c r="CI79" s="180"/>
      <c r="CJ79" s="180"/>
      <c r="CK79" s="181"/>
      <c r="CL79" s="181"/>
    </row>
    <row r="80" spans="1:90" s="200" customFormat="1" ht="30" customHeight="1" thickBot="1" x14ac:dyDescent="0.35">
      <c r="A80" s="203"/>
      <c r="B80" s="203" t="s">
        <v>420</v>
      </c>
      <c r="C80" s="203"/>
      <c r="D80" s="203"/>
      <c r="E80" s="203"/>
      <c r="F80" s="203"/>
      <c r="G80" s="203"/>
      <c r="H80" s="203"/>
      <c r="I80" s="204"/>
      <c r="J80" s="205"/>
      <c r="K80" s="205"/>
      <c r="L80" s="206"/>
      <c r="M80" s="206"/>
      <c r="N80" s="206"/>
      <c r="O80" s="207"/>
      <c r="P80" s="278"/>
      <c r="Q80" s="278"/>
      <c r="R80" s="208">
        <v>0</v>
      </c>
      <c r="S80" s="285">
        <v>31.975000000000001</v>
      </c>
      <c r="T80" s="208">
        <v>0</v>
      </c>
      <c r="U80" s="254">
        <v>474961853.05644822</v>
      </c>
      <c r="V80" s="207"/>
      <c r="W80" s="207">
        <v>79921478.997118562</v>
      </c>
      <c r="X80" s="207">
        <v>0</v>
      </c>
      <c r="Y80" s="207">
        <v>79921478.997118562</v>
      </c>
      <c r="Z80" s="207">
        <v>0</v>
      </c>
      <c r="AA80" s="207">
        <v>0</v>
      </c>
      <c r="AB80" s="207">
        <v>0</v>
      </c>
      <c r="AC80" s="254">
        <v>477881629.11105293</v>
      </c>
      <c r="AD80" s="207">
        <v>-2919776.0546047557</v>
      </c>
      <c r="AE80" s="207">
        <v>0</v>
      </c>
      <c r="AF80" s="207">
        <v>2919776.0546047557</v>
      </c>
      <c r="AG80" s="207">
        <v>0</v>
      </c>
      <c r="AH80" s="255">
        <v>-141770127.83424264</v>
      </c>
      <c r="AI80" s="207">
        <v>0</v>
      </c>
      <c r="AJ80" s="207">
        <v>141770127.83424264</v>
      </c>
      <c r="AK80" s="256">
        <v>0</v>
      </c>
      <c r="AL80" s="209"/>
      <c r="AM80" s="207">
        <v>385997193.01694417</v>
      </c>
      <c r="AN80" s="206"/>
      <c r="AO80" s="209"/>
      <c r="AP80" s="207">
        <v>389569041.5048303</v>
      </c>
      <c r="AQ80" s="210"/>
      <c r="AR80" s="207"/>
      <c r="AS80" s="207"/>
      <c r="AT80" s="207">
        <v>-18968504.000286579</v>
      </c>
      <c r="AU80" s="207">
        <v>0</v>
      </c>
      <c r="AV80" s="207">
        <v>18968504.000286579</v>
      </c>
      <c r="AW80" s="207">
        <v>0</v>
      </c>
      <c r="AX80" s="207">
        <v>-141770127.83424264</v>
      </c>
      <c r="AY80" s="207">
        <v>0</v>
      </c>
      <c r="AZ80" s="207">
        <v>141770127.83424264</v>
      </c>
      <c r="BA80" s="207">
        <v>0</v>
      </c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78"/>
      <c r="BR80" s="206"/>
      <c r="BS80" s="211"/>
      <c r="BT80" s="206"/>
      <c r="BU80" s="226"/>
      <c r="BV80" s="206"/>
      <c r="BW80" s="212"/>
      <c r="BX80" s="212"/>
      <c r="BY80" s="207"/>
      <c r="BZ80" s="207"/>
      <c r="CA80" s="207">
        <v>230734787.87374669</v>
      </c>
      <c r="CB80" s="207"/>
      <c r="CC80" s="207"/>
      <c r="CD80" s="207"/>
      <c r="CE80" s="207"/>
      <c r="CF80" s="207"/>
      <c r="CG80" s="207"/>
      <c r="CH80" s="207"/>
      <c r="CI80" s="207"/>
      <c r="CJ80" s="207"/>
      <c r="CK80" s="206"/>
      <c r="CL80" s="206"/>
    </row>
  </sheetData>
  <mergeCells count="12"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1:BL25 AC38:AC40 BL34:BL40 AM4:AM40 AP4:AP40 AM44:AM47 BL44:BL47 AC44:AC47 AP44:AP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pageSetup paperSize="5" scale="38" fitToHeight="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MPR Raptor</vt:lpstr>
      <vt:lpstr>acpw</vt:lpstr>
      <vt:lpstr>Amort</vt:lpstr>
      <vt:lpstr>avci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'Stock Prices'!Print_Area</vt:lpstr>
      <vt:lpstr>Summary!Print_Area</vt:lpstr>
      <vt:lpstr>Privates</vt:lpstr>
      <vt:lpstr>prs</vt:lpstr>
      <vt:lpstr>qsri</vt:lpstr>
      <vt:lpstr>StkPrices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2001-02-07T17:55:48Z</cp:lastPrinted>
  <dcterms:created xsi:type="dcterms:W3CDTF">2000-08-10T21:11:42Z</dcterms:created>
  <dcterms:modified xsi:type="dcterms:W3CDTF">2023-09-10T15:15:55Z</dcterms:modified>
</cp:coreProperties>
</file>