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<sst xmlns="http://schemas.openxmlformats.org/spreadsheetml/2006/main" count="1079" uniqueCount="491">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</sst>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11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64" t="s">
        <v>198</v>
      </c>
      <c r="C2" s="264"/>
      <c r="D2" s="264"/>
      <c r="E2" s="26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+'MPR Raptor'!U3</f>
        <v>36934</v>
      </c>
      <c r="D5" s="67" t="s">
        <v>18</v>
      </c>
      <c r="E5" s="68">
        <f>+C5-1</f>
        <v>36933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Position'!P13</f>
        <v>-34114000.099999979</v>
      </c>
      <c r="D12" s="70">
        <f>+'Daily Position'!O13</f>
        <v>0</v>
      </c>
      <c r="E12" s="70">
        <f>+C12-D12</f>
        <v>-34114000.099999979</v>
      </c>
      <c r="F12" s="63"/>
    </row>
    <row r="13" spans="1:6" x14ac:dyDescent="0.3">
      <c r="A13" s="62"/>
      <c r="B13" s="64" t="s">
        <v>10</v>
      </c>
      <c r="C13" s="56">
        <f>+C15-C12</f>
        <v>53095.719999983907</v>
      </c>
      <c r="D13" s="56">
        <f>+D15-D12</f>
        <v>0</v>
      </c>
      <c r="E13" s="56">
        <f>+E15-E12</f>
        <v>53095.719999983907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Position'!N13</f>
        <v>-34060904.379999995</v>
      </c>
      <c r="D15" s="57">
        <f>+'Daily Position'!M13</f>
        <v>0</v>
      </c>
      <c r="E15" s="57">
        <f>+C15-D15</f>
        <v>-34060904.379999995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249976442.74145722</v>
      </c>
      <c r="D21" s="64"/>
      <c r="E21" s="64"/>
      <c r="F21" s="63"/>
    </row>
    <row r="22" spans="1:6" x14ac:dyDescent="0.3">
      <c r="A22" s="62"/>
      <c r="B22" s="64"/>
      <c r="C22" s="70"/>
      <c r="D22" s="131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23.09765625" customWidth="1"/>
    <col min="2" max="2" width="7.8984375" style="149" customWidth="1"/>
    <col min="3" max="3" width="10.8984375" style="149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4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  <col min="23" max="23" width="11.69921875" bestFit="1" customWidth="1"/>
    <col min="25" max="25" width="12.69921875" bestFit="1" customWidth="1"/>
    <col min="26" max="26" width="13.69921875" bestFit="1" customWidth="1"/>
  </cols>
  <sheetData>
    <row r="1" spans="1:27" s="78" customFormat="1" x14ac:dyDescent="0.3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488</v>
      </c>
      <c r="W1" s="266"/>
      <c r="X1" s="265" t="s">
        <v>489</v>
      </c>
      <c r="Y1" s="266"/>
    </row>
    <row r="2" spans="1:27" s="79" customFormat="1" ht="15" customHeight="1" thickBot="1" x14ac:dyDescent="0.35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3">
      <c r="A3" s="127" t="s">
        <v>483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3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3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3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36934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3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3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3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3">
      <c r="A10" s="255" t="s">
        <v>485</v>
      </c>
      <c r="H10" s="3">
        <v>3314340</v>
      </c>
      <c r="I10" s="4">
        <f>+H10*($G$9-$G$8)</f>
        <v>33143400</v>
      </c>
      <c r="J10" s="155">
        <f>VLOOKUP(K10,Prices,3)</f>
        <v>38.46</v>
      </c>
      <c r="K10" s="144">
        <f>+Summary!C5</f>
        <v>36934</v>
      </c>
      <c r="L10" s="4">
        <f>IF(J10&gt;$G$7,(+$G$7-$G$9)*H10,IF(J10&lt;$G$8,(+$G$8-$G$9)*H10,(+J10-$G$9)*H10))</f>
        <v>-21261491.099999998</v>
      </c>
      <c r="M10" s="4">
        <v>0</v>
      </c>
      <c r="N10" s="5">
        <f>+L10+M10</f>
        <v>-21261491.099999998</v>
      </c>
      <c r="O10">
        <v>0</v>
      </c>
      <c r="P10" s="4">
        <f>IF(Q10&gt;$G$7,(+$G$7-$G$9)*H10,IF(Q10&lt;$G$8,(+$G$8-$G$9)*H10,(+Q10-$G$9)*H10))</f>
        <v>-21294634.499999989</v>
      </c>
      <c r="Q10" s="2">
        <f>+VLOOKUP(+Summary!$E$5,Prices,3)</f>
        <v>38.450000000000003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-20225759.849999998</v>
      </c>
      <c r="Z10" s="135">
        <f>+Y10-'MPR Raptor'!AH76</f>
        <v>1035731.2499999963</v>
      </c>
      <c r="AA10" t="s">
        <v>490</v>
      </c>
    </row>
    <row r="11" spans="1:27" x14ac:dyDescent="0.3">
      <c r="A11" s="255" t="s">
        <v>486</v>
      </c>
      <c r="H11" s="3">
        <f>5309572-H10</f>
        <v>1995232</v>
      </c>
      <c r="I11" s="4">
        <f>+H11*($G$9-$G$8)</f>
        <v>19952320</v>
      </c>
      <c r="J11" s="155">
        <f>+J10</f>
        <v>38.46</v>
      </c>
      <c r="K11" s="144">
        <f>+K10</f>
        <v>36934</v>
      </c>
      <c r="L11" s="4">
        <f>IF(J11&gt;$G$7,(+$G$7-$G$9)*H11,IF(J11&lt;$G$8,(+$G$8-$G$9)*H11,(+J11-$G$9)*H11))</f>
        <v>-12799413.279999997</v>
      </c>
      <c r="M11" s="4">
        <v>0</v>
      </c>
      <c r="N11" s="5">
        <f>+L11+M11</f>
        <v>-12799413.279999997</v>
      </c>
      <c r="O11">
        <v>0</v>
      </c>
      <c r="P11" s="4">
        <f>IF(Q11&gt;$G$7,(+$G$7-$G$9)*H11,IF(Q11&lt;$G$8,(+$G$8-$G$9)*H11,(+Q11-$G$9)*H11))</f>
        <v>-12819365.599999994</v>
      </c>
      <c r="Q11" s="2">
        <f>+Q10</f>
        <v>38.450000000000003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-12175903.279999997</v>
      </c>
      <c r="Z11" s="135">
        <f>+Y11-'MPR Raptor'!AH38</f>
        <v>623510.00000000373</v>
      </c>
      <c r="AA11" t="s">
        <v>490</v>
      </c>
    </row>
    <row r="12" spans="1:27" x14ac:dyDescent="0.3">
      <c r="A12" t="s">
        <v>197</v>
      </c>
    </row>
    <row r="13" spans="1:27" ht="16.2" thickBot="1" x14ac:dyDescent="0.35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-34060904.379999995</v>
      </c>
      <c r="M13" s="77">
        <f>SUM(M3:M12)</f>
        <v>0</v>
      </c>
      <c r="N13" s="77">
        <f>SUM(N3:N12)</f>
        <v>-34060904.379999995</v>
      </c>
      <c r="O13" s="77">
        <f>SUM(O3:O12)</f>
        <v>0</v>
      </c>
      <c r="P13" s="77">
        <f>SUM(P3:P12)</f>
        <v>-34114000.099999979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-32401663.129999995</v>
      </c>
    </row>
    <row r="14" spans="1:27" ht="16.2" thickTop="1" x14ac:dyDescent="0.3"/>
    <row r="15" spans="1:27" x14ac:dyDescent="0.3">
      <c r="M15" s="2">
        <f>SUMIF(M3:M12,"&lt;0",M3:M12)</f>
        <v>0</v>
      </c>
      <c r="N15" t="s">
        <v>222</v>
      </c>
      <c r="S15" s="5"/>
    </row>
    <row r="16" spans="1:27" x14ac:dyDescent="0.3">
      <c r="M16" s="2">
        <f>SUMIF(M3:M12,"&gt;0",M3:M12)</f>
        <v>0</v>
      </c>
      <c r="N16" t="s">
        <v>223</v>
      </c>
      <c r="S16" s="135"/>
    </row>
    <row r="17" spans="13:19" x14ac:dyDescent="0.3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3" activePane="bottomLeft" state="frozen"/>
      <selection pane="bottomLeft" activeCell="A104" sqref="A104:B104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0.19921875" style="125" bestFit="1" customWidth="1"/>
  </cols>
  <sheetData>
    <row r="1" spans="1:3" x14ac:dyDescent="0.3">
      <c r="A1" s="145" t="s">
        <v>156</v>
      </c>
      <c r="B1" s="123"/>
    </row>
    <row r="2" spans="1:3" x14ac:dyDescent="0.3">
      <c r="B2" s="124"/>
    </row>
    <row r="3" spans="1:3" x14ac:dyDescent="0.3">
      <c r="B3" s="124"/>
      <c r="C3" s="154" t="s">
        <v>214</v>
      </c>
    </row>
    <row r="4" spans="1:3" x14ac:dyDescent="0.3">
      <c r="A4" s="123"/>
      <c r="B4" s="153" t="s">
        <v>4</v>
      </c>
      <c r="C4" s="154" t="s">
        <v>215</v>
      </c>
    </row>
    <row r="5" spans="1:3" x14ac:dyDescent="0.3">
      <c r="A5" s="146" t="s">
        <v>1</v>
      </c>
      <c r="B5" s="153" t="s">
        <v>12</v>
      </c>
      <c r="C5" s="154" t="s">
        <v>216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4">
        <v>36815</v>
      </c>
      <c r="B24" s="125">
        <v>80</v>
      </c>
    </row>
    <row r="25" spans="1:2" x14ac:dyDescent="0.3">
      <c r="A25" s="144">
        <v>36816</v>
      </c>
      <c r="B25" s="125">
        <v>79.188000000000002</v>
      </c>
    </row>
    <row r="26" spans="1:2" x14ac:dyDescent="0.3">
      <c r="A26" s="144">
        <v>36817</v>
      </c>
      <c r="B26" s="125">
        <v>78.75</v>
      </c>
    </row>
    <row r="27" spans="1:2" x14ac:dyDescent="0.3">
      <c r="A27" s="144">
        <v>36818</v>
      </c>
      <c r="B27" s="125">
        <v>79</v>
      </c>
    </row>
    <row r="28" spans="1:2" x14ac:dyDescent="0.3">
      <c r="A28" s="144">
        <v>36819</v>
      </c>
      <c r="B28" s="125">
        <v>80.5</v>
      </c>
    </row>
    <row r="29" spans="1:2" x14ac:dyDescent="0.3">
      <c r="A29" s="144">
        <v>36822</v>
      </c>
      <c r="B29" s="125">
        <v>82</v>
      </c>
    </row>
    <row r="30" spans="1:2" x14ac:dyDescent="0.3">
      <c r="A30" s="144">
        <v>36823</v>
      </c>
      <c r="B30" s="125">
        <v>80.1875</v>
      </c>
    </row>
    <row r="31" spans="1:2" x14ac:dyDescent="0.3">
      <c r="A31" s="144">
        <v>36824</v>
      </c>
      <c r="B31" s="125">
        <v>76.125</v>
      </c>
    </row>
    <row r="32" spans="1:2" x14ac:dyDescent="0.3">
      <c r="A32" s="144">
        <v>36825</v>
      </c>
      <c r="B32" s="125">
        <v>77.5</v>
      </c>
    </row>
    <row r="33" spans="1:2" x14ac:dyDescent="0.3">
      <c r="A33" s="144">
        <v>36826</v>
      </c>
      <c r="B33" s="125">
        <v>78.875</v>
      </c>
    </row>
    <row r="34" spans="1:2" x14ac:dyDescent="0.3">
      <c r="A34" s="144">
        <v>36829</v>
      </c>
      <c r="B34" s="125">
        <v>80.688000000000002</v>
      </c>
    </row>
    <row r="35" spans="1:2" x14ac:dyDescent="0.3">
      <c r="A35" s="144">
        <v>36830</v>
      </c>
      <c r="B35" s="125">
        <v>82.063000000000002</v>
      </c>
    </row>
    <row r="36" spans="1:2" x14ac:dyDescent="0.3">
      <c r="A36" s="144">
        <v>36831</v>
      </c>
      <c r="B36" s="125">
        <v>83.25</v>
      </c>
    </row>
    <row r="37" spans="1:2" x14ac:dyDescent="0.3">
      <c r="A37" s="144">
        <v>36832</v>
      </c>
      <c r="B37" s="125">
        <v>81.75</v>
      </c>
    </row>
    <row r="38" spans="1:2" x14ac:dyDescent="0.3">
      <c r="A38" s="144">
        <v>36833</v>
      </c>
      <c r="B38" s="125">
        <v>77.375</v>
      </c>
    </row>
    <row r="39" spans="1:2" x14ac:dyDescent="0.3">
      <c r="A39" s="144">
        <v>36836</v>
      </c>
      <c r="B39" s="125">
        <v>81.563000000000002</v>
      </c>
    </row>
    <row r="40" spans="1:2" x14ac:dyDescent="0.3">
      <c r="A40" s="144">
        <v>36837</v>
      </c>
      <c r="B40" s="125">
        <v>81.813000000000002</v>
      </c>
    </row>
    <row r="41" spans="1:2" x14ac:dyDescent="0.3">
      <c r="A41" s="144">
        <v>36838</v>
      </c>
      <c r="B41" s="125">
        <v>82.125</v>
      </c>
    </row>
    <row r="42" spans="1:2" x14ac:dyDescent="0.3">
      <c r="A42" s="144">
        <v>36839</v>
      </c>
      <c r="B42" s="125">
        <v>82.938000000000002</v>
      </c>
    </row>
    <row r="43" spans="1:2" x14ac:dyDescent="0.3">
      <c r="A43" s="144">
        <v>36840</v>
      </c>
      <c r="B43" s="125">
        <f>82+0.9375</f>
        <v>82.9375</v>
      </c>
    </row>
    <row r="44" spans="1:2" x14ac:dyDescent="0.3">
      <c r="A44" s="144">
        <v>36843</v>
      </c>
      <c r="B44" s="125">
        <v>79.438000000000002</v>
      </c>
    </row>
    <row r="45" spans="1:2" x14ac:dyDescent="0.3">
      <c r="A45" s="144">
        <v>36844</v>
      </c>
      <c r="B45" s="125">
        <v>79.563000000000002</v>
      </c>
    </row>
    <row r="46" spans="1:2" x14ac:dyDescent="0.3">
      <c r="A46" s="144">
        <v>36845</v>
      </c>
      <c r="B46" s="125">
        <v>80.375</v>
      </c>
    </row>
    <row r="47" spans="1:2" x14ac:dyDescent="0.3">
      <c r="A47" s="144">
        <v>36846</v>
      </c>
      <c r="B47" s="125">
        <v>81.25</v>
      </c>
    </row>
    <row r="48" spans="1:2" x14ac:dyDescent="0.3">
      <c r="A48" s="144">
        <v>36847</v>
      </c>
      <c r="B48" s="125">
        <v>81.5</v>
      </c>
    </row>
    <row r="49" spans="1:2" x14ac:dyDescent="0.3">
      <c r="A49" s="144">
        <v>36850</v>
      </c>
      <c r="B49" s="125">
        <v>80.25</v>
      </c>
    </row>
    <row r="50" spans="1:2" x14ac:dyDescent="0.3">
      <c r="A50" s="144">
        <v>36851</v>
      </c>
      <c r="B50" s="125">
        <v>80.375</v>
      </c>
    </row>
    <row r="51" spans="1:2" x14ac:dyDescent="0.3">
      <c r="A51" s="144">
        <v>36852</v>
      </c>
      <c r="B51" s="125">
        <v>75.563000000000002</v>
      </c>
    </row>
    <row r="52" spans="1:2" x14ac:dyDescent="0.3">
      <c r="A52" s="144">
        <v>36854</v>
      </c>
      <c r="B52" s="125">
        <v>77.75</v>
      </c>
    </row>
    <row r="53" spans="1:2" x14ac:dyDescent="0.3">
      <c r="A53" s="144">
        <v>36857</v>
      </c>
      <c r="B53" s="125">
        <v>78.875</v>
      </c>
    </row>
    <row r="54" spans="1:2" x14ac:dyDescent="0.3">
      <c r="A54" s="144">
        <v>36858</v>
      </c>
      <c r="B54" s="125">
        <v>78.438000000000002</v>
      </c>
    </row>
    <row r="55" spans="1:2" x14ac:dyDescent="0.3">
      <c r="A55" s="144">
        <v>36859</v>
      </c>
      <c r="B55" s="125">
        <v>70.25</v>
      </c>
    </row>
    <row r="56" spans="1:2" x14ac:dyDescent="0.3">
      <c r="A56" s="144">
        <v>36860</v>
      </c>
      <c r="B56" s="125">
        <v>64.75</v>
      </c>
    </row>
    <row r="57" spans="1:2" x14ac:dyDescent="0.3">
      <c r="A57" s="144">
        <v>36861</v>
      </c>
      <c r="B57" s="125">
        <v>65.5</v>
      </c>
    </row>
    <row r="58" spans="1:2" x14ac:dyDescent="0.3">
      <c r="A58" s="144">
        <v>36864</v>
      </c>
      <c r="B58" s="125">
        <v>65.938000000000002</v>
      </c>
    </row>
    <row r="59" spans="1:2" x14ac:dyDescent="0.3">
      <c r="A59" s="144">
        <v>36865</v>
      </c>
      <c r="B59" s="125">
        <v>68.25</v>
      </c>
    </row>
    <row r="60" spans="1:2" x14ac:dyDescent="0.3">
      <c r="A60" s="144">
        <v>36866</v>
      </c>
      <c r="B60" s="125">
        <v>71.938000000000002</v>
      </c>
    </row>
    <row r="61" spans="1:2" x14ac:dyDescent="0.3">
      <c r="A61" s="144">
        <v>36867</v>
      </c>
      <c r="B61" s="125">
        <v>72.875</v>
      </c>
    </row>
    <row r="62" spans="1:2" x14ac:dyDescent="0.3">
      <c r="A62" s="144">
        <v>36868</v>
      </c>
      <c r="B62" s="125">
        <v>73.063000000000002</v>
      </c>
    </row>
    <row r="63" spans="1:2" x14ac:dyDescent="0.3">
      <c r="A63" s="144">
        <v>36871</v>
      </c>
      <c r="B63" s="125">
        <v>76.5</v>
      </c>
    </row>
    <row r="64" spans="1:2" x14ac:dyDescent="0.3">
      <c r="A64" s="144">
        <v>36872</v>
      </c>
      <c r="B64" s="125">
        <v>77.188000000000002</v>
      </c>
    </row>
    <row r="65" spans="1:3" x14ac:dyDescent="0.3">
      <c r="A65" s="144">
        <v>36873</v>
      </c>
      <c r="B65" s="125">
        <v>74.5</v>
      </c>
    </row>
    <row r="66" spans="1:3" x14ac:dyDescent="0.3">
      <c r="A66" s="144">
        <v>36874</v>
      </c>
      <c r="B66" s="125">
        <v>76.5</v>
      </c>
    </row>
    <row r="67" spans="1:3" x14ac:dyDescent="0.3">
      <c r="A67" s="144">
        <v>36875</v>
      </c>
      <c r="B67" s="125">
        <v>77.563000000000002</v>
      </c>
    </row>
    <row r="68" spans="1:3" x14ac:dyDescent="0.3">
      <c r="A68" s="144">
        <v>36878</v>
      </c>
      <c r="B68" s="125">
        <v>79.563000000000002</v>
      </c>
    </row>
    <row r="69" spans="1:3" x14ac:dyDescent="0.3">
      <c r="A69" s="144">
        <v>36879</v>
      </c>
      <c r="B69" s="125">
        <v>79.75</v>
      </c>
    </row>
    <row r="70" spans="1:3" x14ac:dyDescent="0.3">
      <c r="A70" s="144">
        <v>36880</v>
      </c>
      <c r="B70" s="125">
        <v>79.75</v>
      </c>
    </row>
    <row r="71" spans="1:3" x14ac:dyDescent="0.3">
      <c r="A71" s="144">
        <v>36881</v>
      </c>
      <c r="B71" s="125">
        <v>79.313000000000002</v>
      </c>
    </row>
    <row r="72" spans="1:3" x14ac:dyDescent="0.3">
      <c r="A72" s="144">
        <v>36882</v>
      </c>
      <c r="B72" s="125">
        <v>81.188000000000002</v>
      </c>
    </row>
    <row r="73" spans="1:3" x14ac:dyDescent="0.3">
      <c r="A73" s="144">
        <v>36886</v>
      </c>
      <c r="B73" s="125">
        <v>83.5</v>
      </c>
    </row>
    <row r="74" spans="1:3" x14ac:dyDescent="0.3">
      <c r="A74" s="144">
        <v>36887</v>
      </c>
      <c r="B74" s="125">
        <v>82.813000000000002</v>
      </c>
    </row>
    <row r="75" spans="1:3" x14ac:dyDescent="0.3">
      <c r="A75" s="144">
        <v>36888</v>
      </c>
      <c r="B75" s="125">
        <v>84.625</v>
      </c>
      <c r="C75" s="125">
        <v>44.875</v>
      </c>
    </row>
    <row r="76" spans="1:3" x14ac:dyDescent="0.3">
      <c r="A76" s="144">
        <v>36889</v>
      </c>
      <c r="B76" s="125">
        <v>83.125</v>
      </c>
      <c r="C76" s="125">
        <v>44.5625</v>
      </c>
    </row>
    <row r="77" spans="1:3" x14ac:dyDescent="0.3">
      <c r="A77" s="144">
        <v>36893</v>
      </c>
      <c r="B77" s="125">
        <v>79.875</v>
      </c>
      <c r="C77" s="125">
        <v>41.75</v>
      </c>
    </row>
    <row r="78" spans="1:3" x14ac:dyDescent="0.3">
      <c r="A78" s="144">
        <v>36894</v>
      </c>
      <c r="B78" s="125">
        <v>75.063000000000002</v>
      </c>
      <c r="C78" s="125">
        <v>39.75</v>
      </c>
    </row>
    <row r="79" spans="1:3" x14ac:dyDescent="0.3">
      <c r="A79" s="144">
        <v>36895</v>
      </c>
      <c r="B79" s="125">
        <v>72</v>
      </c>
      <c r="C79" s="125">
        <v>37.75</v>
      </c>
    </row>
    <row r="80" spans="1:3" x14ac:dyDescent="0.3">
      <c r="A80" s="144">
        <v>36896</v>
      </c>
      <c r="B80" s="125">
        <v>71.375</v>
      </c>
      <c r="C80" s="125">
        <v>37.813000000000002</v>
      </c>
    </row>
    <row r="81" spans="1:3" x14ac:dyDescent="0.3">
      <c r="A81" s="144">
        <v>36899</v>
      </c>
      <c r="B81" s="125">
        <v>71.25</v>
      </c>
      <c r="C81" s="125">
        <v>38.188000000000002</v>
      </c>
    </row>
    <row r="82" spans="1:3" x14ac:dyDescent="0.3">
      <c r="A82" s="144">
        <v>36900</v>
      </c>
      <c r="B82" s="125">
        <v>68.625</v>
      </c>
      <c r="C82" s="125">
        <v>38</v>
      </c>
    </row>
    <row r="83" spans="1:3" x14ac:dyDescent="0.3">
      <c r="A83" s="144">
        <v>36901</v>
      </c>
      <c r="B83" s="125">
        <v>68.938000000000002</v>
      </c>
      <c r="C83" s="125">
        <v>38.375</v>
      </c>
    </row>
    <row r="84" spans="1:3" x14ac:dyDescent="0.3">
      <c r="A84" s="144">
        <v>36902</v>
      </c>
      <c r="B84" s="125">
        <v>69.438000000000002</v>
      </c>
      <c r="C84" s="125">
        <v>38.313000000000002</v>
      </c>
    </row>
    <row r="85" spans="1:3" x14ac:dyDescent="0.3">
      <c r="A85" s="144">
        <v>36903</v>
      </c>
      <c r="B85" s="125">
        <v>70.438000000000002</v>
      </c>
      <c r="C85" s="125">
        <v>36.688000000000002</v>
      </c>
    </row>
    <row r="86" spans="1:3" x14ac:dyDescent="0.3">
      <c r="A86" s="144">
        <v>36907</v>
      </c>
      <c r="B86" s="125">
        <v>68.438000000000002</v>
      </c>
      <c r="C86" s="125">
        <v>35.9375</v>
      </c>
    </row>
    <row r="87" spans="1:3" x14ac:dyDescent="0.3">
      <c r="A87" s="144">
        <v>36908</v>
      </c>
      <c r="B87" s="125">
        <v>71.125</v>
      </c>
      <c r="C87" s="125">
        <v>34.875</v>
      </c>
    </row>
    <row r="88" spans="1:3" x14ac:dyDescent="0.3">
      <c r="A88" s="144">
        <v>36909</v>
      </c>
      <c r="B88" s="125">
        <v>72.063000000000002</v>
      </c>
      <c r="C88" s="125">
        <v>33.8125</v>
      </c>
    </row>
    <row r="89" spans="1:3" x14ac:dyDescent="0.3">
      <c r="A89" s="144">
        <v>36913</v>
      </c>
      <c r="B89" s="125">
        <v>75.0625</v>
      </c>
      <c r="C89" s="125">
        <v>34.0625</v>
      </c>
    </row>
    <row r="90" spans="1:3" x14ac:dyDescent="0.3">
      <c r="A90" s="144">
        <v>36914</v>
      </c>
      <c r="B90" s="125">
        <v>78.563000000000002</v>
      </c>
      <c r="C90" s="125">
        <v>35.625</v>
      </c>
    </row>
    <row r="91" spans="1:3" x14ac:dyDescent="0.3">
      <c r="A91" s="144">
        <v>36915</v>
      </c>
      <c r="B91" s="125">
        <v>79.75</v>
      </c>
      <c r="C91" s="125">
        <v>35.75</v>
      </c>
    </row>
    <row r="92" spans="1:3" x14ac:dyDescent="0.3">
      <c r="A92" s="144">
        <v>36916</v>
      </c>
      <c r="B92" s="125">
        <v>82</v>
      </c>
      <c r="C92" s="125">
        <v>36.375</v>
      </c>
    </row>
    <row r="93" spans="1:3" x14ac:dyDescent="0.3">
      <c r="A93" s="144">
        <v>36917</v>
      </c>
      <c r="B93" s="125">
        <v>82</v>
      </c>
      <c r="C93" s="125">
        <v>37.1875</v>
      </c>
    </row>
    <row r="94" spans="1:3" x14ac:dyDescent="0.3">
      <c r="A94" s="144">
        <v>36920</v>
      </c>
      <c r="B94" s="125">
        <f>80.77</f>
        <v>80.77</v>
      </c>
      <c r="C94" s="125">
        <v>37.49</v>
      </c>
    </row>
    <row r="95" spans="1:3" x14ac:dyDescent="0.3">
      <c r="A95" s="144">
        <v>36921</v>
      </c>
      <c r="B95" s="125">
        <v>78.5</v>
      </c>
      <c r="C95" s="125">
        <v>37.69</v>
      </c>
    </row>
    <row r="96" spans="1:3" x14ac:dyDescent="0.3">
      <c r="A96" s="144">
        <v>36922</v>
      </c>
      <c r="B96" s="125">
        <v>80</v>
      </c>
      <c r="C96" s="125">
        <v>38.369999999999997</v>
      </c>
    </row>
    <row r="97" spans="1:3" x14ac:dyDescent="0.3">
      <c r="A97" s="144">
        <v>36923</v>
      </c>
      <c r="B97" s="125">
        <v>78.790000000000006</v>
      </c>
      <c r="C97" s="125">
        <v>38.25</v>
      </c>
    </row>
    <row r="98" spans="1:3" x14ac:dyDescent="0.3">
      <c r="A98" s="144">
        <v>36924</v>
      </c>
      <c r="B98" s="125">
        <v>79.98</v>
      </c>
      <c r="C98" s="125">
        <v>38.74</v>
      </c>
    </row>
    <row r="99" spans="1:3" x14ac:dyDescent="0.3">
      <c r="A99" s="144">
        <v>36927</v>
      </c>
      <c r="B99" s="125">
        <v>81.81</v>
      </c>
      <c r="C99" s="125">
        <v>36.86</v>
      </c>
    </row>
    <row r="100" spans="1:3" x14ac:dyDescent="0.3">
      <c r="A100" s="144">
        <v>36928</v>
      </c>
      <c r="B100" s="125">
        <v>80.150000000000006</v>
      </c>
      <c r="C100" s="125">
        <v>37.950000000000003</v>
      </c>
    </row>
    <row r="101" spans="1:3" x14ac:dyDescent="0.3">
      <c r="A101" s="144">
        <v>36929</v>
      </c>
      <c r="B101" s="125">
        <v>80.349999999999994</v>
      </c>
      <c r="C101" s="125">
        <v>38</v>
      </c>
    </row>
    <row r="102" spans="1:3" x14ac:dyDescent="0.3">
      <c r="A102" s="144">
        <v>36930</v>
      </c>
      <c r="B102" s="125">
        <v>80</v>
      </c>
      <c r="C102" s="125">
        <v>37.74</v>
      </c>
    </row>
    <row r="103" spans="1:3" x14ac:dyDescent="0.3">
      <c r="A103" s="144">
        <v>36931</v>
      </c>
      <c r="B103" s="125">
        <v>80.2</v>
      </c>
      <c r="C103" s="125">
        <v>38.450000000000003</v>
      </c>
    </row>
    <row r="104" spans="1:3" x14ac:dyDescent="0.3">
      <c r="A104" s="144">
        <v>36934</v>
      </c>
      <c r="B104" s="125">
        <v>79.8</v>
      </c>
      <c r="C104" s="125">
        <v>38.46</v>
      </c>
    </row>
    <row r="224" ht="14.25" customHeight="1" x14ac:dyDescent="0.3"/>
    <row r="341" spans="1:3" x14ac:dyDescent="0.3">
      <c r="A341" s="1" t="s">
        <v>162</v>
      </c>
    </row>
    <row r="343" spans="1:3" x14ac:dyDescent="0.3">
      <c r="A343" s="144">
        <f>+'MPR Raptor'!U3</f>
        <v>36934</v>
      </c>
      <c r="C343" s="125">
        <f>INDEX(MPRR, MATCH("Hanover Compressor Common Raptor II",'MPR Raptor'!$E$3:$E$140,), MATCH("Per Share",'MPR Raptor'!$E$3:$CM$3,))</f>
        <v>38.46</v>
      </c>
    </row>
    <row r="344" spans="1:3" x14ac:dyDescent="0.3">
      <c r="B344"/>
    </row>
    <row r="345" spans="1:3" x14ac:dyDescent="0.3">
      <c r="B345"/>
    </row>
    <row r="346" spans="1:3" x14ac:dyDescent="0.3">
      <c r="B346"/>
    </row>
    <row r="347" spans="1:3" x14ac:dyDescent="0.3"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14" workbookViewId="0">
      <selection activeCell="H39" sqref="H39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199</v>
      </c>
      <c r="H2" s="269">
        <f>+Summary!C5</f>
        <v>36934</v>
      </c>
      <c r="I2" s="269"/>
      <c r="J2" s="96"/>
      <c r="L2" s="269">
        <f>H2</f>
        <v>36934</v>
      </c>
      <c r="M2" s="269"/>
      <c r="N2" s="269"/>
      <c r="O2" s="269"/>
      <c r="P2" s="269"/>
    </row>
    <row r="3" spans="1:18" ht="16.2" thickBot="1" x14ac:dyDescent="0.35">
      <c r="H3" s="270" t="s">
        <v>97</v>
      </c>
      <c r="I3" s="270"/>
      <c r="J3" s="97"/>
      <c r="L3" s="270" t="s">
        <v>97</v>
      </c>
      <c r="M3" s="270"/>
      <c r="N3" s="270"/>
      <c r="O3" s="270"/>
      <c r="P3" s="270"/>
    </row>
    <row r="4" spans="1:18" x14ac:dyDescent="0.3">
      <c r="A4" s="271" t="s">
        <v>200</v>
      </c>
      <c r="B4" s="271"/>
      <c r="C4" s="271"/>
      <c r="D4" s="271"/>
      <c r="E4" s="271"/>
      <c r="F4" s="271"/>
      <c r="H4" s="117" t="s">
        <v>98</v>
      </c>
      <c r="I4" s="118"/>
      <c r="J4" s="13"/>
    </row>
    <row r="5" spans="1:18" ht="16.2" thickBot="1" x14ac:dyDescent="0.35">
      <c r="A5" s="275" t="s">
        <v>30</v>
      </c>
      <c r="B5" s="275"/>
      <c r="D5" s="275" t="s">
        <v>31</v>
      </c>
      <c r="E5" s="275"/>
      <c r="H5" s="119" t="s">
        <v>99</v>
      </c>
      <c r="I5" s="126">
        <f>+VLOOKUP(+Summary!C5,ene,2)</f>
        <v>79.8</v>
      </c>
      <c r="J5" s="13"/>
      <c r="L5" s="271" t="s">
        <v>119</v>
      </c>
      <c r="M5" s="271"/>
      <c r="N5" s="271"/>
      <c r="O5" s="271"/>
      <c r="P5" s="271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36934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5" t="s">
        <v>30</v>
      </c>
      <c r="M7" s="275"/>
      <c r="O7" s="275" t="s">
        <v>31</v>
      </c>
      <c r="P7" s="275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35158300.304485023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276" t="s">
        <v>101</v>
      </c>
      <c r="I10" s="276"/>
      <c r="J10" s="13"/>
      <c r="L10" s="7" t="s">
        <v>38</v>
      </c>
      <c r="M10" s="7">
        <f>B8+I15</f>
        <v>388920966.43835616</v>
      </c>
      <c r="N10" s="18"/>
      <c r="O10" s="7" t="s">
        <v>117</v>
      </c>
      <c r="P10" s="7">
        <f>IF(I20&gt;0,0,-I20)</f>
        <v>34060904.379999995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36934</v>
      </c>
      <c r="J11" s="13"/>
      <c r="L11" s="7" t="s">
        <v>42</v>
      </c>
      <c r="M11" s="7">
        <f>+Amort!B28</f>
        <v>437500</v>
      </c>
      <c r="O11" s="7" t="s">
        <v>209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424778695.1830278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2278133.6378183402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15676167.179813378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2216666.666666667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38920966.438356161</v>
      </c>
      <c r="J15" s="33" t="s">
        <v>56</v>
      </c>
      <c r="L15" s="91" t="s">
        <v>7</v>
      </c>
      <c r="M15" s="12">
        <f>SUM(M8:M14)</f>
        <v>474516766.74284118</v>
      </c>
      <c r="N15" s="20"/>
      <c r="O15" s="91" t="s">
        <v>7</v>
      </c>
      <c r="P15" s="12">
        <f>SUM(P8:P14)</f>
        <v>474516766.74284118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-18045106.183027782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59637071.559813373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2" thickTop="1" x14ac:dyDescent="0.3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2" thickBot="1" x14ac:dyDescent="0.35">
      <c r="A20" s="277" t="s">
        <v>59</v>
      </c>
      <c r="B20" s="277"/>
      <c r="C20" s="277"/>
      <c r="D20" s="277"/>
      <c r="E20" s="277"/>
      <c r="H20" s="7" t="s">
        <v>115</v>
      </c>
      <c r="I20" s="7">
        <f>+'Daily Position'!L13</f>
        <v>-34060904.379999995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3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-34060904.379999995</v>
      </c>
      <c r="J22" s="13"/>
      <c r="K22" s="7"/>
      <c r="N22" s="7" t="s">
        <v>221</v>
      </c>
      <c r="P22" s="7">
        <f>-'Daily Position'!I13</f>
        <v>-513095720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25576167.179813378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206</v>
      </c>
      <c r="I31" s="16">
        <f>I23</f>
        <v>25576167.179813378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207</v>
      </c>
      <c r="I32" s="16">
        <f>(D14+D15)*(I5-E15)</f>
        <v>86298179.499999985</v>
      </c>
      <c r="J32" s="39"/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3">
      <c r="A34" s="49">
        <f>+Summary!C5</f>
        <v>36934</v>
      </c>
      <c r="B34" s="13" t="s">
        <v>81</v>
      </c>
      <c r="C34"/>
      <c r="H34" s="13" t="s">
        <v>145</v>
      </c>
      <c r="I34" s="16">
        <f>-I15</f>
        <v>-38920966.438356161</v>
      </c>
      <c r="J34" s="33" t="s">
        <v>56</v>
      </c>
      <c r="L34" s="7" t="s">
        <v>75</v>
      </c>
      <c r="M34" s="7">
        <f>I23</f>
        <v>25576167.179813378</v>
      </c>
    </row>
    <row r="35" spans="1:17" ht="16.2" thickBot="1" x14ac:dyDescent="0.35">
      <c r="A35" s="50">
        <f>A34-A33</f>
        <v>228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2" thickBot="1" x14ac:dyDescent="0.35">
      <c r="A36"/>
      <c r="B36"/>
      <c r="C36"/>
      <c r="H36" s="37" t="s">
        <v>103</v>
      </c>
      <c r="I36" s="38">
        <f>SUM(I29:I35)</f>
        <v>249976442.74145722</v>
      </c>
      <c r="J36" s="13"/>
      <c r="L36" s="7" t="s">
        <v>77</v>
      </c>
      <c r="M36" s="7">
        <f>SUM(M33:M35)</f>
        <v>15677167.179813378</v>
      </c>
    </row>
    <row r="37" spans="1:17" ht="16.5" customHeight="1" thickTop="1" x14ac:dyDescent="0.3">
      <c r="A37"/>
      <c r="B37"/>
      <c r="C37"/>
      <c r="D37"/>
      <c r="E37"/>
      <c r="H37" s="7" t="s">
        <v>204</v>
      </c>
      <c r="L37" s="7" t="s">
        <v>152</v>
      </c>
      <c r="M37" s="7">
        <f>P13</f>
        <v>15676167.179813378</v>
      </c>
    </row>
    <row r="38" spans="1:17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1000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3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474516766.74284118</v>
      </c>
      <c r="Q44" s="106" t="s">
        <v>150</v>
      </c>
    </row>
    <row r="45" spans="1:17" x14ac:dyDescent="0.3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3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-34060904.379999995</v>
      </c>
      <c r="P46" s="27">
        <f>+M46+O46</f>
        <v>479034815.62</v>
      </c>
    </row>
    <row r="47" spans="1:17" x14ac:dyDescent="0.3">
      <c r="A47"/>
      <c r="B47"/>
      <c r="C47"/>
      <c r="D47"/>
      <c r="E47"/>
      <c r="F47" s="7"/>
      <c r="I47" s="7"/>
      <c r="L47" s="7" t="s">
        <v>148</v>
      </c>
      <c r="P47" s="7">
        <f>+P44+P45+P46</f>
        <v>953551582.36284113</v>
      </c>
    </row>
    <row r="48" spans="1:17" x14ac:dyDescent="0.3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54</v>
      </c>
      <c r="P49" s="7">
        <f>P47*P48</f>
        <v>28797257.787357803</v>
      </c>
    </row>
    <row r="50" spans="1:17" x14ac:dyDescent="0.3">
      <c r="A50"/>
      <c r="B50"/>
      <c r="C50"/>
      <c r="D50"/>
      <c r="E50"/>
      <c r="F50" s="7"/>
      <c r="I50" s="7"/>
      <c r="L50" s="7" t="s">
        <v>57</v>
      </c>
      <c r="P50" s="7">
        <f>P13</f>
        <v>15676167.179813378</v>
      </c>
      <c r="Q50" s="107" t="s">
        <v>151</v>
      </c>
    </row>
    <row r="51" spans="1:17" x14ac:dyDescent="0.3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-13121090.607544426</v>
      </c>
    </row>
    <row r="53" spans="1:17" x14ac:dyDescent="0.3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278" t="s">
        <v>109</v>
      </c>
      <c r="B1" s="278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1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193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278" t="s">
        <v>104</v>
      </c>
      <c r="B18" s="278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25576167.179813378</v>
      </c>
    </row>
    <row r="23" spans="1:5" x14ac:dyDescent="0.3">
      <c r="A23" t="s">
        <v>106</v>
      </c>
      <c r="B23" s="7">
        <f>-Financials!I15</f>
        <v>-38920966.438356161</v>
      </c>
    </row>
    <row r="24" spans="1:5" x14ac:dyDescent="0.3">
      <c r="A24" s="7" t="str">
        <f>+Financials!H20</f>
        <v>Unrealized Gains / (Losses)</v>
      </c>
      <c r="B24" s="7">
        <f>-Financials!I20-Financials!I19</f>
        <v>34060904.379999995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-437500</v>
      </c>
    </row>
    <row r="29" spans="1:5" x14ac:dyDescent="0.3">
      <c r="A29" t="s">
        <v>111</v>
      </c>
      <c r="B29" s="7">
        <f>-Financials!E7+Financials!P12</f>
        <v>24778695.183027804</v>
      </c>
    </row>
    <row r="30" spans="1:5" x14ac:dyDescent="0.3">
      <c r="A30" t="s">
        <v>194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8" x14ac:dyDescent="0.3">
      <c r="A33" t="s">
        <v>120</v>
      </c>
      <c r="B33" s="7">
        <f>+B13</f>
        <v>1100000</v>
      </c>
    </row>
    <row r="35" spans="1:8" ht="16.2" thickBot="1" x14ac:dyDescent="0.35">
      <c r="A35" t="s">
        <v>27</v>
      </c>
      <c r="B35" s="12">
        <f>SUM(B20:B34)</f>
        <v>35158300.304485023</v>
      </c>
      <c r="D35" s="7">
        <f>+B20+B12+B13+B38+B16</f>
        <v>35158300.304485008</v>
      </c>
      <c r="E35" s="7"/>
    </row>
    <row r="36" spans="1:8" ht="16.2" thickTop="1" x14ac:dyDescent="0.3"/>
    <row r="37" spans="1:8" ht="16.2" thickBot="1" x14ac:dyDescent="0.35">
      <c r="A37" s="278" t="s">
        <v>154</v>
      </c>
      <c r="B37" s="278"/>
      <c r="C37" s="278"/>
      <c r="D37" s="278"/>
      <c r="E37" s="278"/>
      <c r="F37" s="278"/>
    </row>
    <row r="38" spans="1:8" x14ac:dyDescent="0.3">
      <c r="A38" s="109" t="s">
        <v>114</v>
      </c>
      <c r="B38" s="110">
        <f>+B44+B50+B56</f>
        <v>2278133.6378183402</v>
      </c>
    </row>
    <row r="39" spans="1:8" x14ac:dyDescent="0.3">
      <c r="A39" s="53"/>
      <c r="E39" s="132" t="s">
        <v>79</v>
      </c>
      <c r="F39" s="133"/>
    </row>
    <row r="40" spans="1:8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3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3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3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3">
      <c r="B45" s="54"/>
      <c r="E45" s="51"/>
      <c r="F45" s="52"/>
    </row>
    <row r="46" spans="1:8" x14ac:dyDescent="0.3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3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3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3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3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3">
      <c r="B51" s="54"/>
      <c r="E51" s="51"/>
      <c r="F51" s="52"/>
    </row>
    <row r="52" spans="1:8" x14ac:dyDescent="0.3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3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3">
      <c r="A54" t="s">
        <v>1</v>
      </c>
      <c r="B54" s="1">
        <f>IF(Summary!$C$5&lt;'Cash-Int-Trans'!B52,+'Cash-Int-Trans'!B52,Summary!$C$5)</f>
        <v>36934</v>
      </c>
      <c r="E54" s="1">
        <v>36937</v>
      </c>
      <c r="F54" s="48"/>
      <c r="G54" s="1">
        <v>37057</v>
      </c>
    </row>
    <row r="55" spans="1:8" x14ac:dyDescent="0.3">
      <c r="A55" t="s">
        <v>78</v>
      </c>
      <c r="B55" s="3">
        <f>+B54-B52</f>
        <v>45</v>
      </c>
      <c r="E55" s="1">
        <v>36965</v>
      </c>
      <c r="F55" s="48"/>
      <c r="G55" s="1">
        <v>37087</v>
      </c>
    </row>
    <row r="56" spans="1:8" x14ac:dyDescent="0.3">
      <c r="A56" t="s">
        <v>26</v>
      </c>
      <c r="B56" s="54">
        <f>+B53*(F56+0.0045)/360*B55</f>
        <v>298919.19303072063</v>
      </c>
      <c r="E56" s="51" t="s">
        <v>83</v>
      </c>
      <c r="F56" s="52">
        <f>AVERAGE(F52:F55,H52:H55)</f>
        <v>6.4100000000000004E-2</v>
      </c>
    </row>
    <row r="57" spans="1:8" x14ac:dyDescent="0.3">
      <c r="B57" s="54"/>
      <c r="E57" s="51"/>
      <c r="F57" s="52"/>
    </row>
    <row r="58" spans="1:8" x14ac:dyDescent="0.3">
      <c r="B58" s="54"/>
      <c r="E58" s="51"/>
      <c r="F58" s="52"/>
    </row>
    <row r="59" spans="1:8" ht="16.2" thickBot="1" x14ac:dyDescent="0.35">
      <c r="A59" s="278" t="s">
        <v>170</v>
      </c>
      <c r="B59" s="278"/>
      <c r="C59" s="278"/>
      <c r="D59" s="278"/>
      <c r="E59" s="278"/>
      <c r="F59" s="278"/>
    </row>
    <row r="60" spans="1:8" x14ac:dyDescent="0.3">
      <c r="A60" s="109" t="s">
        <v>167</v>
      </c>
      <c r="B60" s="110">
        <f>+B62+B69</f>
        <v>18045106.183027782</v>
      </c>
    </row>
    <row r="61" spans="1:8" x14ac:dyDescent="0.3">
      <c r="A61" s="53"/>
    </row>
    <row r="62" spans="1:8" x14ac:dyDescent="0.3">
      <c r="A62" t="s">
        <v>171</v>
      </c>
      <c r="B62" s="3">
        <f>+Amort!B61</f>
        <v>17916793.903750002</v>
      </c>
      <c r="E62" s="279"/>
      <c r="F62" s="280"/>
    </row>
    <row r="63" spans="1:8" x14ac:dyDescent="0.3">
      <c r="B63" s="3"/>
      <c r="E63" s="132"/>
      <c r="F63" s="133"/>
    </row>
    <row r="64" spans="1:8" x14ac:dyDescent="0.3">
      <c r="A64" t="s">
        <v>178</v>
      </c>
      <c r="B64" s="7"/>
      <c r="E64" s="47"/>
      <c r="F64" s="48"/>
    </row>
    <row r="65" spans="1:6" x14ac:dyDescent="0.3">
      <c r="A65" t="s">
        <v>172</v>
      </c>
      <c r="B65" s="1">
        <v>36791</v>
      </c>
      <c r="E65" s="47"/>
      <c r="F65" s="48"/>
    </row>
    <row r="66" spans="1:6" x14ac:dyDescent="0.3">
      <c r="A66" t="s">
        <v>173</v>
      </c>
      <c r="B66" s="3">
        <f>+B9</f>
        <v>6733589</v>
      </c>
      <c r="E66" s="47"/>
      <c r="F66" s="48"/>
    </row>
    <row r="67" spans="1:6" x14ac:dyDescent="0.3">
      <c r="A67" t="s">
        <v>1</v>
      </c>
      <c r="B67" s="1">
        <f>IF(+Summary!C5&gt;Amort!A43,Amort!A43,Summary!C5)</f>
        <v>36889</v>
      </c>
    </row>
    <row r="68" spans="1:6" x14ac:dyDescent="0.3">
      <c r="A68" t="s">
        <v>78</v>
      </c>
      <c r="B68" s="3">
        <f>+B67-B65</f>
        <v>98</v>
      </c>
    </row>
    <row r="69" spans="1:6" x14ac:dyDescent="0.3">
      <c r="A69" t="s">
        <v>177</v>
      </c>
      <c r="B69" s="54">
        <f>+B66*0.07/360*B68</f>
        <v>128312.27927777779</v>
      </c>
    </row>
    <row r="71" spans="1:6" ht="16.2" thickBot="1" x14ac:dyDescent="0.35">
      <c r="A71" s="278" t="s">
        <v>182</v>
      </c>
      <c r="B71" s="278"/>
      <c r="C71" s="278"/>
      <c r="D71" s="278"/>
      <c r="E71" s="278"/>
      <c r="F71" s="278"/>
    </row>
    <row r="73" spans="1:6" x14ac:dyDescent="0.3">
      <c r="A73" t="s">
        <v>124</v>
      </c>
      <c r="B73" s="1">
        <f>+Summary!C5</f>
        <v>36934</v>
      </c>
    </row>
    <row r="74" spans="1:6" x14ac:dyDescent="0.3">
      <c r="A74" t="s">
        <v>183</v>
      </c>
      <c r="B74" s="1">
        <v>36706</v>
      </c>
      <c r="D74" s="4">
        <f>IF(B73&gt;(B74-1),30000000,0)</f>
        <v>30000000</v>
      </c>
    </row>
    <row r="75" spans="1:6" x14ac:dyDescent="0.3">
      <c r="A75" t="s">
        <v>184</v>
      </c>
      <c r="B75" s="1">
        <v>36791</v>
      </c>
      <c r="D75" s="4">
        <f>IF(B73&gt;(B75-1),1100000,0)</f>
        <v>1100000</v>
      </c>
    </row>
    <row r="76" spans="1:6" ht="17.399999999999999" x14ac:dyDescent="0.45">
      <c r="A76" t="s">
        <v>185</v>
      </c>
      <c r="B76" s="1">
        <f>+Summary!C5</f>
        <v>36934</v>
      </c>
      <c r="D76" s="134">
        <f>IF(B76&gt;B75,+(+B76-B75)/365*0.12*D75,0)</f>
        <v>51715.068493150684</v>
      </c>
    </row>
    <row r="77" spans="1:6" x14ac:dyDescent="0.3">
      <c r="A77" t="s">
        <v>186</v>
      </c>
      <c r="D77" s="5">
        <f>SUM(D74:D76)</f>
        <v>31151715.06849315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164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281">
        <f>+Summary!C5</f>
        <v>36934</v>
      </c>
      <c r="B23" s="281"/>
      <c r="E23" s="103" t="s">
        <v>91</v>
      </c>
      <c r="F23" s="103">
        <f>VLOOKUP(+A23,Amort,2)</f>
        <v>1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3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3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3">
      <c r="A27" s="116" t="s">
        <v>94</v>
      </c>
      <c r="B27" s="103">
        <f>A23-F24</f>
        <v>45</v>
      </c>
      <c r="E27" s="116"/>
    </row>
    <row r="28" spans="1:9" s="103" customFormat="1" x14ac:dyDescent="0.3">
      <c r="A28" s="116" t="s">
        <v>28</v>
      </c>
      <c r="B28" s="103">
        <f>F25*B27/(F26-F24)</f>
        <v>437500</v>
      </c>
    </row>
    <row r="29" spans="1:9" s="103" customFormat="1" x14ac:dyDescent="0.3">
      <c r="A29" s="116" t="s">
        <v>29</v>
      </c>
      <c r="B29" s="103">
        <f>+B25+B28</f>
        <v>2216666.666666667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281">
        <f>+Summary!C5</f>
        <v>36934</v>
      </c>
      <c r="B55" s="281"/>
      <c r="E55" s="103" t="s">
        <v>91</v>
      </c>
      <c r="F55" s="103">
        <f>VLOOKUP(+A55,Note,2)</f>
        <v>1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3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3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3">
      <c r="A59" s="116" t="s">
        <v>94</v>
      </c>
      <c r="B59" s="103">
        <f>A55-F56</f>
        <v>45</v>
      </c>
      <c r="C59" s="103"/>
      <c r="D59" s="103"/>
      <c r="E59" s="116"/>
      <c r="F59" s="103"/>
      <c r="G59" s="103"/>
    </row>
    <row r="60" spans="1:9" x14ac:dyDescent="0.3">
      <c r="A60" s="116" t="s">
        <v>166</v>
      </c>
      <c r="B60" s="103">
        <f>F57*B59/(F58-F56)</f>
        <v>3683460.5704166675</v>
      </c>
      <c r="C60" s="103"/>
      <c r="D60" s="103"/>
      <c r="E60" s="103"/>
      <c r="F60" s="103"/>
      <c r="G60" s="103"/>
    </row>
    <row r="61" spans="1:9" x14ac:dyDescent="0.3">
      <c r="A61" s="116" t="s">
        <v>167</v>
      </c>
      <c r="B61" s="103">
        <f>+B57+B60</f>
        <v>17916793.903750002</v>
      </c>
      <c r="C61" s="103"/>
      <c r="D61" s="103"/>
      <c r="E61" s="103"/>
      <c r="F61" s="103"/>
      <c r="G61" s="103"/>
    </row>
    <row r="63" spans="1:9" x14ac:dyDescent="0.3">
      <c r="A63" s="7" t="s">
        <v>179</v>
      </c>
    </row>
    <row r="64" spans="1:9" x14ac:dyDescent="0.3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3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J16" workbookViewId="0">
      <selection activeCell="J26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3.0976562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3.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1.1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7" t="s">
        <v>231</v>
      </c>
      <c r="S1" s="287"/>
      <c r="T1" s="287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8" t="s">
        <v>233</v>
      </c>
      <c r="AE1" s="283"/>
      <c r="AF1" s="283"/>
      <c r="AG1" s="283"/>
      <c r="AH1" s="283"/>
      <c r="AI1" s="283"/>
      <c r="AJ1" s="283"/>
      <c r="AK1" s="28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5" t="s">
        <v>235</v>
      </c>
      <c r="AU1" s="285"/>
      <c r="AV1" s="285"/>
      <c r="AW1" s="285"/>
      <c r="AX1" s="285"/>
      <c r="AY1" s="285"/>
      <c r="AZ1" s="285"/>
      <c r="BA1" s="285"/>
      <c r="BB1" s="163" t="s">
        <v>226</v>
      </c>
      <c r="BC1" s="163" t="s">
        <v>227</v>
      </c>
      <c r="BD1" s="285" t="s">
        <v>236</v>
      </c>
      <c r="BE1" s="285"/>
      <c r="BF1" s="285"/>
      <c r="BG1" s="285"/>
      <c r="BH1" s="285"/>
      <c r="BI1" s="285"/>
      <c r="BJ1" s="285"/>
      <c r="BK1" s="285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2" t="s">
        <v>243</v>
      </c>
      <c r="CH1" s="282"/>
      <c r="CI1" s="282"/>
      <c r="CJ1" s="282"/>
      <c r="CK1" s="159" t="s">
        <v>244</v>
      </c>
      <c r="CL1" s="159" t="s">
        <v>245</v>
      </c>
    </row>
    <row r="2" spans="1:90" x14ac:dyDescent="0.3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3" t="s">
        <v>254</v>
      </c>
      <c r="AE2" s="283"/>
      <c r="AF2" s="283"/>
      <c r="AG2" s="283"/>
      <c r="AH2" s="284" t="s">
        <v>255</v>
      </c>
      <c r="AI2" s="285"/>
      <c r="AJ2" s="285"/>
      <c r="AK2" s="286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3" t="s">
        <v>262</v>
      </c>
      <c r="AU2" s="283"/>
      <c r="AV2" s="283"/>
      <c r="AW2" s="283"/>
      <c r="AX2" s="283" t="s">
        <v>257</v>
      </c>
      <c r="AY2" s="283"/>
      <c r="AZ2" s="283"/>
      <c r="BA2" s="283"/>
      <c r="BB2" s="169" t="s">
        <v>260</v>
      </c>
      <c r="BC2" s="169" t="s">
        <v>260</v>
      </c>
      <c r="BD2" s="283" t="s">
        <v>262</v>
      </c>
      <c r="BE2" s="283"/>
      <c r="BF2" s="283"/>
      <c r="BG2" s="283"/>
      <c r="BH2" s="283" t="s">
        <v>257</v>
      </c>
      <c r="BI2" s="283"/>
      <c r="BJ2" s="283"/>
      <c r="BK2" s="283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3" t="s">
        <v>270</v>
      </c>
      <c r="CH2" s="283"/>
      <c r="CI2" s="283"/>
      <c r="CJ2" s="283"/>
      <c r="CK2" s="168" t="s">
        <v>271</v>
      </c>
      <c r="CL2" s="168" t="s">
        <v>244</v>
      </c>
    </row>
    <row r="3" spans="1:90" x14ac:dyDescent="0.3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36934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3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254">
        <v>1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92</v>
      </c>
      <c r="BW4" s="202">
        <v>0</v>
      </c>
      <c r="BX4" s="202">
        <v>0</v>
      </c>
      <c r="BY4" s="190">
        <v>0</v>
      </c>
      <c r="BZ4" s="190">
        <v>0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3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3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3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23.875</v>
      </c>
      <c r="P7" s="192">
        <v>25.0625</v>
      </c>
      <c r="Q7" s="192">
        <v>-1.1875</v>
      </c>
      <c r="R7" s="193">
        <v>0</v>
      </c>
      <c r="S7" s="254">
        <v>1</v>
      </c>
      <c r="T7" s="193">
        <v>0</v>
      </c>
      <c r="U7" s="194">
        <v>26081670.75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27378926.625</v>
      </c>
      <c r="AD7" s="190">
        <v>-1297255.875</v>
      </c>
      <c r="AE7" s="190">
        <v>0</v>
      </c>
      <c r="AF7" s="190">
        <v>1297255.875</v>
      </c>
      <c r="AG7" s="190">
        <v>0</v>
      </c>
      <c r="AH7" s="195">
        <v>-813505.51666666567</v>
      </c>
      <c r="AI7" s="190">
        <v>0</v>
      </c>
      <c r="AJ7" s="190">
        <v>813505.51666666567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26081670.75</v>
      </c>
      <c r="AS7" s="190">
        <v>23.875</v>
      </c>
      <c r="AT7" s="190">
        <v>-12699452.25</v>
      </c>
      <c r="AU7" s="190">
        <v>0</v>
      </c>
      <c r="AV7" s="190">
        <v>12699452.25</v>
      </c>
      <c r="AW7" s="190">
        <v>0</v>
      </c>
      <c r="AX7" s="190">
        <v>-813505.51666666567</v>
      </c>
      <c r="AY7" s="190">
        <v>0</v>
      </c>
      <c r="AZ7" s="190">
        <v>813505.51666666567</v>
      </c>
      <c r="BA7" s="190">
        <v>0</v>
      </c>
      <c r="BB7" s="190">
        <v>23.875</v>
      </c>
      <c r="BC7" s="190">
        <v>25.0625</v>
      </c>
      <c r="BD7" s="190">
        <v>-11402196.375</v>
      </c>
      <c r="BE7" s="190">
        <v>0</v>
      </c>
      <c r="BF7" s="190">
        <v>11402196.375</v>
      </c>
      <c r="BG7" s="190">
        <v>0</v>
      </c>
      <c r="BH7" s="190">
        <v>483750.35833333433</v>
      </c>
      <c r="BI7" s="190">
        <v>0</v>
      </c>
      <c r="BJ7" s="190">
        <v>-483750.35833333433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-483750.35833333433</v>
      </c>
      <c r="BQ7" s="192">
        <v>3</v>
      </c>
      <c r="BR7" s="191">
        <v>3277278</v>
      </c>
      <c r="BS7" s="200">
        <v>58</v>
      </c>
      <c r="BT7" s="191">
        <v>-1297255.875</v>
      </c>
      <c r="BU7" s="201">
        <v>0</v>
      </c>
      <c r="BV7" s="191">
        <v>45</v>
      </c>
      <c r="BW7" s="202">
        <v>23.875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483750.35833333433</v>
      </c>
      <c r="CH7" s="190">
        <v>0</v>
      </c>
      <c r="CI7" s="190">
        <v>-483750.35833333433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3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26081670.75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27378926.625</v>
      </c>
      <c r="AD8" s="208">
        <v>-1297255.875</v>
      </c>
      <c r="AE8" s="208">
        <v>0</v>
      </c>
      <c r="AF8" s="208">
        <v>1297255.875</v>
      </c>
      <c r="AG8" s="208">
        <v>0</v>
      </c>
      <c r="AH8" s="213">
        <v>-813505.51666666567</v>
      </c>
      <c r="AI8" s="208">
        <v>0</v>
      </c>
      <c r="AJ8" s="208">
        <v>813505.51666666567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-12699452.25</v>
      </c>
      <c r="AU8" s="208">
        <v>0</v>
      </c>
      <c r="AV8" s="208">
        <v>12699452.25</v>
      </c>
      <c r="AW8" s="208">
        <v>0</v>
      </c>
      <c r="AX8" s="208">
        <v>-813505.51666666567</v>
      </c>
      <c r="AY8" s="208">
        <v>0</v>
      </c>
      <c r="AZ8" s="208">
        <v>813505.51666666567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3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26081670.75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27378926.625</v>
      </c>
      <c r="AD9" s="223">
        <v>-1297255.875</v>
      </c>
      <c r="AE9" s="223">
        <v>0</v>
      </c>
      <c r="AF9" s="223">
        <v>1297255.875</v>
      </c>
      <c r="AG9" s="223">
        <v>0</v>
      </c>
      <c r="AH9" s="228">
        <v>-813505.51666666567</v>
      </c>
      <c r="AI9" s="223">
        <v>0</v>
      </c>
      <c r="AJ9" s="223">
        <v>813505.51666666567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-12699452.25</v>
      </c>
      <c r="AU9" s="223">
        <v>0</v>
      </c>
      <c r="AV9" s="223">
        <v>12699452.25</v>
      </c>
      <c r="AW9" s="223">
        <v>0</v>
      </c>
      <c r="AX9" s="223">
        <v>-813505.51666666567</v>
      </c>
      <c r="AY9" s="223">
        <v>0</v>
      </c>
      <c r="AZ9" s="223">
        <v>813505.51666666567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3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112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3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133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3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134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3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146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3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147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3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-2.6193447411060333E-10</v>
      </c>
      <c r="P15" s="191">
        <v>-2.6193447411060333E-10</v>
      </c>
      <c r="Q15" s="191">
        <v>0</v>
      </c>
      <c r="R15" s="193" t="s">
        <v>345</v>
      </c>
      <c r="S15" s="258">
        <v>0.5</v>
      </c>
      <c r="T15" s="193">
        <v>0</v>
      </c>
      <c r="U15" s="194">
        <v>-2.6193447411060333E-10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-2.6193447411060333E-10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-2.6193447411060333E-10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149</v>
      </c>
      <c r="BW15" s="202">
        <v>0</v>
      </c>
      <c r="BX15" s="202">
        <v>0</v>
      </c>
      <c r="BY15" s="190">
        <v>0</v>
      </c>
      <c r="BZ15" s="190">
        <v>-230788.389999999</v>
      </c>
      <c r="CA15" s="190">
        <v>-230788.389999999</v>
      </c>
      <c r="CB15" s="190">
        <v>-230788.389999999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3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150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3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39350269.990000002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39350269.990000002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-400086.87999999896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3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39350269.990000002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39350269.990000002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-400086.87999999896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3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3.1732119443557298E-2</v>
      </c>
      <c r="M19" s="191">
        <v>0</v>
      </c>
      <c r="N19" s="191">
        <v>0.42029620575479137</v>
      </c>
      <c r="O19" s="190">
        <v>2.6458290838380072</v>
      </c>
      <c r="P19" s="191">
        <v>2.6525522340664405</v>
      </c>
      <c r="Q19" s="191">
        <v>-6.7231502284332834E-3</v>
      </c>
      <c r="R19" s="193">
        <v>0</v>
      </c>
      <c r="S19" s="254">
        <v>0</v>
      </c>
      <c r="T19" s="193">
        <v>0</v>
      </c>
      <c r="U19" s="194">
        <v>124237.55046069747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124553.24270282377</v>
      </c>
      <c r="AD19" s="190">
        <v>-315.6922421263007</v>
      </c>
      <c r="AE19" s="190">
        <v>0</v>
      </c>
      <c r="AF19" s="190">
        <v>315.6922421263007</v>
      </c>
      <c r="AG19" s="190">
        <v>0</v>
      </c>
      <c r="AH19" s="195">
        <v>-3244.8971120551287</v>
      </c>
      <c r="AI19" s="190">
        <v>0</v>
      </c>
      <c r="AJ19" s="190">
        <v>3244.8971120551287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26657.270994960461</v>
      </c>
      <c r="AP19" s="190">
        <v>84870.386027040266</v>
      </c>
      <c r="AQ19" s="198">
        <v>1</v>
      </c>
      <c r="AR19" s="190">
        <v>353079.15296637767</v>
      </c>
      <c r="AS19" s="190">
        <v>17.890625</v>
      </c>
      <c r="AT19" s="190">
        <v>20305.907668422806</v>
      </c>
      <c r="AU19" s="190">
        <v>0</v>
      </c>
      <c r="AV19" s="190">
        <v>-20305.907668422806</v>
      </c>
      <c r="AW19" s="190">
        <v>0</v>
      </c>
      <c r="AX19" s="190">
        <v>-3244.8971120551287</v>
      </c>
      <c r="AY19" s="190">
        <v>0</v>
      </c>
      <c r="AZ19" s="190">
        <v>3244.8971120551287</v>
      </c>
      <c r="BA19" s="190">
        <v>0</v>
      </c>
      <c r="BB19" s="190">
        <v>18.3125</v>
      </c>
      <c r="BC19" s="190">
        <v>17.890625</v>
      </c>
      <c r="BD19" s="190">
        <v>20621.599910549106</v>
      </c>
      <c r="BE19" s="190">
        <v>0</v>
      </c>
      <c r="BF19" s="190">
        <v>-20621.599910549106</v>
      </c>
      <c r="BG19" s="190">
        <v>0</v>
      </c>
      <c r="BH19" s="190">
        <v>-2929.204869928828</v>
      </c>
      <c r="BI19" s="190">
        <v>0</v>
      </c>
      <c r="BJ19" s="190">
        <v>2929.204869928828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2929.204869928828</v>
      </c>
      <c r="BQ19" s="191">
        <v>0</v>
      </c>
      <c r="BR19" s="191">
        <v>0</v>
      </c>
      <c r="BS19" s="200">
        <v>42</v>
      </c>
      <c r="BT19" s="191">
        <v>0</v>
      </c>
      <c r="BU19" s="201">
        <v>19735.428637421985</v>
      </c>
      <c r="BV19" s="191">
        <v>193</v>
      </c>
      <c r="BW19" s="202">
        <v>18.3125</v>
      </c>
      <c r="BX19" s="202">
        <v>18.3125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-2929.204869928828</v>
      </c>
      <c r="CH19" s="190">
        <v>0</v>
      </c>
      <c r="CI19" s="190">
        <v>2929.204869928828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3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124237.55046069747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124553.24270282377</v>
      </c>
      <c r="AD20" s="208">
        <v>-315.6922421263007</v>
      </c>
      <c r="AE20" s="208">
        <v>0</v>
      </c>
      <c r="AF20" s="208">
        <v>315.6922421263007</v>
      </c>
      <c r="AG20" s="208">
        <v>0</v>
      </c>
      <c r="AH20" s="213">
        <v>-3244.8971120551287</v>
      </c>
      <c r="AI20" s="208">
        <v>0</v>
      </c>
      <c r="AJ20" s="208">
        <v>3244.8971120551287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20305.907668422806</v>
      </c>
      <c r="AU20" s="208">
        <v>0</v>
      </c>
      <c r="AV20" s="208">
        <v>-20305.907668422806</v>
      </c>
      <c r="AW20" s="208">
        <v>0</v>
      </c>
      <c r="AX20" s="208">
        <v>-3244.8971120551287</v>
      </c>
      <c r="AY20" s="208">
        <v>0</v>
      </c>
      <c r="AZ20" s="208">
        <v>3244.8971120551287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3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124237.55046069747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124553.24270282377</v>
      </c>
      <c r="AD21" s="223">
        <v>-315.6922421263007</v>
      </c>
      <c r="AE21" s="223">
        <v>0</v>
      </c>
      <c r="AF21" s="223">
        <v>315.6922421263007</v>
      </c>
      <c r="AG21" s="223">
        <v>0</v>
      </c>
      <c r="AH21" s="228">
        <v>-3244.8971120551287</v>
      </c>
      <c r="AI21" s="223">
        <v>0</v>
      </c>
      <c r="AJ21" s="223">
        <v>3244.8971120551287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20305.907668422806</v>
      </c>
      <c r="AU21" s="223">
        <v>0</v>
      </c>
      <c r="AV21" s="223">
        <v>-20305.907668422806</v>
      </c>
      <c r="AW21" s="223">
        <v>0</v>
      </c>
      <c r="AX21" s="223">
        <v>-3244.8971120551287</v>
      </c>
      <c r="AY21" s="223">
        <v>0</v>
      </c>
      <c r="AZ21" s="223">
        <v>3244.8971120551287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3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142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3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143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3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3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3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79</v>
      </c>
      <c r="BT26" s="191">
        <v>0</v>
      </c>
      <c r="BU26" s="201">
        <v>0</v>
      </c>
      <c r="BV26" s="191">
        <v>163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3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3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3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19.4375</v>
      </c>
      <c r="P29" s="192">
        <v>20</v>
      </c>
      <c r="Q29" s="192">
        <v>-0.5625</v>
      </c>
      <c r="R29" s="193" t="s">
        <v>385</v>
      </c>
      <c r="S29" s="254">
        <v>1</v>
      </c>
      <c r="T29" s="193">
        <v>0</v>
      </c>
      <c r="U29" s="194">
        <v>19847767.3125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20422140</v>
      </c>
      <c r="AD29" s="190">
        <v>-574372.6875</v>
      </c>
      <c r="AE29" s="190">
        <v>0</v>
      </c>
      <c r="AF29" s="190">
        <v>574372.6875</v>
      </c>
      <c r="AG29" s="190">
        <v>0</v>
      </c>
      <c r="AH29" s="195">
        <v>-1703117.64</v>
      </c>
      <c r="AI29" s="190">
        <v>0</v>
      </c>
      <c r="AJ29" s="190">
        <v>1703117.64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19847767.3125</v>
      </c>
      <c r="AS29" s="190">
        <v>19.4375</v>
      </c>
      <c r="AT29" s="190">
        <v>-4403523.9375</v>
      </c>
      <c r="AU29" s="190">
        <v>0</v>
      </c>
      <c r="AV29" s="190">
        <v>4403523.9375</v>
      </c>
      <c r="AW29" s="190">
        <v>0</v>
      </c>
      <c r="AX29" s="190">
        <v>-1703117.64</v>
      </c>
      <c r="AY29" s="190">
        <v>0</v>
      </c>
      <c r="AZ29" s="190">
        <v>1703117.64</v>
      </c>
      <c r="BA29" s="190">
        <v>0</v>
      </c>
      <c r="BB29" s="190">
        <v>19.4375</v>
      </c>
      <c r="BC29" s="190">
        <v>20</v>
      </c>
      <c r="BD29" s="190">
        <v>-3829151.25</v>
      </c>
      <c r="BE29" s="190">
        <v>0</v>
      </c>
      <c r="BF29" s="190">
        <v>3829151.25</v>
      </c>
      <c r="BG29" s="190">
        <v>0</v>
      </c>
      <c r="BH29" s="190">
        <v>-1128744.9524999999</v>
      </c>
      <c r="BI29" s="190">
        <v>0</v>
      </c>
      <c r="BJ29" s="190">
        <v>1128744.9524999999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1128744.9524999999</v>
      </c>
      <c r="BQ29" s="192">
        <v>0</v>
      </c>
      <c r="BR29" s="191">
        <v>0</v>
      </c>
      <c r="BS29" s="200">
        <v>71</v>
      </c>
      <c r="BT29" s="191">
        <v>-574372.6875</v>
      </c>
      <c r="BU29" s="201">
        <v>0</v>
      </c>
      <c r="BV29" s="191">
        <v>24</v>
      </c>
      <c r="BW29" s="202">
        <v>19.4375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-1128744.9524999999</v>
      </c>
      <c r="CH29" s="190">
        <v>0</v>
      </c>
      <c r="CI29" s="190">
        <v>1128744.9524999999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3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19847767.3125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20422140</v>
      </c>
      <c r="AD30" s="208">
        <v>-574372.6875</v>
      </c>
      <c r="AE30" s="208">
        <v>0</v>
      </c>
      <c r="AF30" s="208">
        <v>574372.6875</v>
      </c>
      <c r="AG30" s="208">
        <v>0</v>
      </c>
      <c r="AH30" s="213">
        <v>-1703117.64</v>
      </c>
      <c r="AI30" s="208">
        <v>0</v>
      </c>
      <c r="AJ30" s="208">
        <v>1703117.64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-4403523.9375</v>
      </c>
      <c r="AU30" s="208">
        <v>0</v>
      </c>
      <c r="AV30" s="208">
        <v>4403523.9375</v>
      </c>
      <c r="AW30" s="208">
        <v>0</v>
      </c>
      <c r="AX30" s="208">
        <v>-1703117.64</v>
      </c>
      <c r="AY30" s="208">
        <v>0</v>
      </c>
      <c r="AZ30" s="208">
        <v>1703117.64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3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19847767.3125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20422140</v>
      </c>
      <c r="AD31" s="223">
        <v>-574372.6875</v>
      </c>
      <c r="AE31" s="223">
        <v>0</v>
      </c>
      <c r="AF31" s="223">
        <v>574372.6875</v>
      </c>
      <c r="AG31" s="223">
        <v>0</v>
      </c>
      <c r="AH31" s="228">
        <v>-1703117.64</v>
      </c>
      <c r="AI31" s="223">
        <v>0</v>
      </c>
      <c r="AJ31" s="223">
        <v>1703117.64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-4403523.9375</v>
      </c>
      <c r="AU31" s="223">
        <v>0</v>
      </c>
      <c r="AV31" s="223">
        <v>4403523.9375</v>
      </c>
      <c r="AW31" s="223">
        <v>0</v>
      </c>
      <c r="AX31" s="223">
        <v>-1703117.64</v>
      </c>
      <c r="AY31" s="223">
        <v>0</v>
      </c>
      <c r="AZ31" s="223">
        <v>1703117.64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3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179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3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3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8.375</v>
      </c>
      <c r="P34" s="192">
        <v>8.25</v>
      </c>
      <c r="Q34" s="192">
        <v>0.125</v>
      </c>
      <c r="R34" s="193">
        <v>0</v>
      </c>
      <c r="S34" s="254">
        <v>0</v>
      </c>
      <c r="T34" s="193">
        <v>0</v>
      </c>
      <c r="U34" s="194">
        <v>51096.119550000039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50333.490900000033</v>
      </c>
      <c r="AD34" s="190">
        <v>762.62865000000602</v>
      </c>
      <c r="AE34" s="190">
        <v>0</v>
      </c>
      <c r="AF34" s="190">
        <v>-762.62865000000602</v>
      </c>
      <c r="AG34" s="190">
        <v>0</v>
      </c>
      <c r="AH34" s="195">
        <v>3050.5146000000022</v>
      </c>
      <c r="AI34" s="190">
        <v>0</v>
      </c>
      <c r="AJ34" s="190">
        <v>-3050.5146000000022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51096.119550000039</v>
      </c>
      <c r="AS34" s="190">
        <v>8.375</v>
      </c>
      <c r="AT34" s="190">
        <v>3431.8289250000016</v>
      </c>
      <c r="AU34" s="190">
        <v>0</v>
      </c>
      <c r="AV34" s="190">
        <v>-3431.8289250000016</v>
      </c>
      <c r="AW34" s="190">
        <v>0</v>
      </c>
      <c r="AX34" s="190">
        <v>3050.5146000000022</v>
      </c>
      <c r="AY34" s="190">
        <v>0</v>
      </c>
      <c r="AZ34" s="190">
        <v>-3050.5146000000022</v>
      </c>
      <c r="BA34" s="190">
        <v>0</v>
      </c>
      <c r="BB34" s="190">
        <v>8.375</v>
      </c>
      <c r="BC34" s="190">
        <v>8.25</v>
      </c>
      <c r="BD34" s="190">
        <v>2669.2002749999956</v>
      </c>
      <c r="BE34" s="190">
        <v>0</v>
      </c>
      <c r="BF34" s="190">
        <v>-2669.2002749999956</v>
      </c>
      <c r="BG34" s="190">
        <v>0</v>
      </c>
      <c r="BH34" s="190">
        <v>2287.8859499999962</v>
      </c>
      <c r="BI34" s="190">
        <v>0</v>
      </c>
      <c r="BJ34" s="190">
        <v>-2287.8859499999962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-2287.8859499999962</v>
      </c>
      <c r="BQ34" s="191">
        <v>0</v>
      </c>
      <c r="BR34" s="191">
        <v>0</v>
      </c>
      <c r="BS34" s="200">
        <v>41</v>
      </c>
      <c r="BT34" s="191">
        <v>762.62865000000602</v>
      </c>
      <c r="BU34" s="201">
        <v>6101.0292000000045</v>
      </c>
      <c r="BV34" s="191">
        <v>190</v>
      </c>
      <c r="BW34" s="202">
        <v>8.375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2287.8859499999962</v>
      </c>
      <c r="CH34" s="190">
        <v>0</v>
      </c>
      <c r="CI34" s="190">
        <v>-2287.8859499999962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3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51096.119550000039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50333.490900000033</v>
      </c>
      <c r="AD35" s="208">
        <v>762.62865000000602</v>
      </c>
      <c r="AE35" s="208">
        <v>0</v>
      </c>
      <c r="AF35" s="208">
        <v>-762.62865000000602</v>
      </c>
      <c r="AG35" s="208">
        <v>0</v>
      </c>
      <c r="AH35" s="213">
        <v>3050.5146000000022</v>
      </c>
      <c r="AI35" s="208">
        <v>0</v>
      </c>
      <c r="AJ35" s="208">
        <v>-3050.5146000000022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3431.8289250000016</v>
      </c>
      <c r="AU35" s="208">
        <v>0</v>
      </c>
      <c r="AV35" s="208">
        <v>-3431.8289250000016</v>
      </c>
      <c r="AW35" s="208">
        <v>0</v>
      </c>
      <c r="AX35" s="208">
        <v>3050.5146000000022</v>
      </c>
      <c r="AY35" s="208">
        <v>0</v>
      </c>
      <c r="AZ35" s="208">
        <v>-3050.5146000000022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3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181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3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3">
      <c r="A38" s="129" t="s">
        <v>475</v>
      </c>
      <c r="B38" s="129" t="s">
        <v>389</v>
      </c>
      <c r="C38" s="129" t="s">
        <v>395</v>
      </c>
      <c r="D38" s="129" t="s">
        <v>396</v>
      </c>
      <c r="E38" s="129" t="s">
        <v>476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38.46</v>
      </c>
      <c r="P38" s="192">
        <v>38.450000000000003</v>
      </c>
      <c r="Q38" s="192">
        <v>9.9999999999980105E-3</v>
      </c>
      <c r="R38" s="193">
        <v>0</v>
      </c>
      <c r="S38" s="254">
        <v>1</v>
      </c>
      <c r="T38" s="193">
        <v>0</v>
      </c>
      <c r="U38" s="194">
        <v>76736622.720000014</v>
      </c>
      <c r="V38" s="190" t="s">
        <v>477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76716670.400000021</v>
      </c>
      <c r="AD38" s="190">
        <v>19952.319999992847</v>
      </c>
      <c r="AE38" s="190">
        <v>0</v>
      </c>
      <c r="AF38" s="190">
        <v>-19952.319999992847</v>
      </c>
      <c r="AG38" s="190">
        <v>0</v>
      </c>
      <c r="AH38" s="195">
        <v>-12799413.280000001</v>
      </c>
      <c r="AI38" s="190">
        <v>0</v>
      </c>
      <c r="AJ38" s="190">
        <v>12799413.280000001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76736622.720000014</v>
      </c>
      <c r="AS38" s="190">
        <v>38.46</v>
      </c>
      <c r="AT38" s="190">
        <v>179570.88000000664</v>
      </c>
      <c r="AU38" s="190">
        <v>0</v>
      </c>
      <c r="AV38" s="190">
        <v>-179570.88000000664</v>
      </c>
      <c r="AW38" s="190">
        <v>0</v>
      </c>
      <c r="AX38" s="190">
        <v>-12799413.280000001</v>
      </c>
      <c r="AY38" s="190">
        <v>0</v>
      </c>
      <c r="AZ38" s="190">
        <v>12799413.280000001</v>
      </c>
      <c r="BA38" s="190">
        <v>0</v>
      </c>
      <c r="BB38" s="190">
        <v>38.46</v>
      </c>
      <c r="BC38" s="190">
        <v>38.450000000000003</v>
      </c>
      <c r="BD38" s="190">
        <v>159618.56000001379</v>
      </c>
      <c r="BE38" s="190">
        <v>0</v>
      </c>
      <c r="BF38" s="190">
        <v>-159618.56000001379</v>
      </c>
      <c r="BG38" s="190">
        <v>0</v>
      </c>
      <c r="BH38" s="190">
        <v>-12819365.599999994</v>
      </c>
      <c r="BI38" s="190">
        <v>0</v>
      </c>
      <c r="BJ38" s="190">
        <v>12819365.599999994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12819365.599999994</v>
      </c>
      <c r="BQ38" s="191">
        <v>0</v>
      </c>
      <c r="BR38" s="191">
        <v>0</v>
      </c>
      <c r="BS38" s="200">
        <v>83</v>
      </c>
      <c r="BT38" s="191">
        <v>19952.319999992847</v>
      </c>
      <c r="BU38" s="201">
        <v>1995232</v>
      </c>
      <c r="BV38" s="191">
        <v>188</v>
      </c>
      <c r="BW38" s="202">
        <v>38.46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-12819365.599999994</v>
      </c>
      <c r="CH38" s="190">
        <v>0</v>
      </c>
      <c r="CI38" s="190">
        <v>12819365.599999994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3">
      <c r="A39" s="204" t="s">
        <v>478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76736622.720000014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76716670.400000021</v>
      </c>
      <c r="AD39" s="208">
        <v>19952.319999992847</v>
      </c>
      <c r="AE39" s="208">
        <v>0</v>
      </c>
      <c r="AF39" s="208">
        <v>-19952.319999992847</v>
      </c>
      <c r="AG39" s="208">
        <v>0</v>
      </c>
      <c r="AH39" s="213">
        <v>-12799413.280000001</v>
      </c>
      <c r="AI39" s="208">
        <v>0</v>
      </c>
      <c r="AJ39" s="208">
        <v>12799413.280000001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179570.88000000664</v>
      </c>
      <c r="AU39" s="208">
        <v>0</v>
      </c>
      <c r="AV39" s="208">
        <v>-179570.88000000664</v>
      </c>
      <c r="AW39" s="208">
        <v>0</v>
      </c>
      <c r="AX39" s="208">
        <v>-12799413.280000001</v>
      </c>
      <c r="AY39" s="208">
        <v>0</v>
      </c>
      <c r="AZ39" s="208">
        <v>12799413.280000001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3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79636148.506630018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79615433.557980016</v>
      </c>
      <c r="AD40" s="223">
        <v>20714.948649992853</v>
      </c>
      <c r="AE40" s="223">
        <v>0</v>
      </c>
      <c r="AF40" s="223">
        <v>-20714.948649992853</v>
      </c>
      <c r="AG40" s="223">
        <v>0</v>
      </c>
      <c r="AH40" s="228">
        <v>-13079778.765400002</v>
      </c>
      <c r="AI40" s="223">
        <v>0</v>
      </c>
      <c r="AJ40" s="223">
        <v>13079778.765400002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183002.70892500665</v>
      </c>
      <c r="AU40" s="223">
        <v>0</v>
      </c>
      <c r="AV40" s="223">
        <v>-183002.70892500665</v>
      </c>
      <c r="AW40" s="223">
        <v>0</v>
      </c>
      <c r="AX40" s="223">
        <v>-13079778.765400002</v>
      </c>
      <c r="AY40" s="223">
        <v>0</v>
      </c>
      <c r="AZ40" s="223">
        <v>13079778.765400002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3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479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3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484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72</v>
      </c>
      <c r="BT42" s="191">
        <v>0</v>
      </c>
      <c r="BU42" s="201">
        <v>0</v>
      </c>
      <c r="BV42" s="191">
        <v>34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3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72</v>
      </c>
      <c r="BT43" s="191">
        <v>0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3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72</v>
      </c>
      <c r="BT44" s="191">
        <v>0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3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3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8.375</v>
      </c>
      <c r="P46" s="192">
        <v>8.25</v>
      </c>
      <c r="Q46" s="192">
        <v>0.125</v>
      </c>
      <c r="R46" s="193" t="s">
        <v>420</v>
      </c>
      <c r="S46" s="254">
        <v>0.6</v>
      </c>
      <c r="T46" s="193">
        <v>0</v>
      </c>
      <c r="U46" s="194">
        <v>84877.275000000052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83610.45</v>
      </c>
      <c r="AD46" s="190">
        <v>1266.8250000000553</v>
      </c>
      <c r="AE46" s="190">
        <v>0</v>
      </c>
      <c r="AF46" s="190">
        <v>-1266.8250000000553</v>
      </c>
      <c r="AG46" s="190">
        <v>0</v>
      </c>
      <c r="AH46" s="195">
        <v>5067.3000000002385</v>
      </c>
      <c r="AI46" s="190">
        <v>0</v>
      </c>
      <c r="AJ46" s="190">
        <v>-5067.3000000002385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84877.275000000052</v>
      </c>
      <c r="AS46" s="190">
        <v>8.375</v>
      </c>
      <c r="AT46" s="190">
        <v>5700.712500000096</v>
      </c>
      <c r="AU46" s="190">
        <v>0</v>
      </c>
      <c r="AV46" s="190">
        <v>-5700.712500000096</v>
      </c>
      <c r="AW46" s="190">
        <v>0</v>
      </c>
      <c r="AX46" s="190">
        <v>5067.3000000002385</v>
      </c>
      <c r="AY46" s="190">
        <v>0</v>
      </c>
      <c r="AZ46" s="190">
        <v>-5067.3000000002385</v>
      </c>
      <c r="BA46" s="190">
        <v>0</v>
      </c>
      <c r="BB46" s="190">
        <v>8.375</v>
      </c>
      <c r="BC46" s="190">
        <v>8.25</v>
      </c>
      <c r="BD46" s="190">
        <v>4433.8875000000407</v>
      </c>
      <c r="BE46" s="190">
        <v>0</v>
      </c>
      <c r="BF46" s="190">
        <v>-4433.8875000000407</v>
      </c>
      <c r="BG46" s="190">
        <v>0</v>
      </c>
      <c r="BH46" s="190">
        <v>3800.4750000001832</v>
      </c>
      <c r="BI46" s="190">
        <v>0</v>
      </c>
      <c r="BJ46" s="190">
        <v>-3800.4750000001832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-3800.4750000001832</v>
      </c>
      <c r="BQ46" s="192">
        <v>1.1200000000000001</v>
      </c>
      <c r="BR46" s="191">
        <v>11350.752000000008</v>
      </c>
      <c r="BS46" s="200">
        <v>71</v>
      </c>
      <c r="BT46" s="191">
        <v>1266.8250000000553</v>
      </c>
      <c r="BU46" s="201">
        <v>10134.6</v>
      </c>
      <c r="BV46" s="191">
        <v>7</v>
      </c>
      <c r="BW46" s="202">
        <v>8.375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3800.4750000001832</v>
      </c>
      <c r="CH46" s="190">
        <v>0</v>
      </c>
      <c r="CI46" s="190">
        <v>-3800.4750000001832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3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84877.275000000052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83610.45</v>
      </c>
      <c r="AD47" s="208">
        <v>1266.8250000000553</v>
      </c>
      <c r="AE47" s="208">
        <v>0</v>
      </c>
      <c r="AF47" s="208">
        <v>-1266.8250000000553</v>
      </c>
      <c r="AG47" s="208">
        <v>0</v>
      </c>
      <c r="AH47" s="213">
        <v>5067.3000000002385</v>
      </c>
      <c r="AI47" s="208">
        <v>0</v>
      </c>
      <c r="AJ47" s="208">
        <v>-5067.3000000002385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5700.712500000096</v>
      </c>
      <c r="AU47" s="208">
        <v>0</v>
      </c>
      <c r="AV47" s="208">
        <v>-5700.712500000096</v>
      </c>
      <c r="AW47" s="208">
        <v>0</v>
      </c>
      <c r="AX47" s="208">
        <v>5067.3000000002385</v>
      </c>
      <c r="AY47" s="208">
        <v>0</v>
      </c>
      <c r="AZ47" s="208">
        <v>-5067.3000000002385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3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79</v>
      </c>
      <c r="BT48" s="191">
        <v>0</v>
      </c>
      <c r="BU48" s="201">
        <v>0</v>
      </c>
      <c r="BV48" s="191">
        <v>152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3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3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81</v>
      </c>
      <c r="BT50" s="191">
        <v>0</v>
      </c>
      <c r="BU50" s="201">
        <v>0</v>
      </c>
      <c r="BV50" s="191">
        <v>157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3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81</v>
      </c>
      <c r="BT51" s="191">
        <v>0</v>
      </c>
      <c r="BU51" s="201">
        <v>0</v>
      </c>
      <c r="BV51" s="191">
        <v>168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3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81</v>
      </c>
      <c r="BT52" s="191">
        <v>0</v>
      </c>
      <c r="BU52" s="201">
        <v>0</v>
      </c>
      <c r="BV52" s="191">
        <v>170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3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81</v>
      </c>
      <c r="BT53" s="191">
        <v>0</v>
      </c>
      <c r="BU53" s="201">
        <v>0</v>
      </c>
      <c r="BV53" s="191">
        <v>171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3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3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74</v>
      </c>
      <c r="BT55" s="191">
        <v>0</v>
      </c>
      <c r="BU55" s="201">
        <v>0</v>
      </c>
      <c r="BV55" s="191">
        <v>82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3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3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1.5986105810147946E-2</v>
      </c>
      <c r="M57" s="191">
        <v>0</v>
      </c>
      <c r="N57" s="191">
        <v>0.94680374949205237</v>
      </c>
      <c r="O57" s="190">
        <v>5.5439673718800018</v>
      </c>
      <c r="P57" s="191">
        <v>5.7071178057666909</v>
      </c>
      <c r="Q57" s="191">
        <v>-0.16315043388668915</v>
      </c>
      <c r="R57" s="193" t="s">
        <v>441</v>
      </c>
      <c r="S57" s="254">
        <v>1</v>
      </c>
      <c r="T57" s="193">
        <v>0</v>
      </c>
      <c r="U57" s="194">
        <v>866244.90185625025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891737.15715104551</v>
      </c>
      <c r="AD57" s="190">
        <v>-25492.255294795264</v>
      </c>
      <c r="AE57" s="190">
        <v>0</v>
      </c>
      <c r="AF57" s="190">
        <v>25492.255294795264</v>
      </c>
      <c r="AG57" s="190">
        <v>0</v>
      </c>
      <c r="AH57" s="195">
        <v>-78444.505525612622</v>
      </c>
      <c r="AI57" s="190">
        <v>0</v>
      </c>
      <c r="AJ57" s="190">
        <v>78444.505525612622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21582.803986845251</v>
      </c>
      <c r="AP57" s="190">
        <v>1711868.3881841477</v>
      </c>
      <c r="AQ57" s="198">
        <v>1</v>
      </c>
      <c r="AR57" s="190">
        <v>1278277.523117932</v>
      </c>
      <c r="AS57" s="190">
        <v>8.640625</v>
      </c>
      <c r="AT57" s="190">
        <v>-100239.8605152634</v>
      </c>
      <c r="AU57" s="190">
        <v>0</v>
      </c>
      <c r="AV57" s="190">
        <v>100239.8605152634</v>
      </c>
      <c r="AW57" s="190">
        <v>0</v>
      </c>
      <c r="AX57" s="190">
        <v>-78444.505525612622</v>
      </c>
      <c r="AY57" s="190">
        <v>0</v>
      </c>
      <c r="AZ57" s="190">
        <v>78444.505525612622</v>
      </c>
      <c r="BA57" s="190">
        <v>0</v>
      </c>
      <c r="BB57" s="190">
        <v>8.640625</v>
      </c>
      <c r="BC57" s="190">
        <v>8.8125</v>
      </c>
      <c r="BD57" s="190">
        <v>-74747.605220468133</v>
      </c>
      <c r="BE57" s="190">
        <v>0</v>
      </c>
      <c r="BF57" s="190">
        <v>74747.605220468133</v>
      </c>
      <c r="BG57" s="190">
        <v>0</v>
      </c>
      <c r="BH57" s="190">
        <v>-52952.250230817357</v>
      </c>
      <c r="BI57" s="190">
        <v>0</v>
      </c>
      <c r="BJ57" s="190">
        <v>52952.250230817357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52952.250230817357</v>
      </c>
      <c r="BQ57" s="191">
        <v>0</v>
      </c>
      <c r="BR57" s="191">
        <v>0</v>
      </c>
      <c r="BS57" s="200">
        <v>75</v>
      </c>
      <c r="BT57" s="191">
        <v>0</v>
      </c>
      <c r="BU57" s="201">
        <v>147938.08585813318</v>
      </c>
      <c r="BV57" s="191">
        <v>85</v>
      </c>
      <c r="BW57" s="202">
        <v>8.640625</v>
      </c>
      <c r="BX57" s="202">
        <v>8.640625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-52952.250230817357</v>
      </c>
      <c r="CH57" s="190">
        <v>0</v>
      </c>
      <c r="CI57" s="190">
        <v>52952.250230817357</v>
      </c>
      <c r="CJ57" s="190">
        <v>0</v>
      </c>
      <c r="CK57" s="191">
        <v>0</v>
      </c>
      <c r="CL57" s="191">
        <v>0</v>
      </c>
    </row>
    <row r="58" spans="1:90" outlineLevel="3" x14ac:dyDescent="0.3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3.1755692880248411E-2</v>
      </c>
      <c r="M58" s="191">
        <v>0.5</v>
      </c>
      <c r="N58" s="191">
        <v>0.41953279372047475</v>
      </c>
      <c r="O58" s="190">
        <v>2.6458290838380072</v>
      </c>
      <c r="P58" s="191">
        <v>2.65255223406644</v>
      </c>
      <c r="Q58" s="191">
        <v>-6.7231502284328393E-3</v>
      </c>
      <c r="R58" s="193" t="s">
        <v>443</v>
      </c>
      <c r="S58" s="254">
        <v>0</v>
      </c>
      <c r="T58" s="193">
        <v>0</v>
      </c>
      <c r="U58" s="194">
        <v>206374.66853936456</v>
      </c>
      <c r="V58" s="190" t="s">
        <v>312</v>
      </c>
      <c r="W58" s="190">
        <v>292722.45161855937</v>
      </c>
      <c r="X58" s="190">
        <v>0</v>
      </c>
      <c r="Y58" s="190">
        <v>292722.45161855937</v>
      </c>
      <c r="Z58" s="190">
        <v>0</v>
      </c>
      <c r="AA58" s="190">
        <v>0</v>
      </c>
      <c r="AB58" s="190">
        <v>0</v>
      </c>
      <c r="AC58" s="194">
        <v>206899.07425718234</v>
      </c>
      <c r="AD58" s="190">
        <v>-524.40571781777544</v>
      </c>
      <c r="AE58" s="190">
        <v>0</v>
      </c>
      <c r="AF58" s="190">
        <v>524.40571781777544</v>
      </c>
      <c r="AG58" s="190">
        <v>0</v>
      </c>
      <c r="AH58" s="195">
        <v>-5390.1945382975391</v>
      </c>
      <c r="AI58" s="190">
        <v>0</v>
      </c>
      <c r="AJ58" s="190">
        <v>5390.1945382975391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44314.077048984152</v>
      </c>
      <c r="AP58" s="190">
        <v>140980.7076861134</v>
      </c>
      <c r="AQ58" s="198">
        <v>1</v>
      </c>
      <c r="AR58" s="190">
        <v>585444.90323711873</v>
      </c>
      <c r="AS58" s="190">
        <v>17.890625</v>
      </c>
      <c r="AT58" s="190">
        <v>33730.743635253806</v>
      </c>
      <c r="AU58" s="190">
        <v>0</v>
      </c>
      <c r="AV58" s="190">
        <v>-33730.743635253806</v>
      </c>
      <c r="AW58" s="190">
        <v>0</v>
      </c>
      <c r="AX58" s="190">
        <v>-5390.1945382975391</v>
      </c>
      <c r="AY58" s="190">
        <v>0</v>
      </c>
      <c r="AZ58" s="190">
        <v>5390.1945382975391</v>
      </c>
      <c r="BA58" s="190">
        <v>0</v>
      </c>
      <c r="BB58" s="190">
        <v>18.3125</v>
      </c>
      <c r="BC58" s="190">
        <v>17.890625</v>
      </c>
      <c r="BD58" s="190">
        <v>34255.149353071582</v>
      </c>
      <c r="BE58" s="190">
        <v>0</v>
      </c>
      <c r="BF58" s="190">
        <v>-34255.149353071582</v>
      </c>
      <c r="BG58" s="190">
        <v>0</v>
      </c>
      <c r="BH58" s="190">
        <v>-4865.7888204797637</v>
      </c>
      <c r="BI58" s="190">
        <v>0</v>
      </c>
      <c r="BJ58" s="190">
        <v>4865.7888204797637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4865.7888204797637</v>
      </c>
      <c r="BQ58" s="191">
        <v>0</v>
      </c>
      <c r="BR58" s="191">
        <v>0</v>
      </c>
      <c r="BS58" s="200">
        <v>75</v>
      </c>
      <c r="BT58" s="191">
        <v>0</v>
      </c>
      <c r="BU58" s="201">
        <v>32723.557910197029</v>
      </c>
      <c r="BV58" s="191">
        <v>88</v>
      </c>
      <c r="BW58" s="202">
        <v>18.3125</v>
      </c>
      <c r="BX58" s="202">
        <v>18.3125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-4865.7888204797637</v>
      </c>
      <c r="CH58" s="190">
        <v>0</v>
      </c>
      <c r="CI58" s="190">
        <v>4865.7888204797637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3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1072619.5703956147</v>
      </c>
      <c r="V59" s="208"/>
      <c r="W59" s="208">
        <v>292722.45161855937</v>
      </c>
      <c r="X59" s="208">
        <v>0</v>
      </c>
      <c r="Y59" s="208">
        <v>292722.45161855937</v>
      </c>
      <c r="Z59" s="208">
        <v>0</v>
      </c>
      <c r="AA59" s="208">
        <v>0</v>
      </c>
      <c r="AB59" s="208">
        <v>0</v>
      </c>
      <c r="AC59" s="212">
        <v>1098636.2314082279</v>
      </c>
      <c r="AD59" s="208">
        <v>-26016.66101261304</v>
      </c>
      <c r="AE59" s="208">
        <v>0</v>
      </c>
      <c r="AF59" s="208">
        <v>26016.66101261304</v>
      </c>
      <c r="AG59" s="208">
        <v>0</v>
      </c>
      <c r="AH59" s="213">
        <v>-83834.700063910161</v>
      </c>
      <c r="AI59" s="208">
        <v>0</v>
      </c>
      <c r="AJ59" s="208">
        <v>83834.700063910161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-66509.116880009591</v>
      </c>
      <c r="AU59" s="208">
        <v>0</v>
      </c>
      <c r="AV59" s="208">
        <v>66509.116880009591</v>
      </c>
      <c r="AW59" s="208">
        <v>0</v>
      </c>
      <c r="AX59" s="208">
        <v>-83834.700063910161</v>
      </c>
      <c r="AY59" s="208">
        <v>0</v>
      </c>
      <c r="AZ59" s="208">
        <v>83834.700063910161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3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9527250.3453956153</v>
      </c>
      <c r="V60" s="223"/>
      <c r="W60" s="223">
        <v>292722.45161855937</v>
      </c>
      <c r="X60" s="223">
        <v>0</v>
      </c>
      <c r="Y60" s="223">
        <v>292722.45161855937</v>
      </c>
      <c r="Z60" s="223">
        <v>0</v>
      </c>
      <c r="AA60" s="223">
        <v>0</v>
      </c>
      <c r="AB60" s="223">
        <v>0</v>
      </c>
      <c r="AC60" s="227">
        <v>9552000.1814082265</v>
      </c>
      <c r="AD60" s="223">
        <v>-24749.836012612985</v>
      </c>
      <c r="AE60" s="223">
        <v>0</v>
      </c>
      <c r="AF60" s="223">
        <v>24749.836012612985</v>
      </c>
      <c r="AG60" s="223">
        <v>0</v>
      </c>
      <c r="AH60" s="228">
        <v>-38686539.40006391</v>
      </c>
      <c r="AI60" s="223">
        <v>0</v>
      </c>
      <c r="AJ60" s="223">
        <v>38686539.40006391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-60808.404380009495</v>
      </c>
      <c r="AU60" s="223">
        <v>0</v>
      </c>
      <c r="AV60" s="223">
        <v>60808.404380009495</v>
      </c>
      <c r="AW60" s="223">
        <v>0</v>
      </c>
      <c r="AX60" s="223">
        <v>-38686539.40006391</v>
      </c>
      <c r="AY60" s="223">
        <v>0</v>
      </c>
      <c r="AZ60" s="223">
        <v>38686539.40006391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3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216.56166666666667</v>
      </c>
      <c r="P61" s="192">
        <v>216.56166666666667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81210625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81210625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216.56166666666667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73</v>
      </c>
      <c r="BT61" s="191">
        <v>0</v>
      </c>
      <c r="BU61" s="201">
        <v>0</v>
      </c>
      <c r="BV61" s="191">
        <v>78</v>
      </c>
      <c r="BW61" s="202">
        <v>0</v>
      </c>
      <c r="BX61" s="202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3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81210625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81210625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3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78</v>
      </c>
      <c r="BT63" s="191">
        <v>0</v>
      </c>
      <c r="BU63" s="201">
        <v>0</v>
      </c>
      <c r="BV63" s="191">
        <v>111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3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78</v>
      </c>
      <c r="BT64" s="191">
        <v>0</v>
      </c>
      <c r="BU64" s="201">
        <v>0</v>
      </c>
      <c r="BV64" s="191">
        <v>115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3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3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72</v>
      </c>
      <c r="BT66" s="191">
        <v>0</v>
      </c>
      <c r="BU66" s="201">
        <v>0</v>
      </c>
      <c r="BV66" s="191">
        <v>35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3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3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5.625</v>
      </c>
      <c r="P68" s="192">
        <v>5.4375</v>
      </c>
      <c r="Q68" s="192">
        <v>0.1875</v>
      </c>
      <c r="R68" s="193" t="s">
        <v>464</v>
      </c>
      <c r="S68" s="254">
        <v>0.5</v>
      </c>
      <c r="T68" s="193">
        <v>0</v>
      </c>
      <c r="U68" s="194">
        <v>336886.875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325657.3125</v>
      </c>
      <c r="AD68" s="190">
        <v>11229.5625</v>
      </c>
      <c r="AE68" s="190">
        <v>0</v>
      </c>
      <c r="AF68" s="190">
        <v>-11229.5625</v>
      </c>
      <c r="AG68" s="190">
        <v>0</v>
      </c>
      <c r="AH68" s="195">
        <v>67377.375</v>
      </c>
      <c r="AI68" s="190">
        <v>0</v>
      </c>
      <c r="AJ68" s="190">
        <v>-67377.375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336886.875</v>
      </c>
      <c r="AS68" s="190">
        <v>5.625</v>
      </c>
      <c r="AT68" s="190">
        <v>37431.875</v>
      </c>
      <c r="AU68" s="190">
        <v>0</v>
      </c>
      <c r="AV68" s="190">
        <v>-37431.875</v>
      </c>
      <c r="AW68" s="190">
        <v>0</v>
      </c>
      <c r="AX68" s="190">
        <v>67377.375</v>
      </c>
      <c r="AY68" s="190">
        <v>0</v>
      </c>
      <c r="AZ68" s="190">
        <v>-67377.375</v>
      </c>
      <c r="BA68" s="190">
        <v>0</v>
      </c>
      <c r="BB68" s="190">
        <v>5.625</v>
      </c>
      <c r="BC68" s="190">
        <v>5.4375</v>
      </c>
      <c r="BD68" s="190">
        <v>26202.3125</v>
      </c>
      <c r="BE68" s="190">
        <v>0</v>
      </c>
      <c r="BF68" s="190">
        <v>-26202.3125</v>
      </c>
      <c r="BG68" s="190">
        <v>0</v>
      </c>
      <c r="BH68" s="190">
        <v>56147.8125</v>
      </c>
      <c r="BI68" s="190">
        <v>0</v>
      </c>
      <c r="BJ68" s="190">
        <v>-56147.8125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-56147.8125</v>
      </c>
      <c r="BQ68" s="192">
        <v>1.1200000000000001</v>
      </c>
      <c r="BR68" s="191">
        <v>67077.919999999998</v>
      </c>
      <c r="BS68" s="200">
        <v>71</v>
      </c>
      <c r="BT68" s="191">
        <v>11229.5625</v>
      </c>
      <c r="BU68" s="201">
        <v>59891</v>
      </c>
      <c r="BV68" s="191">
        <v>6</v>
      </c>
      <c r="BW68" s="202">
        <v>5.625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56147.8125</v>
      </c>
      <c r="CH68" s="190">
        <v>0</v>
      </c>
      <c r="CI68" s="190">
        <v>-56147.8125</v>
      </c>
      <c r="CJ68" s="190">
        <v>0</v>
      </c>
      <c r="CK68" s="191">
        <v>0</v>
      </c>
      <c r="CL68" s="191">
        <v>0</v>
      </c>
    </row>
    <row r="69" spans="1:90" outlineLevel="3" x14ac:dyDescent="0.3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466</v>
      </c>
      <c r="F69" s="129" t="s">
        <v>467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14.875</v>
      </c>
      <c r="P69" s="192">
        <v>15.6875</v>
      </c>
      <c r="Q69" s="192">
        <v>-0.8125</v>
      </c>
      <c r="R69" s="193">
        <v>0</v>
      </c>
      <c r="S69" s="254">
        <v>1</v>
      </c>
      <c r="T69" s="193">
        <v>0</v>
      </c>
      <c r="U69" s="194">
        <v>19921879.25</v>
      </c>
      <c r="V69" s="190" t="s">
        <v>312</v>
      </c>
      <c r="W69" s="190">
        <v>597656.37749999994</v>
      </c>
      <c r="X69" s="190">
        <v>0</v>
      </c>
      <c r="Y69" s="190">
        <v>597656.37749999994</v>
      </c>
      <c r="Z69" s="190">
        <v>0</v>
      </c>
      <c r="AA69" s="190">
        <v>0</v>
      </c>
      <c r="AB69" s="190">
        <v>0</v>
      </c>
      <c r="AC69" s="194">
        <v>21010049.125</v>
      </c>
      <c r="AD69" s="190">
        <v>-1088169.875</v>
      </c>
      <c r="AE69" s="190">
        <v>0</v>
      </c>
      <c r="AF69" s="190">
        <v>1088169.875</v>
      </c>
      <c r="AG69" s="190">
        <v>0</v>
      </c>
      <c r="AH69" s="195">
        <v>-3180804.25</v>
      </c>
      <c r="AI69" s="190">
        <v>0</v>
      </c>
      <c r="AJ69" s="190">
        <v>3180804.25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19921879.25</v>
      </c>
      <c r="AS69" s="190">
        <v>14.875</v>
      </c>
      <c r="AT69" s="190">
        <v>-2343750.5</v>
      </c>
      <c r="AU69" s="190">
        <v>0</v>
      </c>
      <c r="AV69" s="190">
        <v>2343750.5</v>
      </c>
      <c r="AW69" s="190">
        <v>0</v>
      </c>
      <c r="AX69" s="190">
        <v>-3180804.25</v>
      </c>
      <c r="AY69" s="190">
        <v>0</v>
      </c>
      <c r="AZ69" s="190">
        <v>3180804.25</v>
      </c>
      <c r="BA69" s="190">
        <v>0</v>
      </c>
      <c r="BB69" s="190">
        <v>14.875</v>
      </c>
      <c r="BC69" s="190">
        <v>15.6875</v>
      </c>
      <c r="BD69" s="190">
        <v>-1255580.625</v>
      </c>
      <c r="BE69" s="190">
        <v>0</v>
      </c>
      <c r="BF69" s="190">
        <v>1255580.625</v>
      </c>
      <c r="BG69" s="190">
        <v>0</v>
      </c>
      <c r="BH69" s="190">
        <v>-2092634.375</v>
      </c>
      <c r="BI69" s="190">
        <v>0</v>
      </c>
      <c r="BJ69" s="190">
        <v>2092634.375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2092634.375</v>
      </c>
      <c r="BQ69" s="192">
        <v>0</v>
      </c>
      <c r="BR69" s="191">
        <v>0</v>
      </c>
      <c r="BS69" s="200">
        <v>71</v>
      </c>
      <c r="BT69" s="191">
        <v>-1088169.875</v>
      </c>
      <c r="BU69" s="201">
        <v>1339286</v>
      </c>
      <c r="BV69" s="191">
        <v>22</v>
      </c>
      <c r="BW69" s="202">
        <v>14.875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-2092634.375</v>
      </c>
      <c r="CH69" s="190">
        <v>0</v>
      </c>
      <c r="CI69" s="190">
        <v>2092634.375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3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20258766.125</v>
      </c>
      <c r="V70" s="208"/>
      <c r="W70" s="208">
        <v>597656.37749999994</v>
      </c>
      <c r="X70" s="208">
        <v>0</v>
      </c>
      <c r="Y70" s="208">
        <v>597656.37749999994</v>
      </c>
      <c r="Z70" s="208">
        <v>0</v>
      </c>
      <c r="AA70" s="208">
        <v>0</v>
      </c>
      <c r="AB70" s="208">
        <v>0</v>
      </c>
      <c r="AC70" s="212">
        <v>21335706.4375</v>
      </c>
      <c r="AD70" s="208">
        <v>-1076940.3125</v>
      </c>
      <c r="AE70" s="208">
        <v>0</v>
      </c>
      <c r="AF70" s="208">
        <v>1076940.3125</v>
      </c>
      <c r="AG70" s="208">
        <v>0</v>
      </c>
      <c r="AH70" s="213">
        <v>-3113426.875</v>
      </c>
      <c r="AI70" s="208">
        <v>0</v>
      </c>
      <c r="AJ70" s="208">
        <v>3113426.875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-2306318.625</v>
      </c>
      <c r="AU70" s="208">
        <v>0</v>
      </c>
      <c r="AV70" s="208">
        <v>2306318.625</v>
      </c>
      <c r="AW70" s="208">
        <v>0</v>
      </c>
      <c r="AX70" s="208">
        <v>-3113426.875</v>
      </c>
      <c r="AY70" s="208">
        <v>0</v>
      </c>
      <c r="AZ70" s="208">
        <v>3113426.875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3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468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2013591.6599838899</v>
      </c>
      <c r="P71" s="191">
        <v>2013591.6599838899</v>
      </c>
      <c r="Q71" s="191">
        <v>0</v>
      </c>
      <c r="R71" s="193" t="s">
        <v>469</v>
      </c>
      <c r="S71" s="258">
        <v>0.75</v>
      </c>
      <c r="T71" s="193">
        <v>0</v>
      </c>
      <c r="U71" s="194">
        <v>2013591.6599838899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2013591.6599838899</v>
      </c>
      <c r="AD71" s="190">
        <v>0</v>
      </c>
      <c r="AE71" s="190">
        <v>0</v>
      </c>
      <c r="AF71" s="190">
        <v>0</v>
      </c>
      <c r="AG71" s="190">
        <v>0</v>
      </c>
      <c r="AH71" s="195">
        <v>0</v>
      </c>
      <c r="AI71" s="190">
        <v>0</v>
      </c>
      <c r="AJ71" s="190">
        <v>0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2002698.811523003</v>
      </c>
      <c r="AQ71" s="198">
        <v>1</v>
      </c>
      <c r="AR71" s="190">
        <v>0</v>
      </c>
      <c r="AS71" s="190">
        <v>2013591.6599838899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 t="s">
        <v>307</v>
      </c>
      <c r="BC71" s="190" t="s">
        <v>307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2002698.811523003</v>
      </c>
      <c r="BM71" s="190" t="s">
        <v>324</v>
      </c>
      <c r="BN71" s="190">
        <v>0</v>
      </c>
      <c r="BO71" s="190" t="b">
        <v>0</v>
      </c>
      <c r="BP71" s="190">
        <v>0</v>
      </c>
      <c r="BQ71" s="192">
        <v>0</v>
      </c>
      <c r="BR71" s="191">
        <v>0</v>
      </c>
      <c r="BS71" s="200">
        <v>79</v>
      </c>
      <c r="BT71" s="191">
        <v>0</v>
      </c>
      <c r="BU71" s="201">
        <v>0</v>
      </c>
      <c r="BV71" s="191">
        <v>153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3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2013591.6599838899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2013591.6599838899</v>
      </c>
      <c r="AD72" s="208">
        <v>0</v>
      </c>
      <c r="AE72" s="208">
        <v>0</v>
      </c>
      <c r="AF72" s="208">
        <v>0</v>
      </c>
      <c r="AG72" s="208">
        <v>0</v>
      </c>
      <c r="AH72" s="213">
        <v>0</v>
      </c>
      <c r="AI72" s="208">
        <v>0</v>
      </c>
      <c r="AJ72" s="208">
        <v>0</v>
      </c>
      <c r="AK72" s="214">
        <v>0</v>
      </c>
      <c r="AL72" s="215"/>
      <c r="AM72" s="208">
        <v>2013591.6599838899</v>
      </c>
      <c r="AN72" s="209"/>
      <c r="AO72" s="215"/>
      <c r="AP72" s="208">
        <v>2002698.811523003</v>
      </c>
      <c r="AQ72" s="216"/>
      <c r="AR72" s="208"/>
      <c r="AS72" s="208"/>
      <c r="AT72" s="208">
        <v>0</v>
      </c>
      <c r="AU72" s="208">
        <v>0</v>
      </c>
      <c r="AV72" s="208">
        <v>0</v>
      </c>
      <c r="AW72" s="208">
        <v>0</v>
      </c>
      <c r="AX72" s="208">
        <v>0</v>
      </c>
      <c r="AY72" s="208">
        <v>0</v>
      </c>
      <c r="AZ72" s="208">
        <v>0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3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487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470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74</v>
      </c>
      <c r="BT73" s="191">
        <v>0</v>
      </c>
      <c r="BU73" s="201">
        <v>0</v>
      </c>
      <c r="BV73" s="191">
        <v>81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3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471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1374750</v>
      </c>
      <c r="P74" s="191">
        <v>1374750</v>
      </c>
      <c r="Q74" s="191">
        <v>0</v>
      </c>
      <c r="R74" s="193" t="s">
        <v>472</v>
      </c>
      <c r="S74" s="254">
        <v>0.75</v>
      </c>
      <c r="T74" s="193">
        <v>0</v>
      </c>
      <c r="U74" s="194">
        <v>1374750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1374750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1374750</v>
      </c>
      <c r="AQ74" s="198">
        <v>1</v>
      </c>
      <c r="AR74" s="190">
        <v>1374750</v>
      </c>
      <c r="AS74" s="190">
        <v>1374750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1374750</v>
      </c>
      <c r="BM74" s="190" t="s">
        <v>313</v>
      </c>
      <c r="BN74" s="190">
        <v>0</v>
      </c>
      <c r="BO74" s="190" t="b">
        <v>0</v>
      </c>
      <c r="BP74" s="190">
        <v>0</v>
      </c>
      <c r="BQ74" s="191">
        <v>0</v>
      </c>
      <c r="BR74" s="191">
        <v>0</v>
      </c>
      <c r="BS74" s="200">
        <v>74</v>
      </c>
      <c r="BT74" s="191">
        <v>0</v>
      </c>
      <c r="BU74" s="201">
        <v>0</v>
      </c>
      <c r="BV74" s="191">
        <v>83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3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24888184.5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24888184.5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24888184.5</v>
      </c>
      <c r="AN75" s="215"/>
      <c r="AO75" s="215"/>
      <c r="AP75" s="208">
        <v>24888184.5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3">
      <c r="A76" s="129" t="s">
        <v>480</v>
      </c>
      <c r="B76" s="129" t="s">
        <v>447</v>
      </c>
      <c r="C76" s="129" t="s">
        <v>404</v>
      </c>
      <c r="D76" s="129" t="s">
        <v>405</v>
      </c>
      <c r="E76" s="129" t="s">
        <v>481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38.46</v>
      </c>
      <c r="P76" s="192">
        <v>38.450000000000003</v>
      </c>
      <c r="Q76" s="192">
        <v>9.9999999999980105E-3</v>
      </c>
      <c r="R76" s="193" t="s">
        <v>465</v>
      </c>
      <c r="S76" s="254">
        <v>1</v>
      </c>
      <c r="T76" s="193">
        <v>0</v>
      </c>
      <c r="U76" s="194">
        <v>127469516.40000001</v>
      </c>
      <c r="V76" s="190" t="s">
        <v>477</v>
      </c>
      <c r="W76" s="190">
        <v>79031100.167999998</v>
      </c>
      <c r="X76" s="190">
        <v>0</v>
      </c>
      <c r="Y76" s="190">
        <v>79031100.167999998</v>
      </c>
      <c r="Z76" s="190">
        <v>0</v>
      </c>
      <c r="AA76" s="190">
        <v>0</v>
      </c>
      <c r="AB76" s="190">
        <v>0</v>
      </c>
      <c r="AC76" s="194">
        <v>127436373.00000001</v>
      </c>
      <c r="AD76" s="190">
        <v>33143.399999991059</v>
      </c>
      <c r="AE76" s="190">
        <v>0</v>
      </c>
      <c r="AF76" s="190">
        <v>-33143.399999991059</v>
      </c>
      <c r="AG76" s="190">
        <v>0</v>
      </c>
      <c r="AH76" s="195">
        <v>-21261491.099999994</v>
      </c>
      <c r="AI76" s="190">
        <v>0</v>
      </c>
      <c r="AJ76" s="190">
        <v>21261491.099999994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127469516.40000001</v>
      </c>
      <c r="AS76" s="190">
        <v>38.46</v>
      </c>
      <c r="AT76" s="190">
        <v>298290.60000000591</v>
      </c>
      <c r="AU76" s="190">
        <v>0</v>
      </c>
      <c r="AV76" s="190">
        <v>-298290.60000000591</v>
      </c>
      <c r="AW76" s="190">
        <v>0</v>
      </c>
      <c r="AX76" s="190">
        <v>-21261491.099999994</v>
      </c>
      <c r="AY76" s="190">
        <v>0</v>
      </c>
      <c r="AZ76" s="190">
        <v>21261491.099999994</v>
      </c>
      <c r="BA76" s="190">
        <v>0</v>
      </c>
      <c r="BB76" s="190">
        <v>38.46</v>
      </c>
      <c r="BC76" s="190">
        <v>38.450000000000003</v>
      </c>
      <c r="BD76" s="190">
        <v>265147.20000001485</v>
      </c>
      <c r="BE76" s="190">
        <v>0</v>
      </c>
      <c r="BF76" s="190">
        <v>-265147.20000001485</v>
      </c>
      <c r="BG76" s="190">
        <v>0</v>
      </c>
      <c r="BH76" s="190">
        <v>-21294634.499999985</v>
      </c>
      <c r="BI76" s="190">
        <v>0</v>
      </c>
      <c r="BJ76" s="190">
        <v>21294634.499999985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21294634.499999985</v>
      </c>
      <c r="BQ76" s="192">
        <v>11.95</v>
      </c>
      <c r="BR76" s="191">
        <v>39606363</v>
      </c>
      <c r="BS76" s="200">
        <v>82</v>
      </c>
      <c r="BT76" s="191">
        <v>33143.399999991059</v>
      </c>
      <c r="BU76" s="201">
        <v>3314340</v>
      </c>
      <c r="BV76" s="191">
        <v>8</v>
      </c>
      <c r="BW76" s="202">
        <v>38.46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-21294634.499999985</v>
      </c>
      <c r="CH76" s="190">
        <v>0</v>
      </c>
      <c r="CI76" s="190">
        <v>21294634.499999985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3">
      <c r="A77" s="204" t="s">
        <v>482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127469516.40000001</v>
      </c>
      <c r="V77" s="208"/>
      <c r="W77" s="208">
        <v>79031100.167999998</v>
      </c>
      <c r="X77" s="208">
        <v>0</v>
      </c>
      <c r="Y77" s="208">
        <v>79031100.167999998</v>
      </c>
      <c r="Z77" s="208">
        <v>0</v>
      </c>
      <c r="AA77" s="208">
        <v>0</v>
      </c>
      <c r="AB77" s="208">
        <v>0</v>
      </c>
      <c r="AC77" s="212">
        <v>127436373.00000001</v>
      </c>
      <c r="AD77" s="208">
        <v>33143.399999991059</v>
      </c>
      <c r="AE77" s="208">
        <v>0</v>
      </c>
      <c r="AF77" s="208">
        <v>-33143.399999991059</v>
      </c>
      <c r="AG77" s="208">
        <v>0</v>
      </c>
      <c r="AH77" s="213">
        <v>-21261491.099999994</v>
      </c>
      <c r="AI77" s="208">
        <v>0</v>
      </c>
      <c r="AJ77" s="208">
        <v>21261491.099999994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298290.60000000591</v>
      </c>
      <c r="AU77" s="208">
        <v>0</v>
      </c>
      <c r="AV77" s="208">
        <v>-298290.60000000591</v>
      </c>
      <c r="AW77" s="208">
        <v>0</v>
      </c>
      <c r="AX77" s="208">
        <v>-21261491.099999994</v>
      </c>
      <c r="AY77" s="208">
        <v>0</v>
      </c>
      <c r="AZ77" s="208">
        <v>21261491.099999994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3">
      <c r="A78" s="204"/>
      <c r="B78" s="204" t="s">
        <v>473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260113683.68498391</v>
      </c>
      <c r="V78" s="223"/>
      <c r="W78" s="223">
        <v>79628756.545499995</v>
      </c>
      <c r="X78" s="223">
        <v>0</v>
      </c>
      <c r="Y78" s="223">
        <v>79628756.545499995</v>
      </c>
      <c r="Z78" s="223">
        <v>0</v>
      </c>
      <c r="AA78" s="223">
        <v>0</v>
      </c>
      <c r="AB78" s="223">
        <v>0</v>
      </c>
      <c r="AC78" s="227">
        <v>261157480.5974839</v>
      </c>
      <c r="AD78" s="223">
        <v>-1043796.9125000089</v>
      </c>
      <c r="AE78" s="223">
        <v>0</v>
      </c>
      <c r="AF78" s="223">
        <v>1043796.9125000089</v>
      </c>
      <c r="AG78" s="223">
        <v>0</v>
      </c>
      <c r="AH78" s="228">
        <v>-24374917.974999994</v>
      </c>
      <c r="AI78" s="223">
        <v>0</v>
      </c>
      <c r="AJ78" s="223">
        <v>24374917.974999994</v>
      </c>
      <c r="AK78" s="229">
        <v>0</v>
      </c>
      <c r="AL78" s="230"/>
      <c r="AM78" s="223">
        <v>135757594.15998387</v>
      </c>
      <c r="AN78" s="224"/>
      <c r="AO78" s="230"/>
      <c r="AP78" s="223">
        <v>112760056.62402301</v>
      </c>
      <c r="AQ78" s="231"/>
      <c r="AR78" s="223"/>
      <c r="AS78" s="223"/>
      <c r="AT78" s="223">
        <v>-2008028.0249999941</v>
      </c>
      <c r="AU78" s="223">
        <v>0</v>
      </c>
      <c r="AV78" s="223">
        <v>2008028.0249999941</v>
      </c>
      <c r="AW78" s="223">
        <v>0</v>
      </c>
      <c r="AX78" s="223">
        <v>-24374917.974999994</v>
      </c>
      <c r="AY78" s="223">
        <v>0</v>
      </c>
      <c r="AZ78" s="223">
        <v>24374917.974999994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148731007.5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3">
      <c r="A79" s="204" t="s">
        <v>474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474961853.05644822</v>
      </c>
      <c r="V79" s="208"/>
      <c r="W79" s="208">
        <v>79921478.997118562</v>
      </c>
      <c r="X79" s="208">
        <v>0</v>
      </c>
      <c r="Y79" s="208">
        <v>79921478.997118562</v>
      </c>
      <c r="Z79" s="208">
        <v>0</v>
      </c>
      <c r="AA79" s="208">
        <v>0</v>
      </c>
      <c r="AB79" s="208">
        <v>0</v>
      </c>
      <c r="AC79" s="212">
        <v>477881629.11105293</v>
      </c>
      <c r="AD79" s="208">
        <v>-2919776.0546047557</v>
      </c>
      <c r="AE79" s="208">
        <v>0</v>
      </c>
      <c r="AF79" s="208">
        <v>2919776.0546047557</v>
      </c>
      <c r="AG79" s="208">
        <v>0</v>
      </c>
      <c r="AH79" s="213">
        <v>-141770127.83424264</v>
      </c>
      <c r="AI79" s="208">
        <v>0</v>
      </c>
      <c r="AJ79" s="208">
        <v>141770127.83424264</v>
      </c>
      <c r="AK79" s="214">
        <v>0</v>
      </c>
      <c r="AL79" s="215"/>
      <c r="AM79" s="208">
        <v>385997193.01694417</v>
      </c>
      <c r="AN79" s="209"/>
      <c r="AO79" s="215"/>
      <c r="AP79" s="208">
        <v>389569041.5048303</v>
      </c>
      <c r="AQ79" s="216"/>
      <c r="AR79" s="208"/>
      <c r="AS79" s="208"/>
      <c r="AT79" s="208">
        <v>-18968504.000286579</v>
      </c>
      <c r="AU79" s="208">
        <v>0</v>
      </c>
      <c r="AV79" s="208">
        <v>18968504.000286579</v>
      </c>
      <c r="AW79" s="208">
        <v>0</v>
      </c>
      <c r="AX79" s="208">
        <v>-141770127.83424264</v>
      </c>
      <c r="AY79" s="208">
        <v>0</v>
      </c>
      <c r="AZ79" s="208">
        <v>141770127.83424264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230734787.87374669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5">
      <c r="A80" s="239"/>
      <c r="B80" s="239" t="s">
        <v>474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474961853.05644822</v>
      </c>
      <c r="V80" s="243"/>
      <c r="W80" s="243">
        <v>79921478.997118562</v>
      </c>
      <c r="X80" s="243">
        <v>0</v>
      </c>
      <c r="Y80" s="243">
        <v>79921478.997118562</v>
      </c>
      <c r="Z80" s="243">
        <v>0</v>
      </c>
      <c r="AA80" s="243">
        <v>0</v>
      </c>
      <c r="AB80" s="243">
        <v>0</v>
      </c>
      <c r="AC80" s="245">
        <v>477881629.11105293</v>
      </c>
      <c r="AD80" s="243">
        <v>-2919776.0546047557</v>
      </c>
      <c r="AE80" s="243">
        <v>0</v>
      </c>
      <c r="AF80" s="243">
        <v>2919776.0546047557</v>
      </c>
      <c r="AG80" s="243">
        <v>0</v>
      </c>
      <c r="AH80" s="246">
        <v>-141770127.83424264</v>
      </c>
      <c r="AI80" s="243">
        <v>0</v>
      </c>
      <c r="AJ80" s="243">
        <v>141770127.83424264</v>
      </c>
      <c r="AK80" s="247">
        <v>0</v>
      </c>
      <c r="AL80" s="248"/>
      <c r="AM80" s="243">
        <v>385997193.01694417</v>
      </c>
      <c r="AN80" s="242"/>
      <c r="AO80" s="248"/>
      <c r="AP80" s="243">
        <v>389569041.5048303</v>
      </c>
      <c r="AQ80" s="249"/>
      <c r="AR80" s="243"/>
      <c r="AS80" s="243"/>
      <c r="AT80" s="243">
        <v>-18968504.000286579</v>
      </c>
      <c r="AU80" s="243">
        <v>0</v>
      </c>
      <c r="AV80" s="243">
        <v>18968504.000286579</v>
      </c>
      <c r="AW80" s="243">
        <v>0</v>
      </c>
      <c r="AX80" s="243">
        <v>-141770127.83424264</v>
      </c>
      <c r="AY80" s="243">
        <v>0</v>
      </c>
      <c r="AZ80" s="243">
        <v>141770127.83424264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230734787.87374669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2023-09-10T15:15:55Z</dcterms:modified>
</cp:coreProperties>
</file>