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activeTab="11"/>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<sst xmlns="http://schemas.openxmlformats.org/spreadsheetml/2006/main" count="588" uniqueCount="379">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</sst>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3" fillId="4" borderId="1" xfId="0" applyFont="1" applyFill="1" applyBorder="1" applyAlignment="1">
      <alignment vertical="top" wrapText="1"/>
    </xf>
    <xf numFmtId="0" fontId="3" fillId="4" borderId="4" xfId="0" applyFont="1" applyFill="1" applyBorder="1" applyAlignment="1">
      <alignment vertical="top" wrapText="1"/>
    </xf>
    <xf numFmtId="0" fontId="0" fillId="0" borderId="6" xfId="0" applyBorder="1" applyAlignment="1">
      <alignment vertical="top" wrapText="1"/>
    </xf>
    <xf numFmtId="0" fontId="3" fillId="4" borderId="1" xfId="0" quotePrefix="1" applyFont="1" applyFill="1" applyBorder="1" applyAlignment="1">
      <alignment vertical="top" wrapText="1"/>
    </xf>
    <xf numFmtId="0" fontId="0" fillId="0" borderId="4" xfId="0" applyBorder="1" applyAlignment="1">
      <alignment vertical="top" wrapText="1"/>
    </xf>
    <xf numFmtId="0" fontId="3" fillId="4" borderId="6" xfId="0" applyFont="1" applyFill="1" applyBorder="1" applyAlignment="1">
      <alignment vertical="top"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0</xdr:row>
      <xdr:rowOff>160020</xdr:rowOff>
    </xdr:from>
    <xdr:to>
      <xdr:col>1</xdr:col>
      <xdr:colOff>3398520</xdr:colOff>
      <xdr:row>4</xdr:row>
      <xdr:rowOff>182880</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60020"/>
          <a:ext cx="335280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2</xdr:row>
      <xdr:rowOff>7620</xdr:rowOff>
    </xdr:from>
    <xdr:to>
      <xdr:col>9</xdr:col>
      <xdr:colOff>350520</xdr:colOff>
      <xdr:row>8</xdr:row>
      <xdr:rowOff>7620</xdr:rowOff>
    </xdr:to>
    <xdr:sp macro="" textlink="">
      <xdr:nvSpPr>
        <xdr:cNvPr id="16386" name="Text Box 2"/>
        <xdr:cNvSpPr txBox="1">
          <a:spLocks noChangeArrowheads="1"/>
        </xdr:cNvSpPr>
      </xdr:nvSpPr>
      <xdr:spPr bwMode="auto">
        <a:xfrm>
          <a:off x="5844540" y="373380"/>
          <a:ext cx="3749040" cy="754380"/>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ColWidth="9.109375" defaultRowHeight="15" x14ac:dyDescent="0.25"/>
  <cols>
    <col min="1" max="1" width="2.88671875" style="211" customWidth="1"/>
    <col min="2" max="2" width="172.5546875" style="211" customWidth="1"/>
    <col min="3" max="16384" width="9.109375" style="211"/>
  </cols>
  <sheetData>
    <row r="8" spans="2:2" s="213" customFormat="1" ht="17.399999999999999" x14ac:dyDescent="0.3">
      <c r="B8" s="214" t="s">
        <v>355</v>
      </c>
    </row>
    <row r="9" spans="2:2" s="213" customFormat="1" ht="17.399999999999999" x14ac:dyDescent="0.3">
      <c r="B9" s="214" t="s">
        <v>354</v>
      </c>
    </row>
    <row r="10" spans="2:2" ht="3.75" customHeight="1" x14ac:dyDescent="0.25"/>
    <row r="11" spans="2:2" s="213" customFormat="1" ht="17.399999999999999" x14ac:dyDescent="0.3">
      <c r="B11" s="212" t="s">
        <v>347</v>
      </c>
    </row>
    <row r="12" spans="2:2" s="213" customFormat="1" ht="17.399999999999999" x14ac:dyDescent="0.3">
      <c r="B12" s="212" t="s">
        <v>348</v>
      </c>
    </row>
    <row r="13" spans="2:2" s="213" customFormat="1" ht="17.399999999999999" x14ac:dyDescent="0.3">
      <c r="B13" s="213" t="s">
        <v>349</v>
      </c>
    </row>
    <row r="14" spans="2:2" s="213" customFormat="1" ht="17.399999999999999" x14ac:dyDescent="0.3">
      <c r="B14" s="215" t="s">
        <v>279</v>
      </c>
    </row>
    <row r="15" spans="2:2" s="213" customFormat="1" ht="17.399999999999999" x14ac:dyDescent="0.3">
      <c r="B15" s="215" t="s">
        <v>350</v>
      </c>
    </row>
    <row r="16" spans="2:2" s="213" customFormat="1" ht="17.399999999999999" x14ac:dyDescent="0.3">
      <c r="B16" s="215" t="s">
        <v>332</v>
      </c>
    </row>
    <row r="17" spans="2:2" s="213" customFormat="1" ht="17.399999999999999" x14ac:dyDescent="0.3">
      <c r="B17" s="213" t="s">
        <v>351</v>
      </c>
    </row>
    <row r="18" spans="2:2" s="213" customFormat="1" ht="17.399999999999999" x14ac:dyDescent="0.3">
      <c r="B18" s="215" t="s">
        <v>353</v>
      </c>
    </row>
    <row r="19" spans="2:2" s="213" customFormat="1" ht="17.399999999999999" x14ac:dyDescent="0.3">
      <c r="B19" s="215" t="s">
        <v>352</v>
      </c>
    </row>
    <row r="20" spans="2:2" s="213" customFormat="1" ht="17.399999999999999" x14ac:dyDescent="0.3">
      <c r="B20" s="215" t="s">
        <v>100</v>
      </c>
    </row>
    <row r="21" spans="2:2" s="213" customFormat="1" ht="17.399999999999999" x14ac:dyDescent="0.3">
      <c r="B21" s="215" t="s">
        <v>154</v>
      </c>
    </row>
    <row r="22" spans="2:2" s="213" customFormat="1" ht="17.399999999999999" x14ac:dyDescent="0.3">
      <c r="B22" s="215" t="s">
        <v>30</v>
      </c>
    </row>
    <row r="23" spans="2:2" s="213" customFormat="1" ht="17.399999999999999" x14ac:dyDescent="0.3">
      <c r="B23" s="215" t="s">
        <v>277</v>
      </c>
    </row>
    <row r="24" spans="2:2" s="213" customFormat="1" ht="17.399999999999999" x14ac:dyDescent="0.3">
      <c r="B24" s="215" t="s">
        <v>29</v>
      </c>
    </row>
    <row r="25" spans="2:2" s="213" customFormat="1" ht="34.799999999999997" x14ac:dyDescent="0.3">
      <c r="B25" s="216" t="s">
        <v>370</v>
      </c>
    </row>
    <row r="26" spans="2:2" s="213" customFormat="1" ht="17.399999999999999" x14ac:dyDescent="0.3">
      <c r="B26" s="215" t="s">
        <v>352</v>
      </c>
    </row>
    <row r="27" spans="2:2" s="213" customFormat="1" ht="17.399999999999999" x14ac:dyDescent="0.3">
      <c r="B27" s="215" t="s">
        <v>100</v>
      </c>
    </row>
    <row r="28" spans="2:2" s="213" customFormat="1" ht="17.399999999999999" x14ac:dyDescent="0.3">
      <c r="B28" s="215" t="s">
        <v>154</v>
      </c>
    </row>
    <row r="29" spans="2:2" s="213" customFormat="1" ht="17.399999999999999" x14ac:dyDescent="0.3">
      <c r="B29" s="215" t="s">
        <v>30</v>
      </c>
    </row>
    <row r="30" spans="2:2" s="213" customFormat="1" ht="17.399999999999999" x14ac:dyDescent="0.3">
      <c r="B30" s="215" t="s">
        <v>277</v>
      </c>
    </row>
    <row r="31" spans="2:2" s="213" customFormat="1" ht="17.399999999999999" x14ac:dyDescent="0.3">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ColWidth="9.109375" defaultRowHeight="13.2" x14ac:dyDescent="0.25"/>
  <cols>
    <col min="1" max="1" width="3.44140625" style="20" customWidth="1"/>
    <col min="2" max="2" width="106.88671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158</v>
      </c>
      <c r="C2" s="19" t="s">
        <v>47</v>
      </c>
      <c r="F2" s="127" t="s">
        <v>81</v>
      </c>
    </row>
    <row r="3" spans="2:6" s="21" customFormat="1" ht="3.75" customHeight="1" thickBot="1" x14ac:dyDescent="0.3">
      <c r="B3" s="108"/>
      <c r="C3" s="135"/>
      <c r="D3" s="136"/>
      <c r="F3" s="136"/>
    </row>
    <row r="4" spans="2:6" ht="15.6" thickBot="1" x14ac:dyDescent="0.3">
      <c r="B4" s="229" t="s">
        <v>138</v>
      </c>
      <c r="C4" s="29">
        <v>1</v>
      </c>
      <c r="E4" s="126">
        <v>1</v>
      </c>
    </row>
    <row r="5" spans="2:6" ht="4.5" customHeight="1" x14ac:dyDescent="0.25">
      <c r="E5" s="126">
        <v>2</v>
      </c>
    </row>
    <row r="6" spans="2:6" ht="15.6" x14ac:dyDescent="0.3">
      <c r="B6" s="108" t="s">
        <v>139</v>
      </c>
      <c r="C6" s="131"/>
      <c r="E6" s="126">
        <v>3</v>
      </c>
      <c r="F6" s="130">
        <v>2</v>
      </c>
    </row>
    <row r="7" spans="2:6" ht="15.6" x14ac:dyDescent="0.3">
      <c r="B7" s="108" t="s">
        <v>147</v>
      </c>
      <c r="C7" s="128"/>
      <c r="E7" s="126">
        <v>4</v>
      </c>
      <c r="F7" s="130">
        <v>3</v>
      </c>
    </row>
    <row r="8" spans="2:6" ht="15.6" x14ac:dyDescent="0.3">
      <c r="B8" s="108" t="s">
        <v>146</v>
      </c>
      <c r="C8" s="131"/>
      <c r="F8" s="126">
        <v>4</v>
      </c>
    </row>
    <row r="9" spans="2:6" ht="4.5" customHeight="1" thickBot="1" x14ac:dyDescent="0.35">
      <c r="C9" s="131"/>
    </row>
    <row r="10" spans="2:6" ht="15.6" thickBot="1" x14ac:dyDescent="0.3">
      <c r="B10" s="229" t="s">
        <v>140</v>
      </c>
      <c r="C10" s="29">
        <v>2</v>
      </c>
      <c r="E10" s="126">
        <v>1</v>
      </c>
    </row>
    <row r="11" spans="2:6" ht="4.5" customHeight="1" x14ac:dyDescent="0.25">
      <c r="E11" s="126">
        <v>2</v>
      </c>
    </row>
    <row r="12" spans="2:6" ht="15.6" x14ac:dyDescent="0.3">
      <c r="B12" s="108" t="s">
        <v>148</v>
      </c>
      <c r="C12" s="131"/>
      <c r="E12" s="126">
        <v>3</v>
      </c>
      <c r="F12" s="130">
        <v>2</v>
      </c>
    </row>
    <row r="13" spans="2:6" ht="19.5" customHeight="1" x14ac:dyDescent="0.3">
      <c r="B13" s="108" t="s">
        <v>149</v>
      </c>
      <c r="C13" s="128"/>
      <c r="E13" s="126">
        <v>4</v>
      </c>
      <c r="F13" s="130">
        <v>3</v>
      </c>
    </row>
    <row r="14" spans="2:6" ht="6" customHeight="1" thickBot="1" x14ac:dyDescent="0.3">
      <c r="B14" s="229"/>
      <c r="C14" s="165"/>
      <c r="D14" s="140"/>
    </row>
    <row r="15" spans="2:6" ht="27" thickBot="1" x14ac:dyDescent="0.3">
      <c r="B15" s="229" t="s">
        <v>150</v>
      </c>
      <c r="C15" s="164">
        <v>0.01</v>
      </c>
      <c r="D15" s="140" t="s">
        <v>46</v>
      </c>
    </row>
    <row r="16" spans="2:6" ht="3.75" customHeight="1" thickBot="1" x14ac:dyDescent="0.35">
      <c r="C16" s="128"/>
      <c r="E16" s="126"/>
      <c r="F16" s="130"/>
    </row>
    <row r="17" spans="2:6" ht="15.6" thickBot="1" x14ac:dyDescent="0.3">
      <c r="B17" s="229" t="s">
        <v>142</v>
      </c>
      <c r="C17" s="29">
        <v>90</v>
      </c>
      <c r="D17" s="140" t="s">
        <v>46</v>
      </c>
    </row>
    <row r="18" spans="2:6" ht="3.75" customHeight="1" thickBot="1" x14ac:dyDescent="0.3">
      <c r="C18" s="25"/>
    </row>
    <row r="19" spans="2:6" ht="42" customHeight="1" thickBot="1" x14ac:dyDescent="0.3">
      <c r="B19" s="229" t="s">
        <v>143</v>
      </c>
      <c r="C19" s="185">
        <v>0.9</v>
      </c>
      <c r="D19" s="140" t="s">
        <v>46</v>
      </c>
    </row>
    <row r="20" spans="2:6" s="37" customFormat="1" ht="4.5" customHeight="1" thickBot="1" x14ac:dyDescent="0.3">
      <c r="B20" s="230"/>
      <c r="C20" s="186"/>
      <c r="D20" s="187"/>
      <c r="F20" s="188"/>
    </row>
    <row r="21" spans="2:6" ht="15.6" thickBot="1" x14ac:dyDescent="0.3">
      <c r="B21" s="229" t="s">
        <v>141</v>
      </c>
      <c r="C21" s="164">
        <v>100000</v>
      </c>
      <c r="D21" s="140" t="s">
        <v>46</v>
      </c>
    </row>
    <row r="22" spans="2:6" s="37" customFormat="1" ht="4.5" customHeight="1" thickBot="1" x14ac:dyDescent="0.3">
      <c r="B22" s="230"/>
      <c r="C22" s="186"/>
      <c r="D22" s="187"/>
      <c r="F22" s="188"/>
    </row>
    <row r="23" spans="2:6" ht="27" thickBot="1" x14ac:dyDescent="0.3">
      <c r="B23" s="229" t="s">
        <v>145</v>
      </c>
      <c r="C23" s="28">
        <v>0.3</v>
      </c>
      <c r="D23" s="140" t="s">
        <v>46</v>
      </c>
    </row>
    <row r="24" spans="2:6" s="37" customFormat="1" ht="4.5" customHeight="1" thickBot="1" x14ac:dyDescent="0.3">
      <c r="B24" s="230"/>
      <c r="C24" s="186"/>
      <c r="D24" s="187"/>
      <c r="F24" s="188"/>
    </row>
    <row r="25" spans="2:6" ht="15.6" thickBot="1" x14ac:dyDescent="0.3">
      <c r="B25" s="229" t="s">
        <v>144</v>
      </c>
      <c r="C25" s="164">
        <v>200000</v>
      </c>
      <c r="D25" s="140" t="s">
        <v>46</v>
      </c>
    </row>
    <row r="26" spans="2:6" ht="6.75" customHeight="1" thickBot="1" x14ac:dyDescent="0.3">
      <c r="C26" s="25"/>
    </row>
    <row r="27" spans="2:6" ht="30.75" customHeight="1" thickBot="1" x14ac:dyDescent="0.3">
      <c r="B27" s="132" t="s">
        <v>163</v>
      </c>
      <c r="C27" s="29">
        <v>1</v>
      </c>
      <c r="D27" s="140" t="s">
        <v>46</v>
      </c>
    </row>
    <row r="28" spans="2:6" ht="4.5" customHeight="1" x14ac:dyDescent="0.25">
      <c r="C28" s="25"/>
    </row>
    <row r="29" spans="2:6" ht="15.6" x14ac:dyDescent="0.3">
      <c r="B29" s="108" t="s">
        <v>151</v>
      </c>
      <c r="C29" s="131"/>
      <c r="E29" s="126">
        <v>3</v>
      </c>
      <c r="F29" s="130">
        <v>2</v>
      </c>
    </row>
    <row r="30" spans="2:6" ht="15.6" x14ac:dyDescent="0.3">
      <c r="B30" s="108" t="s">
        <v>153</v>
      </c>
      <c r="C30" s="128"/>
      <c r="E30" s="126">
        <v>4</v>
      </c>
      <c r="F30" s="130">
        <v>3</v>
      </c>
    </row>
    <row r="31" spans="2:6" ht="15.6" x14ac:dyDescent="0.3">
      <c r="B31" s="108" t="s">
        <v>152</v>
      </c>
      <c r="C31" s="131"/>
      <c r="F31" s="126">
        <v>4</v>
      </c>
    </row>
    <row r="32" spans="2:6" ht="4.5" customHeight="1" thickBot="1" x14ac:dyDescent="0.3">
      <c r="C32" s="25"/>
    </row>
    <row r="33" spans="2:6" ht="15.6" thickBot="1" x14ac:dyDescent="0.3">
      <c r="B33" s="229" t="s">
        <v>159</v>
      </c>
      <c r="C33" s="29">
        <v>18</v>
      </c>
      <c r="D33" s="140" t="s">
        <v>46</v>
      </c>
    </row>
    <row r="34" spans="2:6" ht="4.5" customHeight="1" thickBot="1" x14ac:dyDescent="0.3">
      <c r="C34" s="25"/>
    </row>
    <row r="35" spans="2:6" ht="15.6" thickBot="1" x14ac:dyDescent="0.3">
      <c r="B35" s="229" t="s">
        <v>160</v>
      </c>
      <c r="C35" s="173">
        <v>0.25</v>
      </c>
      <c r="D35" s="140" t="s">
        <v>46</v>
      </c>
    </row>
    <row r="36" spans="2:6" ht="3" customHeight="1" thickBot="1" x14ac:dyDescent="0.3">
      <c r="B36" s="229"/>
      <c r="C36" s="189" t="s">
        <v>371</v>
      </c>
      <c r="D36" s="140"/>
    </row>
    <row r="37" spans="2:6" ht="15.6" thickBot="1" x14ac:dyDescent="0.3">
      <c r="B37" s="229" t="s">
        <v>162</v>
      </c>
      <c r="C37" s="164">
        <v>72800</v>
      </c>
      <c r="D37" s="140" t="s">
        <v>46</v>
      </c>
    </row>
    <row r="38" spans="2:6" ht="4.5" customHeight="1" x14ac:dyDescent="0.25">
      <c r="D38" s="20"/>
      <c r="F38" s="20"/>
    </row>
    <row r="39" spans="2:6" ht="6.75" customHeight="1" x14ac:dyDescent="0.25">
      <c r="D39" s="20"/>
      <c r="F39" s="20"/>
    </row>
    <row r="40" spans="2:6" x14ac:dyDescent="0.25">
      <c r="D40" s="20"/>
      <c r="F40" s="20"/>
    </row>
    <row r="41" spans="2:6" ht="4.5" customHeight="1" x14ac:dyDescent="0.25">
      <c r="D41" s="20"/>
      <c r="F41" s="20"/>
    </row>
    <row r="42" spans="2:6" x14ac:dyDescent="0.25">
      <c r="D42" s="20"/>
      <c r="F42" s="20"/>
    </row>
    <row r="43" spans="2:6" ht="4.5" customHeight="1" x14ac:dyDescent="0.25">
      <c r="D43" s="20"/>
      <c r="F43" s="20"/>
    </row>
    <row r="44" spans="2:6" x14ac:dyDescent="0.25">
      <c r="D44" s="20"/>
      <c r="F44" s="20"/>
    </row>
    <row r="45" spans="2:6" x14ac:dyDescent="0.25">
      <c r="D45" s="20"/>
      <c r="F45" s="20"/>
    </row>
    <row r="46" spans="2:6" x14ac:dyDescent="0.25">
      <c r="D46" s="20"/>
      <c r="F46" s="20"/>
    </row>
    <row r="47" spans="2:6" x14ac:dyDescent="0.25">
      <c r="D47" s="20"/>
      <c r="F47" s="20"/>
    </row>
    <row r="48" spans="2: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ColWidth="9.109375" defaultRowHeight="13.2" x14ac:dyDescent="0.25"/>
  <cols>
    <col min="1" max="1" width="3.44140625" style="20" customWidth="1"/>
    <col min="2" max="2" width="131.66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193</v>
      </c>
      <c r="C2" s="19" t="s">
        <v>47</v>
      </c>
      <c r="F2" s="127" t="s">
        <v>81</v>
      </c>
    </row>
    <row r="3" spans="2:8" ht="10.5" customHeight="1" thickBot="1" x14ac:dyDescent="0.35">
      <c r="B3" s="232"/>
      <c r="C3" s="128"/>
      <c r="F3" s="127" t="s">
        <v>82</v>
      </c>
    </row>
    <row r="4" spans="2:8" ht="16.2" thickBot="1" x14ac:dyDescent="0.35">
      <c r="B4" s="229" t="s">
        <v>194</v>
      </c>
      <c r="C4" s="129">
        <v>1</v>
      </c>
      <c r="D4" s="126" t="b">
        <f>IF(C4="a", 1,IF(C4="b", 2, IF(C4="c",3,IF(C4="d",0))))</f>
        <v>0</v>
      </c>
      <c r="F4" s="130">
        <v>1</v>
      </c>
    </row>
    <row r="5" spans="2:8" ht="15.6" x14ac:dyDescent="0.3">
      <c r="B5" s="108" t="s">
        <v>196</v>
      </c>
      <c r="C5" s="131"/>
      <c r="F5" s="130">
        <v>2</v>
      </c>
    </row>
    <row r="6" spans="2:8" ht="26.4" x14ac:dyDescent="0.3">
      <c r="B6" s="108" t="s">
        <v>197</v>
      </c>
      <c r="C6" s="128"/>
      <c r="F6" s="130">
        <v>3</v>
      </c>
    </row>
    <row r="7" spans="2:8" s="183" customFormat="1" ht="66" x14ac:dyDescent="0.3">
      <c r="B7" s="108" t="s">
        <v>195</v>
      </c>
      <c r="C7" s="131"/>
      <c r="D7" s="182"/>
      <c r="F7" s="182">
        <v>4</v>
      </c>
    </row>
    <row r="8" spans="2:8" ht="4.5" customHeight="1" thickBot="1" x14ac:dyDescent="0.35">
      <c r="C8" s="131"/>
      <c r="H8" s="120"/>
    </row>
    <row r="9" spans="2:8" ht="15.6" thickBot="1" x14ac:dyDescent="0.3">
      <c r="B9" s="132" t="s">
        <v>198</v>
      </c>
      <c r="C9" s="133">
        <v>2</v>
      </c>
      <c r="D9" s="126" t="b">
        <f>IF(C9="a", 1,IF(C9="b", 2, IF(C9="c",3,IF(C9="d",0))))</f>
        <v>0</v>
      </c>
      <c r="H9" s="120"/>
    </row>
    <row r="10" spans="2:8" ht="15.6" x14ac:dyDescent="0.25">
      <c r="B10" s="108" t="s">
        <v>199</v>
      </c>
      <c r="C10" s="134"/>
      <c r="H10" s="120"/>
    </row>
    <row r="11" spans="2:8" ht="26.4" x14ac:dyDescent="0.25">
      <c r="B11" s="108" t="s">
        <v>200</v>
      </c>
      <c r="C11" s="134"/>
      <c r="H11" s="120"/>
    </row>
    <row r="12" spans="2:8" ht="26.4" x14ac:dyDescent="0.25">
      <c r="B12" s="108" t="s">
        <v>201</v>
      </c>
      <c r="C12" s="134"/>
    </row>
    <row r="13" spans="2:8" ht="7.5" customHeight="1" thickBot="1" x14ac:dyDescent="0.3">
      <c r="C13" s="134"/>
    </row>
    <row r="14" spans="2:8" ht="15.6" thickBot="1" x14ac:dyDescent="0.3">
      <c r="B14" s="132" t="s">
        <v>271</v>
      </c>
      <c r="C14" s="133">
        <v>2</v>
      </c>
      <c r="D14" s="126" t="b">
        <f>IF(C14="a", 1,IF(C14="b", 2, IF(C14="c",3,IF(C14="d",0))))</f>
        <v>0</v>
      </c>
    </row>
    <row r="15" spans="2:8" ht="30.75" customHeight="1" x14ac:dyDescent="0.25">
      <c r="B15" s="108" t="s">
        <v>208</v>
      </c>
      <c r="C15" s="134"/>
    </row>
    <row r="16" spans="2:8" ht="26.4" x14ac:dyDescent="0.25">
      <c r="B16" s="108" t="s">
        <v>203</v>
      </c>
      <c r="C16" s="134"/>
    </row>
    <row r="17" spans="2:6" ht="39.6" x14ac:dyDescent="0.25">
      <c r="B17" s="108" t="s">
        <v>202</v>
      </c>
      <c r="C17" s="134"/>
    </row>
    <row r="18" spans="2:6" ht="7.5" customHeight="1" thickBot="1" x14ac:dyDescent="0.3">
      <c r="C18" s="134"/>
    </row>
    <row r="19" spans="2:6" ht="15.6" thickBot="1" x14ac:dyDescent="0.3">
      <c r="B19" s="229" t="s">
        <v>207</v>
      </c>
      <c r="C19" s="133">
        <v>2</v>
      </c>
      <c r="D19" s="126" t="b">
        <f>IF(C19="a", 1,IF(C19="b", 2, IF(C19="c",3,IF(C19="d",0))))</f>
        <v>0</v>
      </c>
    </row>
    <row r="20" spans="2:6" s="21" customFormat="1" x14ac:dyDescent="0.25">
      <c r="B20" s="108" t="s">
        <v>204</v>
      </c>
      <c r="C20" s="135"/>
      <c r="D20" s="136"/>
      <c r="F20" s="136"/>
    </row>
    <row r="21" spans="2:6" s="21" customFormat="1" x14ac:dyDescent="0.25">
      <c r="B21" s="108" t="s">
        <v>206</v>
      </c>
      <c r="C21" s="135"/>
      <c r="D21" s="136"/>
      <c r="F21" s="136"/>
    </row>
    <row r="22" spans="2:6" s="21" customFormat="1" x14ac:dyDescent="0.25">
      <c r="B22" s="108" t="s">
        <v>205</v>
      </c>
      <c r="C22" s="135"/>
      <c r="D22" s="136"/>
      <c r="F22" s="136"/>
    </row>
    <row r="23" spans="2:6" ht="4.5" customHeight="1" thickBot="1" x14ac:dyDescent="0.3">
      <c r="C23" s="25"/>
    </row>
    <row r="24" spans="2:6" ht="15.6" thickBot="1" x14ac:dyDescent="0.3">
      <c r="B24" s="229" t="s">
        <v>341</v>
      </c>
      <c r="C24" s="164">
        <v>1730000</v>
      </c>
    </row>
    <row r="25" spans="2:6" ht="4.5" customHeight="1" thickBot="1" x14ac:dyDescent="0.3">
      <c r="C25" s="25"/>
    </row>
    <row r="26" spans="2:6" ht="15.6" thickBot="1" x14ac:dyDescent="0.3">
      <c r="B26" s="229" t="s">
        <v>342</v>
      </c>
      <c r="C26" s="137">
        <v>0.625</v>
      </c>
    </row>
    <row r="27" spans="2:6" ht="4.5" customHeight="1" thickBot="1" x14ac:dyDescent="0.3">
      <c r="C27" s="25"/>
    </row>
    <row r="28" spans="2:6" ht="15.6" thickBot="1" x14ac:dyDescent="0.3">
      <c r="B28" s="229" t="s">
        <v>343</v>
      </c>
      <c r="C28" s="139">
        <v>2</v>
      </c>
      <c r="D28" s="140" t="s">
        <v>46</v>
      </c>
    </row>
    <row r="29" spans="2:6" ht="3.75" customHeight="1" thickBot="1" x14ac:dyDescent="0.3">
      <c r="C29" s="25"/>
    </row>
    <row r="30" spans="2:6" ht="15.6" thickBot="1" x14ac:dyDescent="0.3">
      <c r="B30" s="229" t="s">
        <v>344</v>
      </c>
      <c r="C30" s="139">
        <v>664</v>
      </c>
      <c r="D30" s="140" t="s">
        <v>46</v>
      </c>
    </row>
    <row r="31" spans="2:6" ht="3.75" customHeight="1" thickBot="1" x14ac:dyDescent="0.3">
      <c r="C31" s="25"/>
    </row>
    <row r="32" spans="2:6" ht="15.6" thickBot="1" x14ac:dyDescent="0.3">
      <c r="B32" s="229" t="s">
        <v>345</v>
      </c>
      <c r="C32" s="164">
        <v>56</v>
      </c>
      <c r="D32" s="140" t="s">
        <v>46</v>
      </c>
    </row>
    <row r="33" spans="2:6" ht="3.75" customHeight="1" thickBot="1" x14ac:dyDescent="0.3">
      <c r="C33" s="25"/>
    </row>
    <row r="34" spans="2:6" ht="15.6" thickBot="1" x14ac:dyDescent="0.3">
      <c r="B34" s="229" t="s">
        <v>346</v>
      </c>
      <c r="C34" s="339">
        <v>2112000</v>
      </c>
      <c r="D34" s="126" t="s">
        <v>45</v>
      </c>
    </row>
    <row r="35" spans="2:6" ht="4.5" customHeight="1" x14ac:dyDescent="0.25">
      <c r="C35" s="25"/>
    </row>
    <row r="36" spans="2:6" x14ac:dyDescent="0.25">
      <c r="D36" s="20"/>
      <c r="F36" s="20"/>
    </row>
    <row r="37" spans="2:6" ht="6" customHeight="1" x14ac:dyDescent="0.25">
      <c r="D37" s="20"/>
      <c r="F37" s="20"/>
    </row>
    <row r="38" spans="2:6" x14ac:dyDescent="0.25">
      <c r="D38" s="20"/>
      <c r="F38" s="20"/>
    </row>
    <row r="39" spans="2:6" ht="3.75" customHeight="1" x14ac:dyDescent="0.25">
      <c r="D39" s="20"/>
      <c r="F39" s="20"/>
    </row>
    <row r="40" spans="2:6" x14ac:dyDescent="0.25">
      <c r="D40" s="20"/>
      <c r="F40" s="20"/>
    </row>
    <row r="41" spans="2:6" ht="3.75" customHeight="1" x14ac:dyDescent="0.25">
      <c r="D41" s="20"/>
      <c r="F41" s="20"/>
    </row>
    <row r="42" spans="2:6" x14ac:dyDescent="0.25">
      <c r="D42" s="20"/>
      <c r="F42" s="20"/>
    </row>
    <row r="43" spans="2:6" ht="6" customHeight="1" x14ac:dyDescent="0.25">
      <c r="D43" s="20"/>
      <c r="F43" s="20"/>
    </row>
    <row r="44" spans="2:6" x14ac:dyDescent="0.25">
      <c r="D44" s="20"/>
      <c r="F44" s="20"/>
    </row>
    <row r="45" spans="2:6" ht="6.75" customHeight="1" x14ac:dyDescent="0.25">
      <c r="D45" s="20"/>
      <c r="F45" s="20"/>
    </row>
    <row r="46" spans="2:6" x14ac:dyDescent="0.25">
      <c r="D46" s="20"/>
      <c r="F46" s="20"/>
    </row>
    <row r="47" spans="2:6" ht="4.5" customHeight="1" x14ac:dyDescent="0.25">
      <c r="D47" s="20"/>
      <c r="F47" s="20"/>
    </row>
    <row r="48" spans="2:6" x14ac:dyDescent="0.25">
      <c r="D48" s="20"/>
      <c r="F48" s="20"/>
    </row>
    <row r="49" spans="4:6" ht="4.5" customHeight="1" x14ac:dyDescent="0.25">
      <c r="D49" s="20"/>
      <c r="F49" s="20"/>
    </row>
    <row r="50" spans="4:6" x14ac:dyDescent="0.25">
      <c r="D50" s="20"/>
      <c r="F50" s="20"/>
    </row>
    <row r="51" spans="4:6" x14ac:dyDescent="0.25">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abSelected="1" zoomScale="75" workbookViewId="0">
      <selection activeCell="E27" sqref="E26:E27"/>
    </sheetView>
  </sheetViews>
  <sheetFormatPr defaultColWidth="9.109375" defaultRowHeight="13.2" x14ac:dyDescent="0.25"/>
  <cols>
    <col min="1" max="1" width="3.44140625" style="20" customWidth="1"/>
    <col min="2" max="2" width="113.5546875" style="108" customWidth="1"/>
    <col min="3" max="3" width="19.1093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261</v>
      </c>
      <c r="C2" s="19" t="s">
        <v>47</v>
      </c>
      <c r="F2" s="127" t="s">
        <v>81</v>
      </c>
    </row>
    <row r="3" spans="2:8" ht="10.5" customHeight="1" thickBot="1" x14ac:dyDescent="0.35">
      <c r="B3" s="232"/>
      <c r="C3" s="128"/>
      <c r="F3" s="127" t="s">
        <v>82</v>
      </c>
    </row>
    <row r="4" spans="2:8" ht="15.6" thickBot="1" x14ac:dyDescent="0.3">
      <c r="B4" s="132" t="s">
        <v>270</v>
      </c>
      <c r="C4" s="133">
        <v>2</v>
      </c>
      <c r="D4" s="126">
        <v>1</v>
      </c>
    </row>
    <row r="5" spans="2:8" ht="28.5" customHeight="1" x14ac:dyDescent="0.25">
      <c r="B5" s="108" t="s">
        <v>208</v>
      </c>
      <c r="C5" s="134"/>
      <c r="D5" s="126">
        <v>2</v>
      </c>
    </row>
    <row r="6" spans="2:8" ht="39.6" x14ac:dyDescent="0.25">
      <c r="B6" s="108" t="s">
        <v>203</v>
      </c>
      <c r="C6" s="134"/>
      <c r="D6" s="126">
        <v>3</v>
      </c>
    </row>
    <row r="7" spans="2:8" ht="42" customHeight="1" x14ac:dyDescent="0.25">
      <c r="B7" s="108" t="s">
        <v>202</v>
      </c>
      <c r="C7" s="134"/>
    </row>
    <row r="8" spans="2:8" ht="3.75" customHeight="1" thickBot="1" x14ac:dyDescent="0.35">
      <c r="C8" s="131"/>
      <c r="H8" s="120"/>
    </row>
    <row r="9" spans="2:8" ht="15.6" thickBot="1" x14ac:dyDescent="0.3">
      <c r="B9" s="229" t="s">
        <v>337</v>
      </c>
      <c r="C9" s="174" t="s">
        <v>81</v>
      </c>
      <c r="D9" s="175" t="s">
        <v>81</v>
      </c>
    </row>
    <row r="10" spans="2:8" ht="4.5" customHeight="1" thickBot="1" x14ac:dyDescent="0.3">
      <c r="C10" s="25"/>
      <c r="D10" s="175" t="s">
        <v>82</v>
      </c>
    </row>
    <row r="11" spans="2:8" ht="15.6" thickBot="1" x14ac:dyDescent="0.3">
      <c r="B11" s="229" t="s">
        <v>339</v>
      </c>
      <c r="C11" s="139">
        <v>8447712</v>
      </c>
      <c r="E11" s="20" t="s">
        <v>378</v>
      </c>
    </row>
    <row r="12" spans="2:8" ht="4.5" customHeight="1" thickBot="1" x14ac:dyDescent="0.3">
      <c r="C12" s="25"/>
    </row>
    <row r="13" spans="2:8" ht="15.6" thickBot="1" x14ac:dyDescent="0.3">
      <c r="B13" s="229" t="s">
        <v>338</v>
      </c>
      <c r="C13" s="173">
        <v>0.01</v>
      </c>
      <c r="E13" s="20" t="s">
        <v>375</v>
      </c>
    </row>
    <row r="14" spans="2:8" ht="4.5" customHeight="1" thickBot="1" x14ac:dyDescent="0.3">
      <c r="C14" s="25"/>
    </row>
    <row r="15" spans="2:8" ht="15.6" thickBot="1" x14ac:dyDescent="0.3">
      <c r="B15" s="229" t="s">
        <v>340</v>
      </c>
      <c r="C15" s="173">
        <v>0.05</v>
      </c>
    </row>
    <row r="16" spans="2:8" ht="4.5" customHeight="1" x14ac:dyDescent="0.25">
      <c r="C16" s="25"/>
    </row>
    <row r="17" spans="2:5" ht="15" x14ac:dyDescent="0.25">
      <c r="B17" s="336" t="s">
        <v>263</v>
      </c>
      <c r="C17" s="176">
        <f>C11*C13</f>
        <v>84477.119999999995</v>
      </c>
      <c r="D17" s="140" t="s">
        <v>46</v>
      </c>
      <c r="E17" s="20" t="s">
        <v>377</v>
      </c>
    </row>
    <row r="18" spans="2:5" ht="4.5" customHeight="1" x14ac:dyDescent="0.25">
      <c r="B18" s="336"/>
      <c r="C18" s="25"/>
    </row>
    <row r="19" spans="2:5" ht="15" x14ac:dyDescent="0.25">
      <c r="B19" s="336" t="s">
        <v>262</v>
      </c>
      <c r="C19" s="176">
        <f>C11*C15</f>
        <v>422385.60000000003</v>
      </c>
      <c r="D19" s="140" t="s">
        <v>46</v>
      </c>
    </row>
    <row r="20" spans="2:5" ht="4.5" customHeight="1" x14ac:dyDescent="0.25">
      <c r="B20" s="336"/>
      <c r="C20" s="25"/>
    </row>
    <row r="21" spans="2:5" ht="15" x14ac:dyDescent="0.25">
      <c r="B21" s="336" t="s">
        <v>336</v>
      </c>
      <c r="C21" s="165">
        <f>('General Financial Info Survey'!C6)/C11</f>
        <v>2.2804643434814067</v>
      </c>
      <c r="D21" s="140" t="s">
        <v>46</v>
      </c>
    </row>
    <row r="22" spans="2:5" ht="3.75" customHeight="1" x14ac:dyDescent="0.25">
      <c r="C22" s="25"/>
    </row>
    <row r="23" spans="2:5" ht="15" x14ac:dyDescent="0.25">
      <c r="B23" s="336" t="s">
        <v>265</v>
      </c>
      <c r="C23" s="165">
        <f>C21*(C11*C13)</f>
        <v>192647.06</v>
      </c>
      <c r="D23" s="140" t="s">
        <v>46</v>
      </c>
    </row>
    <row r="24" spans="2:5" ht="4.5" customHeight="1" x14ac:dyDescent="0.25">
      <c r="B24" s="336"/>
      <c r="C24" s="25"/>
    </row>
    <row r="25" spans="2:5" ht="15" x14ac:dyDescent="0.25">
      <c r="B25" s="336" t="s">
        <v>264</v>
      </c>
      <c r="C25" s="165">
        <f>C21*(C11*C15)</f>
        <v>963235.30000000016</v>
      </c>
      <c r="D25" s="140" t="s">
        <v>46</v>
      </c>
    </row>
    <row r="26" spans="2:5" ht="3" customHeight="1" x14ac:dyDescent="0.25"/>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ColWidth="9.109375" defaultRowHeight="13.2" x14ac:dyDescent="0.25"/>
  <cols>
    <col min="1" max="1" width="3.44140625" style="20" customWidth="1"/>
    <col min="2" max="2" width="113.5546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170</v>
      </c>
      <c r="C2" s="19" t="s">
        <v>47</v>
      </c>
      <c r="F2" s="127" t="s">
        <v>81</v>
      </c>
    </row>
    <row r="3" spans="2:6" s="21" customFormat="1" ht="15" customHeight="1" thickBot="1" x14ac:dyDescent="0.3">
      <c r="B3" s="108"/>
      <c r="C3" s="135"/>
      <c r="D3" s="136"/>
      <c r="F3" s="136"/>
    </row>
    <row r="4" spans="2:6" s="21" customFormat="1" ht="15" customHeight="1" thickBot="1" x14ac:dyDescent="0.3">
      <c r="B4" s="229" t="s">
        <v>176</v>
      </c>
      <c r="C4" s="163">
        <v>1</v>
      </c>
      <c r="D4" s="136">
        <v>1</v>
      </c>
      <c r="F4" s="136"/>
    </row>
    <row r="5" spans="2:6" s="21" customFormat="1" ht="6.75" customHeight="1" x14ac:dyDescent="0.25">
      <c r="B5" s="108"/>
      <c r="C5" s="135"/>
      <c r="D5" s="136">
        <v>2</v>
      </c>
      <c r="F5" s="136"/>
    </row>
    <row r="6" spans="2:6" ht="15.6" x14ac:dyDescent="0.3">
      <c r="B6" s="108" t="s">
        <v>178</v>
      </c>
      <c r="C6" s="131"/>
      <c r="D6" s="126">
        <v>3</v>
      </c>
      <c r="E6" s="126">
        <v>3</v>
      </c>
      <c r="F6" s="130">
        <v>2</v>
      </c>
    </row>
    <row r="7" spans="2:6" ht="15.6" x14ac:dyDescent="0.3">
      <c r="B7" s="108" t="s">
        <v>177</v>
      </c>
      <c r="C7" s="128"/>
      <c r="D7" s="126">
        <v>4</v>
      </c>
      <c r="E7" s="126">
        <v>4</v>
      </c>
      <c r="F7" s="130">
        <v>3</v>
      </c>
    </row>
    <row r="8" spans="2:6" ht="15.6" x14ac:dyDescent="0.3">
      <c r="B8" s="108" t="s">
        <v>179</v>
      </c>
      <c r="C8" s="131"/>
      <c r="F8" s="126">
        <v>4</v>
      </c>
    </row>
    <row r="9" spans="2:6" s="21" customFormat="1" ht="6" customHeight="1" thickBot="1" x14ac:dyDescent="0.3">
      <c r="B9" s="108"/>
      <c r="C9" s="135"/>
      <c r="D9" s="136"/>
      <c r="F9" s="136"/>
    </row>
    <row r="10" spans="2:6" s="21" customFormat="1" ht="15" customHeight="1" thickBot="1" x14ac:dyDescent="0.3">
      <c r="B10" s="229" t="s">
        <v>182</v>
      </c>
      <c r="C10" s="163">
        <v>2</v>
      </c>
      <c r="D10" s="136">
        <v>1</v>
      </c>
      <c r="F10" s="136"/>
    </row>
    <row r="11" spans="2:6" s="21" customFormat="1" ht="6.75" customHeight="1" x14ac:dyDescent="0.25">
      <c r="B11" s="108"/>
      <c r="C11" s="135"/>
      <c r="D11" s="136">
        <v>2</v>
      </c>
      <c r="F11" s="136"/>
    </row>
    <row r="12" spans="2:6" ht="15.6" x14ac:dyDescent="0.3">
      <c r="B12" s="108" t="s">
        <v>181</v>
      </c>
      <c r="C12" s="131"/>
      <c r="D12" s="126">
        <v>3</v>
      </c>
      <c r="E12" s="126">
        <v>3</v>
      </c>
      <c r="F12" s="130">
        <v>2</v>
      </c>
    </row>
    <row r="13" spans="2:6" ht="15.6" x14ac:dyDescent="0.3">
      <c r="B13" s="108" t="s">
        <v>185</v>
      </c>
      <c r="C13" s="131"/>
      <c r="D13" s="126">
        <v>3</v>
      </c>
      <c r="E13" s="126">
        <v>3</v>
      </c>
      <c r="F13" s="130">
        <v>2</v>
      </c>
    </row>
    <row r="14" spans="2:6" ht="15.6" x14ac:dyDescent="0.3">
      <c r="B14" s="108" t="s">
        <v>183</v>
      </c>
      <c r="C14" s="131"/>
      <c r="D14" s="126">
        <v>3</v>
      </c>
      <c r="E14" s="126">
        <v>3</v>
      </c>
      <c r="F14" s="130">
        <v>2</v>
      </c>
    </row>
    <row r="15" spans="2:6" ht="4.5" customHeight="1" thickBot="1" x14ac:dyDescent="0.35">
      <c r="C15" s="131"/>
    </row>
    <row r="16" spans="2:6" ht="15.6" thickBot="1" x14ac:dyDescent="0.3">
      <c r="B16" s="229" t="s">
        <v>180</v>
      </c>
      <c r="C16" s="164">
        <v>1950972</v>
      </c>
      <c r="E16" s="126">
        <v>1</v>
      </c>
    </row>
    <row r="17" spans="2:6" ht="3.75" customHeight="1" thickBot="1" x14ac:dyDescent="0.3">
      <c r="B17" s="229"/>
      <c r="C17" s="165"/>
      <c r="D17" s="140"/>
    </row>
    <row r="18" spans="2:6" ht="15.6" thickBot="1" x14ac:dyDescent="0.3">
      <c r="B18" s="229" t="s">
        <v>184</v>
      </c>
      <c r="C18" s="164">
        <v>4250</v>
      </c>
      <c r="E18" s="126">
        <v>1</v>
      </c>
    </row>
    <row r="19" spans="2:6" ht="6" customHeight="1" thickBot="1" x14ac:dyDescent="0.3">
      <c r="B19" s="229"/>
      <c r="C19" s="165"/>
      <c r="E19" s="126"/>
    </row>
    <row r="20" spans="2:6" ht="42" customHeight="1" thickBot="1" x14ac:dyDescent="0.3">
      <c r="B20" s="229" t="s">
        <v>191</v>
      </c>
      <c r="C20" s="164">
        <v>0.01</v>
      </c>
      <c r="E20" s="126"/>
    </row>
    <row r="21" spans="2:6" ht="3.75" customHeight="1" x14ac:dyDescent="0.25">
      <c r="B21" s="229"/>
      <c r="C21" s="165"/>
      <c r="D21" s="140"/>
    </row>
    <row r="22" spans="2:6" ht="3" customHeight="1" x14ac:dyDescent="0.25">
      <c r="C22" s="25"/>
      <c r="D22" s="166" t="s">
        <v>82</v>
      </c>
    </row>
    <row r="23" spans="2:6" x14ac:dyDescent="0.25">
      <c r="D23" s="20"/>
      <c r="F23" s="20"/>
    </row>
    <row r="24" spans="2:6" x14ac:dyDescent="0.25">
      <c r="D24" s="20"/>
      <c r="F24" s="20"/>
    </row>
    <row r="25" spans="2:6" x14ac:dyDescent="0.25">
      <c r="D25" s="20"/>
      <c r="F25" s="20"/>
    </row>
    <row r="26" spans="2:6" x14ac:dyDescent="0.25">
      <c r="D26" s="20"/>
      <c r="F26" s="20"/>
    </row>
    <row r="27" spans="2:6" x14ac:dyDescent="0.25">
      <c r="D27" s="20"/>
      <c r="F27" s="20"/>
    </row>
    <row r="28" spans="2:6" x14ac:dyDescent="0.25">
      <c r="D28" s="20"/>
      <c r="F28" s="20"/>
    </row>
    <row r="29" spans="2:6" x14ac:dyDescent="0.25">
      <c r="D29" s="20"/>
      <c r="F29" s="20"/>
    </row>
    <row r="30" spans="2:6" x14ac:dyDescent="0.25">
      <c r="D30" s="20"/>
      <c r="F30" s="20"/>
    </row>
    <row r="31" spans="2:6" x14ac:dyDescent="0.25">
      <c r="D31" s="20"/>
      <c r="F31" s="20"/>
    </row>
    <row r="32" spans="2:6" x14ac:dyDescent="0.25">
      <c r="D32" s="20"/>
      <c r="F32" s="20"/>
    </row>
    <row r="33" spans="4:6" x14ac:dyDescent="0.25">
      <c r="D33" s="20"/>
      <c r="F33" s="20"/>
    </row>
    <row r="34" spans="4:6" x14ac:dyDescent="0.25">
      <c r="D34" s="20"/>
      <c r="F34" s="20"/>
    </row>
    <row r="35" spans="4:6" x14ac:dyDescent="0.25">
      <c r="D35" s="20"/>
      <c r="F35" s="20"/>
    </row>
    <row r="36" spans="4:6" x14ac:dyDescent="0.25">
      <c r="D36" s="20"/>
      <c r="F36" s="20"/>
    </row>
    <row r="37" spans="4:6" x14ac:dyDescent="0.25">
      <c r="D37" s="20"/>
      <c r="F37" s="20"/>
    </row>
    <row r="38" spans="4:6" x14ac:dyDescent="0.25">
      <c r="D38" s="20"/>
      <c r="F38" s="20"/>
    </row>
    <row r="39" spans="4:6" x14ac:dyDescent="0.25">
      <c r="D39" s="20"/>
      <c r="F39" s="20"/>
    </row>
    <row r="40" spans="4:6" x14ac:dyDescent="0.25">
      <c r="D40" s="20"/>
      <c r="F40" s="20"/>
    </row>
    <row r="41" spans="4:6" x14ac:dyDescent="0.25">
      <c r="D41" s="20"/>
      <c r="F41" s="20"/>
    </row>
    <row r="42" spans="4:6" x14ac:dyDescent="0.25">
      <c r="D42" s="20"/>
      <c r="F42" s="20"/>
    </row>
    <row r="43" spans="4:6" x14ac:dyDescent="0.25">
      <c r="D43" s="20"/>
      <c r="F43" s="20"/>
    </row>
    <row r="44" spans="4:6" x14ac:dyDescent="0.25">
      <c r="D44" s="20"/>
      <c r="F44" s="20"/>
    </row>
    <row r="45" spans="4:6" x14ac:dyDescent="0.25">
      <c r="D45" s="20"/>
      <c r="F45" s="20"/>
    </row>
    <row r="46" spans="4:6" x14ac:dyDescent="0.25">
      <c r="D46" s="20"/>
      <c r="F46" s="20"/>
    </row>
    <row r="47" spans="4:6" x14ac:dyDescent="0.25">
      <c r="D47" s="20"/>
      <c r="F47" s="20"/>
    </row>
    <row r="48" spans="4: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93</v>
      </c>
      <c r="H3" s="143"/>
    </row>
    <row r="4" spans="2:31" s="147" customFormat="1" ht="26.4" x14ac:dyDescent="0.25">
      <c r="B4" s="171" t="s">
        <v>92</v>
      </c>
      <c r="C4" s="172" t="s">
        <v>272</v>
      </c>
      <c r="D4" s="160" t="s">
        <v>70</v>
      </c>
      <c r="E4" s="160" t="s">
        <v>189</v>
      </c>
      <c r="F4" s="172" t="s">
        <v>84</v>
      </c>
      <c r="G4" s="172" t="s">
        <v>77</v>
      </c>
      <c r="H4" s="146"/>
    </row>
    <row r="5" spans="2:31" ht="15" x14ac:dyDescent="0.25">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5">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5">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5">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5">
      <c r="H9" s="143"/>
    </row>
    <row r="10" spans="2:31" ht="15.6" x14ac:dyDescent="0.3">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5">
      <c r="B11" s="180"/>
      <c r="D11" s="126"/>
      <c r="F11" s="126"/>
      <c r="H11" s="181"/>
    </row>
    <row r="12" spans="2:31" ht="15" x14ac:dyDescent="0.25">
      <c r="B12" s="10" t="s">
        <v>76</v>
      </c>
      <c r="C12" s="172" t="s">
        <v>70</v>
      </c>
      <c r="D12" s="172" t="s">
        <v>189</v>
      </c>
      <c r="E12" s="172" t="s">
        <v>71</v>
      </c>
      <c r="F12" s="126"/>
      <c r="H12" s="143"/>
    </row>
    <row r="13" spans="2:31" s="120" customFormat="1" x14ac:dyDescent="0.25">
      <c r="B13" s="167" t="s">
        <v>75</v>
      </c>
      <c r="C13" s="190">
        <f>'MRO Supply Chain Survey'!C30</f>
        <v>55</v>
      </c>
      <c r="D13" s="151">
        <f>ROUNDUP(IF(C6="High",C13*D23,IF(C6="Moderate",C13*(1-E23),IF(C6="High",C13*(1-F23),0))),0)</f>
        <v>36</v>
      </c>
      <c r="E13" s="190">
        <f>C13-D13</f>
        <v>19</v>
      </c>
      <c r="F13" s="126"/>
    </row>
    <row r="14" spans="2:31" s="120" customFormat="1" x14ac:dyDescent="0.25">
      <c r="B14" s="169" t="s">
        <v>135</v>
      </c>
      <c r="C14" s="191">
        <f>'MRO Supply Chain Survey'!C28</f>
        <v>0.5</v>
      </c>
      <c r="D14" s="191">
        <f>1/((1-(F6/D6))*C14)</f>
        <v>2.3529411764705883</v>
      </c>
      <c r="E14" s="192">
        <f>D14/C14-1</f>
        <v>3.7058823529411766</v>
      </c>
    </row>
    <row r="17" spans="2:6" s="120" customFormat="1" ht="15.6" x14ac:dyDescent="0.3">
      <c r="B17" s="7" t="s">
        <v>96</v>
      </c>
      <c r="C17" s="20"/>
      <c r="D17" s="20"/>
      <c r="E17" s="20"/>
      <c r="F17" s="159"/>
    </row>
    <row r="18" spans="2:6" s="120" customFormat="1" x14ac:dyDescent="0.25">
      <c r="B18" s="11"/>
      <c r="C18" s="13"/>
      <c r="D18" s="366" t="s">
        <v>98</v>
      </c>
      <c r="E18" s="367"/>
      <c r="F18" s="368"/>
    </row>
    <row r="19" spans="2:6" s="120" customFormat="1" x14ac:dyDescent="0.25">
      <c r="B19" s="16" t="s">
        <v>92</v>
      </c>
      <c r="C19" s="15" t="s">
        <v>222</v>
      </c>
      <c r="D19" s="12" t="s">
        <v>97</v>
      </c>
      <c r="E19" s="13" t="s">
        <v>134</v>
      </c>
      <c r="F19" s="13" t="s">
        <v>69</v>
      </c>
    </row>
    <row r="20" spans="2:6" s="120" customFormat="1" x14ac:dyDescent="0.25">
      <c r="B20" s="193" t="s">
        <v>95</v>
      </c>
      <c r="C20" s="206" t="s">
        <v>242</v>
      </c>
      <c r="D20" s="202">
        <v>0.15</v>
      </c>
      <c r="E20" s="202">
        <v>0.1</v>
      </c>
      <c r="F20" s="202">
        <v>0.05</v>
      </c>
    </row>
    <row r="21" spans="2:6" s="120" customFormat="1" x14ac:dyDescent="0.25">
      <c r="B21" s="207" t="s">
        <v>94</v>
      </c>
      <c r="C21" s="208" t="s">
        <v>243</v>
      </c>
      <c r="D21" s="209">
        <v>0.3</v>
      </c>
      <c r="E21" s="209">
        <v>0.2</v>
      </c>
      <c r="F21" s="209">
        <v>0.05</v>
      </c>
    </row>
    <row r="22" spans="2:6" x14ac:dyDescent="0.25">
      <c r="B22" s="207" t="s">
        <v>226</v>
      </c>
      <c r="C22" s="208" t="s">
        <v>245</v>
      </c>
      <c r="D22" s="209">
        <v>0.75</v>
      </c>
      <c r="E22" s="209">
        <v>0.5</v>
      </c>
      <c r="F22" s="209">
        <v>0.05</v>
      </c>
    </row>
    <row r="23" spans="2:6" s="120" customFormat="1" x14ac:dyDescent="0.25">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ColWidth="9.109375" defaultRowHeight="13.2" x14ac:dyDescent="0.25"/>
  <cols>
    <col min="1" max="1" width="3.109375" style="20" customWidth="1"/>
    <col min="2" max="2" width="42.44140625" style="20"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129</v>
      </c>
      <c r="H3" s="143"/>
    </row>
    <row r="4" spans="2:31" s="147" customFormat="1" ht="26.4" x14ac:dyDescent="0.25">
      <c r="B4" s="171" t="s">
        <v>92</v>
      </c>
      <c r="C4" s="172" t="s">
        <v>272</v>
      </c>
      <c r="D4" s="160" t="s">
        <v>70</v>
      </c>
      <c r="E4" s="160" t="s">
        <v>189</v>
      </c>
      <c r="F4" s="172" t="s">
        <v>84</v>
      </c>
      <c r="G4" s="172" t="s">
        <v>77</v>
      </c>
      <c r="H4" s="146"/>
    </row>
    <row r="5" spans="2:31" ht="15" x14ac:dyDescent="0.25">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5">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5">
      <c r="H7" s="143"/>
    </row>
    <row r="8" spans="2:31" ht="15.6" x14ac:dyDescent="0.3">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6" x14ac:dyDescent="0.3">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15.6" x14ac:dyDescent="0.3">
      <c r="B11" s="7" t="s">
        <v>130</v>
      </c>
      <c r="C11" s="20"/>
      <c r="D11" s="20"/>
      <c r="E11" s="20"/>
      <c r="F11" s="159"/>
    </row>
    <row r="12" spans="2:31" s="120" customFormat="1" x14ac:dyDescent="0.25">
      <c r="B12" s="11"/>
      <c r="C12" s="13"/>
      <c r="D12" s="366" t="s">
        <v>98</v>
      </c>
      <c r="E12" s="367"/>
      <c r="F12" s="368"/>
    </row>
    <row r="13" spans="2:31" s="120" customFormat="1" x14ac:dyDescent="0.25">
      <c r="B13" s="8" t="s">
        <v>92</v>
      </c>
      <c r="C13" s="14" t="s">
        <v>222</v>
      </c>
      <c r="D13" s="6" t="s">
        <v>97</v>
      </c>
      <c r="E13" s="5" t="s">
        <v>134</v>
      </c>
      <c r="F13" s="5" t="s">
        <v>69</v>
      </c>
    </row>
    <row r="14" spans="2:31" s="120" customFormat="1" x14ac:dyDescent="0.25">
      <c r="B14" s="195" t="s">
        <v>254</v>
      </c>
      <c r="C14" s="197" t="s">
        <v>240</v>
      </c>
      <c r="D14" s="198">
        <v>0.2</v>
      </c>
      <c r="E14" s="199">
        <v>0.1</v>
      </c>
      <c r="F14" s="199">
        <v>0.02</v>
      </c>
    </row>
    <row r="15" spans="2:31" x14ac:dyDescent="0.25">
      <c r="B15" s="196" t="s">
        <v>132</v>
      </c>
      <c r="C15" s="197" t="s">
        <v>241</v>
      </c>
      <c r="D15" s="198">
        <v>0.2</v>
      </c>
      <c r="E15" s="199">
        <v>0.1</v>
      </c>
      <c r="F15" s="199">
        <v>0.02</v>
      </c>
    </row>
    <row r="20" spans="5:5" x14ac:dyDescent="0.25">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ColWidth="9.109375" defaultRowHeight="13.2" x14ac:dyDescent="0.25"/>
  <cols>
    <col min="1" max="1" width="3.109375" style="20" customWidth="1"/>
    <col min="2" max="2" width="66.88671875" style="21"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25">
      <c r="B3" s="233" t="s">
        <v>155</v>
      </c>
      <c r="C3" s="42"/>
      <c r="D3" s="42"/>
      <c r="E3" s="42"/>
      <c r="F3" s="42"/>
      <c r="G3" s="42"/>
      <c r="H3" s="143"/>
    </row>
    <row r="4" spans="2:31" s="147" customFormat="1" ht="26.4" x14ac:dyDescent="0.25">
      <c r="B4" s="234" t="s">
        <v>92</v>
      </c>
      <c r="C4" s="235" t="s">
        <v>272</v>
      </c>
      <c r="D4" s="236" t="s">
        <v>70</v>
      </c>
      <c r="E4" s="236" t="s">
        <v>189</v>
      </c>
      <c r="F4" s="235" t="s">
        <v>84</v>
      </c>
      <c r="G4" s="235" t="s">
        <v>77</v>
      </c>
      <c r="H4" s="146"/>
    </row>
    <row r="5" spans="2:31" ht="15" x14ac:dyDescent="0.25">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5">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5">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5">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5">
      <c r="B9" s="247" t="s">
        <v>236</v>
      </c>
      <c r="C9" s="248" t="str">
        <f>IF('IT Survey'!C15&gt;0, "High", "Low")</f>
        <v>High</v>
      </c>
      <c r="D9" s="249">
        <f>'IT Survey'!C15</f>
        <v>0.01</v>
      </c>
      <c r="E9" s="250">
        <v>0</v>
      </c>
      <c r="F9" s="249">
        <f>(D9-E9)</f>
        <v>0.01</v>
      </c>
      <c r="G9" s="113"/>
      <c r="H9" s="143"/>
    </row>
    <row r="10" spans="2:31" ht="5.25" customHeight="1" x14ac:dyDescent="0.25">
      <c r="B10" s="108"/>
      <c r="C10" s="42"/>
      <c r="D10" s="42"/>
      <c r="E10" s="42"/>
      <c r="F10" s="42"/>
      <c r="G10" s="42"/>
      <c r="H10" s="143"/>
    </row>
    <row r="11" spans="2:31" ht="15.6" x14ac:dyDescent="0.3">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6" x14ac:dyDescent="0.3">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5">
      <c r="B13" s="108"/>
      <c r="C13" s="42"/>
      <c r="D13" s="42"/>
      <c r="E13" s="42"/>
      <c r="F13" s="42"/>
      <c r="G13" s="42"/>
    </row>
    <row r="14" spans="2:31" s="120" customFormat="1" ht="15.6" x14ac:dyDescent="0.25">
      <c r="B14" s="254" t="s">
        <v>157</v>
      </c>
      <c r="C14" s="42"/>
      <c r="D14" s="42"/>
      <c r="E14" s="42"/>
      <c r="F14" s="255"/>
      <c r="G14" s="147"/>
    </row>
    <row r="15" spans="2:31" s="120" customFormat="1" x14ac:dyDescent="0.25">
      <c r="B15" s="266"/>
      <c r="C15" s="256"/>
      <c r="D15" s="369" t="s">
        <v>98</v>
      </c>
      <c r="E15" s="370"/>
      <c r="F15" s="371"/>
      <c r="G15" s="147"/>
    </row>
    <row r="16" spans="2:31" s="120" customFormat="1" x14ac:dyDescent="0.25">
      <c r="B16" s="267" t="s">
        <v>92</v>
      </c>
      <c r="C16" s="258" t="s">
        <v>222</v>
      </c>
      <c r="D16" s="257" t="s">
        <v>97</v>
      </c>
      <c r="E16" s="259" t="s">
        <v>134</v>
      </c>
      <c r="F16" s="259" t="s">
        <v>69</v>
      </c>
      <c r="G16" s="147"/>
    </row>
    <row r="17" spans="2:7" s="120" customFormat="1" x14ac:dyDescent="0.25">
      <c r="B17" s="260" t="s">
        <v>165</v>
      </c>
      <c r="C17" s="261" t="s">
        <v>238</v>
      </c>
      <c r="D17" s="262">
        <v>0.75</v>
      </c>
      <c r="E17" s="263">
        <v>0.1</v>
      </c>
      <c r="F17" s="263">
        <v>0</v>
      </c>
      <c r="G17" s="147"/>
    </row>
    <row r="18" spans="2:7" x14ac:dyDescent="0.25">
      <c r="B18" s="260" t="s">
        <v>166</v>
      </c>
      <c r="C18" s="261" t="s">
        <v>237</v>
      </c>
      <c r="D18" s="262">
        <v>1</v>
      </c>
      <c r="E18" s="263">
        <v>0.1</v>
      </c>
      <c r="F18" s="263">
        <v>0</v>
      </c>
      <c r="G18" s="42"/>
    </row>
    <row r="19" spans="2:7" x14ac:dyDescent="0.25">
      <c r="B19" s="268" t="s">
        <v>168</v>
      </c>
      <c r="C19" s="261" t="s">
        <v>239</v>
      </c>
      <c r="D19" s="262">
        <v>1</v>
      </c>
      <c r="E19" s="263">
        <v>0.1</v>
      </c>
      <c r="F19" s="263">
        <v>0</v>
      </c>
      <c r="G19" s="42"/>
    </row>
    <row r="20" spans="2:7" x14ac:dyDescent="0.25">
      <c r="B20" s="268" t="s">
        <v>167</v>
      </c>
      <c r="C20" s="261" t="s">
        <v>228</v>
      </c>
      <c r="D20" s="264">
        <v>1E-3</v>
      </c>
      <c r="E20" s="265">
        <v>5.0000000000000001E-4</v>
      </c>
      <c r="F20" s="263">
        <v>0</v>
      </c>
      <c r="G20" s="42"/>
    </row>
    <row r="23" spans="2:7" x14ac:dyDescent="0.25">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1" spans="1:31" x14ac:dyDescent="0.25">
      <c r="A1" s="42"/>
      <c r="B1" s="42"/>
      <c r="C1" s="42"/>
      <c r="D1" s="42"/>
      <c r="E1" s="42"/>
      <c r="F1" s="42"/>
      <c r="G1" s="42"/>
      <c r="H1" s="42"/>
    </row>
    <row r="2" spans="1:31" ht="15" x14ac:dyDescent="0.25">
      <c r="A2" s="42"/>
      <c r="B2" s="42"/>
      <c r="C2" s="269"/>
      <c r="D2" s="252"/>
      <c r="E2" s="42"/>
      <c r="F2" s="252"/>
      <c r="G2" s="42"/>
      <c r="H2" s="270"/>
    </row>
    <row r="3" spans="1:31" ht="15.6" x14ac:dyDescent="0.25">
      <c r="A3" s="42"/>
      <c r="B3" s="233" t="s">
        <v>214</v>
      </c>
      <c r="C3" s="42"/>
      <c r="D3" s="42"/>
      <c r="E3" s="42"/>
      <c r="F3" s="42"/>
      <c r="G3" s="42"/>
      <c r="H3" s="270"/>
    </row>
    <row r="4" spans="1:31" s="147" customFormat="1" ht="26.4" x14ac:dyDescent="0.25">
      <c r="B4" s="271" t="s">
        <v>92</v>
      </c>
      <c r="C4" s="272" t="s">
        <v>272</v>
      </c>
      <c r="D4" s="273" t="s">
        <v>70</v>
      </c>
      <c r="E4" s="273" t="s">
        <v>189</v>
      </c>
      <c r="F4" s="235" t="s">
        <v>84</v>
      </c>
      <c r="G4" s="272" t="s">
        <v>77</v>
      </c>
      <c r="H4" s="146"/>
    </row>
    <row r="5" spans="1:31" ht="15" x14ac:dyDescent="0.25">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5">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5">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5">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5">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5">
      <c r="A10" s="42"/>
      <c r="B10" s="42"/>
      <c r="C10" s="42"/>
      <c r="D10" s="42"/>
      <c r="E10" s="42"/>
      <c r="F10" s="42"/>
      <c r="G10" s="42"/>
      <c r="H10" s="270"/>
    </row>
    <row r="11" spans="1:31" ht="15.6" x14ac:dyDescent="0.25">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6" x14ac:dyDescent="0.25">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5">
      <c r="A13" s="42"/>
      <c r="B13" s="281"/>
      <c r="C13" s="42"/>
      <c r="D13" s="252"/>
      <c r="E13" s="42"/>
      <c r="F13" s="252"/>
      <c r="G13" s="42"/>
      <c r="H13" s="282"/>
    </row>
    <row r="14" spans="1:31" s="120" customFormat="1" ht="15.6" x14ac:dyDescent="0.25">
      <c r="A14" s="147"/>
      <c r="B14" s="254" t="s">
        <v>215</v>
      </c>
      <c r="C14" s="42"/>
      <c r="D14" s="42"/>
      <c r="E14" s="42"/>
      <c r="F14" s="255"/>
      <c r="G14" s="147"/>
      <c r="H14" s="147"/>
    </row>
    <row r="15" spans="1:31" s="120" customFormat="1" x14ac:dyDescent="0.25">
      <c r="A15" s="147"/>
      <c r="B15" s="283"/>
      <c r="C15" s="256"/>
      <c r="D15" s="370" t="s">
        <v>98</v>
      </c>
      <c r="E15" s="370"/>
      <c r="F15" s="371"/>
      <c r="G15" s="147"/>
      <c r="H15" s="147"/>
    </row>
    <row r="16" spans="1:31" s="120" customFormat="1" x14ac:dyDescent="0.25">
      <c r="A16" s="147"/>
      <c r="B16" s="284" t="s">
        <v>92</v>
      </c>
      <c r="C16" s="258" t="s">
        <v>222</v>
      </c>
      <c r="D16" s="285" t="s">
        <v>97</v>
      </c>
      <c r="E16" s="256" t="s">
        <v>134</v>
      </c>
      <c r="F16" s="256" t="s">
        <v>69</v>
      </c>
      <c r="G16" s="147"/>
      <c r="H16" s="147"/>
    </row>
    <row r="17" spans="1:8" s="120" customFormat="1" x14ac:dyDescent="0.25">
      <c r="A17" s="147"/>
      <c r="B17" s="286" t="s">
        <v>256</v>
      </c>
      <c r="C17" s="287" t="s">
        <v>246</v>
      </c>
      <c r="D17" s="288">
        <v>1E-3</v>
      </c>
      <c r="E17" s="289">
        <v>5.0000000000000001E-4</v>
      </c>
      <c r="F17" s="290">
        <v>0</v>
      </c>
      <c r="G17" s="147"/>
      <c r="H17" s="147"/>
    </row>
    <row r="18" spans="1:8" s="120" customFormat="1" x14ac:dyDescent="0.25">
      <c r="A18" s="147"/>
      <c r="B18" s="291" t="s">
        <v>216</v>
      </c>
      <c r="C18" s="292" t="s">
        <v>247</v>
      </c>
      <c r="D18" s="293">
        <v>0.01</v>
      </c>
      <c r="E18" s="294">
        <v>5.0000000000000001E-3</v>
      </c>
      <c r="F18" s="293">
        <v>0</v>
      </c>
      <c r="G18" s="147"/>
      <c r="H18" s="147"/>
    </row>
    <row r="19" spans="1:8" s="120" customFormat="1" x14ac:dyDescent="0.25">
      <c r="A19" s="147"/>
      <c r="B19" s="291" t="s">
        <v>217</v>
      </c>
      <c r="C19" s="292" t="s">
        <v>248</v>
      </c>
      <c r="D19" s="293">
        <v>0.1</v>
      </c>
      <c r="E19" s="295">
        <v>0.05</v>
      </c>
      <c r="F19" s="293">
        <v>0</v>
      </c>
      <c r="G19" s="147"/>
      <c r="H19" s="147"/>
    </row>
    <row r="20" spans="1:8" x14ac:dyDescent="0.25">
      <c r="A20" s="42"/>
      <c r="B20" s="291" t="s">
        <v>218</v>
      </c>
      <c r="C20" s="292" t="s">
        <v>250</v>
      </c>
      <c r="D20" s="293">
        <v>0.1</v>
      </c>
      <c r="E20" s="295">
        <v>0.05</v>
      </c>
      <c r="F20" s="293">
        <v>0</v>
      </c>
      <c r="G20" s="42"/>
      <c r="H20" s="42"/>
    </row>
    <row r="21" spans="1:8" x14ac:dyDescent="0.25">
      <c r="A21" s="42"/>
      <c r="B21" s="296" t="s">
        <v>219</v>
      </c>
      <c r="C21" s="297" t="s">
        <v>249</v>
      </c>
      <c r="D21" s="298">
        <v>0.75</v>
      </c>
      <c r="E21" s="299">
        <v>0.25</v>
      </c>
      <c r="F21" s="298">
        <v>0</v>
      </c>
      <c r="G21" s="42"/>
      <c r="H21" s="42"/>
    </row>
    <row r="22" spans="1:8" x14ac:dyDescent="0.25">
      <c r="A22" s="42"/>
      <c r="B22" s="42"/>
      <c r="C22" s="42"/>
      <c r="D22" s="300" t="s">
        <v>221</v>
      </c>
      <c r="E22" s="42"/>
      <c r="F22" s="42"/>
      <c r="G22" s="42"/>
      <c r="H22" s="42"/>
    </row>
    <row r="23" spans="1:8" x14ac:dyDescent="0.25">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ColWidth="9.109375" defaultRowHeight="13.2" x14ac:dyDescent="0.25"/>
  <cols>
    <col min="1" max="1" width="3.109375" style="20" customWidth="1"/>
    <col min="2" max="2" width="51.88671875" style="20" customWidth="1"/>
    <col min="3" max="3" width="27.33203125" style="20" customWidth="1"/>
    <col min="4" max="4" width="13.33203125" style="20" bestFit="1" customWidth="1"/>
    <col min="5" max="5" width="13" style="20" bestFit="1" customWidth="1"/>
    <col min="6" max="6" width="14.10937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3">
      <c r="B3" s="9" t="s">
        <v>266</v>
      </c>
      <c r="H3" s="143"/>
    </row>
    <row r="4" spans="2:31" s="147" customFormat="1" ht="26.4" x14ac:dyDescent="0.25">
      <c r="B4" s="144" t="s">
        <v>92</v>
      </c>
      <c r="C4" s="145" t="s">
        <v>272</v>
      </c>
      <c r="D4" s="145" t="s">
        <v>173</v>
      </c>
      <c r="E4" s="145" t="s">
        <v>188</v>
      </c>
      <c r="F4" s="145" t="s">
        <v>84</v>
      </c>
      <c r="G4" s="145" t="s">
        <v>77</v>
      </c>
      <c r="H4" s="146"/>
    </row>
    <row r="5" spans="2:31" ht="15" x14ac:dyDescent="0.25">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5">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5">
      <c r="H7" s="143"/>
    </row>
    <row r="8" spans="2:31" ht="15.6" x14ac:dyDescent="0.3">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6" x14ac:dyDescent="0.3">
      <c r="B10" s="7" t="s">
        <v>267</v>
      </c>
      <c r="C10" s="20"/>
      <c r="D10" s="20"/>
      <c r="E10" s="20"/>
      <c r="F10" s="159"/>
    </row>
    <row r="11" spans="2:31" s="120" customFormat="1" x14ac:dyDescent="0.25">
      <c r="B11" s="11"/>
      <c r="C11" s="13"/>
      <c r="D11" s="366" t="s">
        <v>98</v>
      </c>
      <c r="E11" s="367"/>
      <c r="F11" s="368"/>
    </row>
    <row r="12" spans="2:31" s="120" customFormat="1" x14ac:dyDescent="0.25">
      <c r="B12" s="8" t="s">
        <v>92</v>
      </c>
      <c r="C12" s="15" t="s">
        <v>222</v>
      </c>
      <c r="D12" s="12" t="s">
        <v>97</v>
      </c>
      <c r="E12" s="13" t="s">
        <v>134</v>
      </c>
      <c r="F12" s="13" t="s">
        <v>69</v>
      </c>
    </row>
    <row r="13" spans="2:31" s="120" customFormat="1" x14ac:dyDescent="0.25">
      <c r="B13" s="193" t="s">
        <v>268</v>
      </c>
      <c r="C13" s="200" t="s">
        <v>274</v>
      </c>
      <c r="D13" s="201">
        <v>0.05</v>
      </c>
      <c r="E13" s="201">
        <v>0.03</v>
      </c>
      <c r="F13" s="202">
        <v>0</v>
      </c>
    </row>
    <row r="14" spans="2:31" x14ac:dyDescent="0.25">
      <c r="B14" s="194" t="s">
        <v>269</v>
      </c>
      <c r="C14" s="203" t="s">
        <v>275</v>
      </c>
      <c r="D14" s="204">
        <v>0.1</v>
      </c>
      <c r="E14" s="204">
        <v>0.05</v>
      </c>
      <c r="F14" s="205">
        <v>0</v>
      </c>
    </row>
    <row r="15" spans="2:31" x14ac:dyDescent="0.25">
      <c r="C15" s="161"/>
    </row>
    <row r="16" spans="2:31" x14ac:dyDescent="0.25">
      <c r="C16" s="37"/>
      <c r="E16" s="162"/>
    </row>
    <row r="17" spans="3:3" x14ac:dyDescent="0.25">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ColWidth="9.109375" defaultRowHeight="13.2" x14ac:dyDescent="0.25"/>
  <cols>
    <col min="1" max="1" width="3.109375" style="20" customWidth="1"/>
    <col min="2" max="2" width="60" style="108" customWidth="1"/>
    <col min="3" max="3" width="27.33203125" style="20" customWidth="1"/>
    <col min="4" max="4" width="13.33203125" style="20" bestFit="1" customWidth="1"/>
    <col min="5" max="5" width="13" style="20" bestFit="1" customWidth="1"/>
    <col min="6" max="6" width="16.3320312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25">
      <c r="B3" s="233" t="s">
        <v>171</v>
      </c>
      <c r="H3" s="143"/>
    </row>
    <row r="4" spans="2:31" s="147" customFormat="1" ht="24" customHeight="1" x14ac:dyDescent="0.25">
      <c r="B4" s="234" t="s">
        <v>92</v>
      </c>
      <c r="C4" s="145" t="s">
        <v>272</v>
      </c>
      <c r="D4" s="145" t="s">
        <v>173</v>
      </c>
      <c r="E4" s="145" t="s">
        <v>188</v>
      </c>
      <c r="F4" s="145" t="s">
        <v>84</v>
      </c>
      <c r="G4" s="145" t="s">
        <v>77</v>
      </c>
      <c r="H4" s="146"/>
    </row>
    <row r="5" spans="2:31" ht="15" x14ac:dyDescent="0.25">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5">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5">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5">
      <c r="H8" s="143"/>
    </row>
    <row r="9" spans="2:31" ht="15.6" x14ac:dyDescent="0.3">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6" x14ac:dyDescent="0.3">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6" x14ac:dyDescent="0.25">
      <c r="B12" s="254" t="s">
        <v>172</v>
      </c>
      <c r="C12" s="20"/>
      <c r="D12" s="20"/>
      <c r="E12" s="20"/>
      <c r="F12" s="159"/>
    </row>
    <row r="13" spans="2:31" s="120" customFormat="1" x14ac:dyDescent="0.25">
      <c r="B13" s="266"/>
      <c r="C13" s="13"/>
      <c r="D13" s="366" t="s">
        <v>98</v>
      </c>
      <c r="E13" s="367"/>
      <c r="F13" s="368"/>
    </row>
    <row r="14" spans="2:31" s="120" customFormat="1" x14ac:dyDescent="0.25">
      <c r="B14" s="267" t="s">
        <v>92</v>
      </c>
      <c r="C14" s="15" t="s">
        <v>222</v>
      </c>
      <c r="D14" s="6" t="s">
        <v>97</v>
      </c>
      <c r="E14" s="5" t="s">
        <v>134</v>
      </c>
      <c r="F14" s="5" t="s">
        <v>69</v>
      </c>
    </row>
    <row r="15" spans="2:31" s="120" customFormat="1" ht="26.4" x14ac:dyDescent="0.25">
      <c r="B15" s="301" t="s">
        <v>174</v>
      </c>
      <c r="C15" s="197" t="s">
        <v>229</v>
      </c>
      <c r="D15" s="198">
        <v>0.5</v>
      </c>
      <c r="E15" s="199">
        <v>0.1</v>
      </c>
      <c r="F15" s="199">
        <v>0</v>
      </c>
    </row>
    <row r="16" spans="2:31" ht="26.4" x14ac:dyDescent="0.25">
      <c r="B16" s="301" t="s">
        <v>175</v>
      </c>
      <c r="C16" s="197" t="s">
        <v>230</v>
      </c>
      <c r="D16" s="198">
        <v>0.5</v>
      </c>
      <c r="E16" s="199">
        <v>0.1</v>
      </c>
      <c r="F16" s="199">
        <v>0</v>
      </c>
    </row>
    <row r="17" spans="2:6" ht="26.4" x14ac:dyDescent="0.25">
      <c r="B17" s="302" t="s">
        <v>190</v>
      </c>
      <c r="C17" s="197" t="s">
        <v>231</v>
      </c>
      <c r="D17" s="198">
        <v>0.5</v>
      </c>
      <c r="E17" s="199">
        <v>0.1</v>
      </c>
      <c r="F17" s="199">
        <v>0</v>
      </c>
    </row>
    <row r="18" spans="2:6" x14ac:dyDescent="0.25">
      <c r="C18" s="161"/>
    </row>
    <row r="19" spans="2:6" x14ac:dyDescent="0.25">
      <c r="C19" s="37"/>
      <c r="E19" s="162"/>
    </row>
    <row r="20" spans="2:6" x14ac:dyDescent="0.25">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ColWidth="9.109375" defaultRowHeight="13.2" x14ac:dyDescent="0.25"/>
  <cols>
    <col min="1" max="1" width="15.5546875" style="108" customWidth="1"/>
    <col min="2" max="2" width="18.6640625" style="42" customWidth="1"/>
    <col min="3" max="3" width="16" style="108" customWidth="1"/>
    <col min="4" max="4" width="32.44140625" style="118" customWidth="1"/>
    <col min="5" max="5" width="25.33203125" style="118" customWidth="1"/>
    <col min="6" max="6" width="21.5546875" style="108" customWidth="1"/>
    <col min="7" max="16384" width="9.109375" style="42"/>
  </cols>
  <sheetData>
    <row r="1" spans="1:90" s="97" customFormat="1" ht="15.6" x14ac:dyDescent="0.25">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5">
      <c r="A2" s="99" t="s">
        <v>25</v>
      </c>
      <c r="B2" s="42" t="s">
        <v>21</v>
      </c>
      <c r="C2" s="100" t="s">
        <v>102</v>
      </c>
      <c r="D2" s="101" t="s">
        <v>79</v>
      </c>
      <c r="E2" s="102" t="s">
        <v>20</v>
      </c>
      <c r="F2" s="340" t="s">
        <v>80</v>
      </c>
    </row>
    <row r="3" spans="1:90" ht="25.5" customHeight="1" x14ac:dyDescent="0.25">
      <c r="A3" s="103"/>
      <c r="C3" s="104"/>
      <c r="D3" s="101" t="s">
        <v>2</v>
      </c>
      <c r="E3" s="102" t="s">
        <v>6</v>
      </c>
      <c r="F3" s="344"/>
    </row>
    <row r="4" spans="1:90" ht="25.5" customHeight="1" x14ac:dyDescent="0.25">
      <c r="A4" s="103"/>
      <c r="C4" s="100" t="s">
        <v>101</v>
      </c>
      <c r="D4" s="101" t="s">
        <v>74</v>
      </c>
      <c r="E4" s="102" t="s">
        <v>5</v>
      </c>
      <c r="F4" s="344"/>
    </row>
    <row r="5" spans="1:90" ht="26.4" x14ac:dyDescent="0.25">
      <c r="A5" s="103"/>
      <c r="C5" s="105" t="s">
        <v>38</v>
      </c>
      <c r="D5" s="106" t="s">
        <v>0</v>
      </c>
      <c r="E5" s="102" t="s">
        <v>5</v>
      </c>
      <c r="F5" s="345"/>
    </row>
    <row r="6" spans="1:90" ht="51" customHeight="1" x14ac:dyDescent="0.25">
      <c r="A6" s="103"/>
      <c r="B6" s="107" t="s">
        <v>100</v>
      </c>
      <c r="C6" s="108" t="s">
        <v>85</v>
      </c>
      <c r="D6" s="106" t="s">
        <v>136</v>
      </c>
      <c r="E6" s="102" t="s">
        <v>137</v>
      </c>
      <c r="F6" s="340" t="s">
        <v>356</v>
      </c>
    </row>
    <row r="7" spans="1:90" ht="26.4" x14ac:dyDescent="0.25">
      <c r="A7" s="103"/>
      <c r="C7" s="103"/>
      <c r="D7" s="106" t="s">
        <v>18</v>
      </c>
      <c r="E7" s="102" t="s">
        <v>17</v>
      </c>
      <c r="F7" s="344"/>
    </row>
    <row r="8" spans="1:90" ht="39.6" x14ac:dyDescent="0.25">
      <c r="A8" s="103"/>
      <c r="C8" s="105" t="s">
        <v>86</v>
      </c>
      <c r="D8" s="106" t="s">
        <v>15</v>
      </c>
      <c r="E8" s="102" t="s">
        <v>14</v>
      </c>
      <c r="F8" s="345"/>
    </row>
    <row r="9" spans="1:90" ht="52.8" x14ac:dyDescent="0.25">
      <c r="A9" s="111"/>
      <c r="B9" s="112" t="s">
        <v>154</v>
      </c>
      <c r="C9" s="105" t="s">
        <v>33</v>
      </c>
      <c r="D9" s="101" t="s">
        <v>161</v>
      </c>
      <c r="E9" s="102" t="s">
        <v>335</v>
      </c>
      <c r="F9" s="340" t="s">
        <v>158</v>
      </c>
    </row>
    <row r="10" spans="1:90" ht="26.4" x14ac:dyDescent="0.25">
      <c r="A10" s="111"/>
      <c r="B10" s="109"/>
      <c r="C10" s="113" t="s">
        <v>27</v>
      </c>
      <c r="D10" s="101" t="s">
        <v>13</v>
      </c>
      <c r="E10" s="102" t="s">
        <v>12</v>
      </c>
      <c r="F10" s="341"/>
    </row>
    <row r="11" spans="1:90" ht="26.4" x14ac:dyDescent="0.25">
      <c r="A11" s="114"/>
      <c r="B11" s="110"/>
      <c r="C11" s="115" t="s">
        <v>26</v>
      </c>
      <c r="D11" s="101" t="s">
        <v>34</v>
      </c>
      <c r="E11" s="102" t="s">
        <v>16</v>
      </c>
      <c r="F11" s="342"/>
    </row>
    <row r="12" spans="1:90" ht="39.6" x14ac:dyDescent="0.25">
      <c r="A12" s="103" t="s">
        <v>30</v>
      </c>
      <c r="B12" s="103" t="s">
        <v>213</v>
      </c>
      <c r="C12" s="105" t="s">
        <v>32</v>
      </c>
      <c r="D12" s="106" t="s">
        <v>1</v>
      </c>
      <c r="E12" s="102" t="s">
        <v>9</v>
      </c>
      <c r="F12" s="340" t="s">
        <v>251</v>
      </c>
    </row>
    <row r="13" spans="1:90" ht="39.6" x14ac:dyDescent="0.25">
      <c r="A13" s="103"/>
      <c r="B13" s="109"/>
      <c r="C13" s="105" t="s">
        <v>211</v>
      </c>
      <c r="D13" s="106" t="s">
        <v>37</v>
      </c>
      <c r="E13" s="102" t="s">
        <v>192</v>
      </c>
      <c r="F13" s="341"/>
    </row>
    <row r="14" spans="1:90" ht="52.8" x14ac:dyDescent="0.25">
      <c r="A14" s="103"/>
      <c r="B14" s="109"/>
      <c r="C14" s="103" t="s">
        <v>212</v>
      </c>
      <c r="D14" s="106" t="s">
        <v>41</v>
      </c>
      <c r="E14" s="102" t="s">
        <v>192</v>
      </c>
      <c r="F14" s="341"/>
    </row>
    <row r="15" spans="1:90" ht="67.5" customHeight="1" x14ac:dyDescent="0.25">
      <c r="A15" s="111"/>
      <c r="B15" s="105" t="s">
        <v>39</v>
      </c>
      <c r="C15" s="115" t="s">
        <v>31</v>
      </c>
      <c r="D15" s="106" t="s">
        <v>209</v>
      </c>
      <c r="E15" s="102" t="s">
        <v>210</v>
      </c>
      <c r="F15" s="342"/>
    </row>
    <row r="16" spans="1:90" ht="54.75" customHeight="1" x14ac:dyDescent="0.25">
      <c r="A16" s="99" t="s">
        <v>277</v>
      </c>
      <c r="B16" s="117" t="s">
        <v>169</v>
      </c>
      <c r="C16" s="99" t="s">
        <v>35</v>
      </c>
      <c r="D16" s="101" t="s">
        <v>40</v>
      </c>
      <c r="E16" s="102" t="s">
        <v>7</v>
      </c>
      <c r="F16" s="340" t="s">
        <v>261</v>
      </c>
    </row>
    <row r="17" spans="1:6" ht="52.8" x14ac:dyDescent="0.25">
      <c r="A17" s="103"/>
      <c r="B17" s="86"/>
      <c r="C17" s="99" t="s">
        <v>42</v>
      </c>
      <c r="D17" s="101" t="s">
        <v>36</v>
      </c>
      <c r="E17" s="102" t="s">
        <v>7</v>
      </c>
      <c r="F17" s="343"/>
    </row>
    <row r="18" spans="1:6" ht="26.4" x14ac:dyDescent="0.25">
      <c r="A18" s="99" t="s">
        <v>29</v>
      </c>
      <c r="B18" s="112"/>
      <c r="C18" s="105" t="s">
        <v>3</v>
      </c>
      <c r="D18" s="106" t="s">
        <v>43</v>
      </c>
      <c r="E18" s="102" t="s">
        <v>8</v>
      </c>
      <c r="F18" s="340" t="s">
        <v>170</v>
      </c>
    </row>
    <row r="19" spans="1:6" ht="39.6" x14ac:dyDescent="0.25">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35" sqref="C35"/>
    </sheetView>
  </sheetViews>
  <sheetFormatPr defaultColWidth="9.109375" defaultRowHeight="13.2" x14ac:dyDescent="0.25"/>
  <cols>
    <col min="1" max="1" width="2.44140625" style="20" customWidth="1"/>
    <col min="2" max="2" width="15" style="20" customWidth="1"/>
    <col min="3" max="3" width="66.5546875" style="20" customWidth="1"/>
    <col min="4" max="4" width="12.6640625" style="20" bestFit="1" customWidth="1"/>
    <col min="5" max="7" width="9.109375" style="20"/>
    <col min="8" max="8" width="18.109375" style="20" bestFit="1" customWidth="1"/>
    <col min="9" max="10" width="16" style="20" bestFit="1" customWidth="1"/>
    <col min="11" max="16384" width="9.109375" style="20"/>
  </cols>
  <sheetData>
    <row r="3" spans="2:10" ht="15.6" x14ac:dyDescent="0.3">
      <c r="B3" s="354" t="s">
        <v>334</v>
      </c>
      <c r="C3" s="355"/>
      <c r="D3" s="327" t="s">
        <v>361</v>
      </c>
      <c r="E3" s="352" t="s">
        <v>360</v>
      </c>
      <c r="F3" s="352"/>
      <c r="G3" s="353"/>
      <c r="H3" s="356" t="s">
        <v>363</v>
      </c>
      <c r="I3" s="352"/>
      <c r="J3" s="353"/>
    </row>
    <row r="4" spans="2:10" x14ac:dyDescent="0.25">
      <c r="B4" s="316" t="s">
        <v>252</v>
      </c>
      <c r="C4" s="326" t="s">
        <v>253</v>
      </c>
      <c r="D4" s="309" t="s">
        <v>362</v>
      </c>
      <c r="E4" s="217" t="s">
        <v>357</v>
      </c>
      <c r="F4" s="217" t="s">
        <v>358</v>
      </c>
      <c r="G4" s="310" t="s">
        <v>359</v>
      </c>
      <c r="H4" s="310" t="s">
        <v>357</v>
      </c>
      <c r="I4" s="320" t="s">
        <v>358</v>
      </c>
      <c r="J4" s="321" t="s">
        <v>359</v>
      </c>
    </row>
    <row r="5" spans="2:10" s="120" customFormat="1" x14ac:dyDescent="0.25">
      <c r="B5" s="346" t="s">
        <v>21</v>
      </c>
      <c r="C5" s="167" t="s">
        <v>225</v>
      </c>
      <c r="D5" s="313">
        <f>'MRO Supply Chain Value'!F5</f>
        <v>0</v>
      </c>
      <c r="E5" s="307">
        <v>0.7</v>
      </c>
      <c r="F5" s="307">
        <v>0.9</v>
      </c>
      <c r="G5" s="307">
        <v>1</v>
      </c>
      <c r="H5" s="313">
        <f>D5*E5</f>
        <v>0</v>
      </c>
      <c r="I5" s="313">
        <f>F5*D5</f>
        <v>0</v>
      </c>
      <c r="J5" s="318">
        <f>G5*D5</f>
        <v>0</v>
      </c>
    </row>
    <row r="6" spans="2:10" s="120" customFormat="1" x14ac:dyDescent="0.25">
      <c r="B6" s="348"/>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5">
      <c r="B7" s="348"/>
      <c r="C7" s="177" t="s">
        <v>227</v>
      </c>
      <c r="D7" s="314">
        <f>'MRO Supply Chain Value'!F8</f>
        <v>765000</v>
      </c>
      <c r="E7" s="308">
        <f>E6</f>
        <v>0.9</v>
      </c>
      <c r="F7" s="308">
        <v>1</v>
      </c>
      <c r="G7" s="308">
        <v>1</v>
      </c>
      <c r="H7" s="314">
        <f t="shared" si="0"/>
        <v>688500</v>
      </c>
      <c r="I7" s="314">
        <f t="shared" si="1"/>
        <v>765000</v>
      </c>
      <c r="J7" s="123">
        <f t="shared" si="2"/>
        <v>765000</v>
      </c>
    </row>
    <row r="8" spans="2:10" x14ac:dyDescent="0.25">
      <c r="B8" s="350"/>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5">
      <c r="B9" s="346" t="s">
        <v>100</v>
      </c>
      <c r="C9" s="148" t="s">
        <v>132</v>
      </c>
      <c r="D9" s="313">
        <f>'Workforce Mgmt Value'!F6</f>
        <v>295680</v>
      </c>
      <c r="E9" s="328">
        <v>1</v>
      </c>
      <c r="F9" s="328">
        <v>1</v>
      </c>
      <c r="G9" s="328">
        <v>1</v>
      </c>
      <c r="H9" s="313">
        <f t="shared" si="0"/>
        <v>295680</v>
      </c>
      <c r="I9" s="313">
        <f t="shared" si="1"/>
        <v>295680</v>
      </c>
      <c r="J9" s="318">
        <f t="shared" si="2"/>
        <v>295680</v>
      </c>
    </row>
    <row r="10" spans="2:10" x14ac:dyDescent="0.25">
      <c r="B10" s="347"/>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5">
      <c r="B11" s="346"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5">
      <c r="B12" s="348"/>
      <c r="C12" s="122" t="s">
        <v>216</v>
      </c>
      <c r="D12" s="314">
        <f>'Capital Investment Value'!F6</f>
        <v>5406.25</v>
      </c>
      <c r="E12" s="311">
        <v>1</v>
      </c>
      <c r="F12" s="311">
        <v>1</v>
      </c>
      <c r="G12" s="311">
        <v>1</v>
      </c>
      <c r="H12" s="314">
        <f t="shared" si="0"/>
        <v>5406.25</v>
      </c>
      <c r="I12" s="314">
        <f t="shared" si="1"/>
        <v>5406.25</v>
      </c>
      <c r="J12" s="123">
        <f t="shared" si="2"/>
        <v>5406.25</v>
      </c>
    </row>
    <row r="13" spans="2:10" x14ac:dyDescent="0.25">
      <c r="B13" s="348"/>
      <c r="C13" s="122" t="s">
        <v>284</v>
      </c>
      <c r="D13" s="314">
        <f>'Capital Investment Value'!F7</f>
        <v>54062.5</v>
      </c>
      <c r="E13" s="311">
        <v>1</v>
      </c>
      <c r="F13" s="311">
        <v>0</v>
      </c>
      <c r="G13" s="311">
        <v>0</v>
      </c>
      <c r="H13" s="314">
        <f t="shared" si="0"/>
        <v>54062.5</v>
      </c>
      <c r="I13" s="314">
        <f t="shared" si="1"/>
        <v>0</v>
      </c>
      <c r="J13" s="123">
        <f t="shared" si="2"/>
        <v>0</v>
      </c>
    </row>
    <row r="14" spans="2:10" x14ac:dyDescent="0.25">
      <c r="B14" s="348"/>
      <c r="C14" s="122" t="s">
        <v>218</v>
      </c>
      <c r="D14" s="314">
        <f>'Capital Investment Value'!F8</f>
        <v>21120</v>
      </c>
      <c r="E14" s="311">
        <v>1</v>
      </c>
      <c r="F14" s="311">
        <v>1</v>
      </c>
      <c r="G14" s="311">
        <v>1</v>
      </c>
      <c r="H14" s="314">
        <f t="shared" si="0"/>
        <v>21120</v>
      </c>
      <c r="I14" s="314">
        <f t="shared" si="1"/>
        <v>21120</v>
      </c>
      <c r="J14" s="123">
        <f t="shared" si="2"/>
        <v>21120</v>
      </c>
    </row>
    <row r="15" spans="2:10" x14ac:dyDescent="0.25">
      <c r="B15" s="348"/>
      <c r="C15" s="122" t="s">
        <v>308</v>
      </c>
      <c r="D15" s="314">
        <f>'Capital Investment Value'!F9</f>
        <v>18592</v>
      </c>
      <c r="E15" s="311">
        <v>1</v>
      </c>
      <c r="F15" s="311">
        <v>1</v>
      </c>
      <c r="G15" s="311">
        <v>1</v>
      </c>
      <c r="H15" s="314">
        <f t="shared" si="0"/>
        <v>18592</v>
      </c>
      <c r="I15" s="314">
        <f t="shared" si="1"/>
        <v>18592</v>
      </c>
      <c r="J15" s="123">
        <f t="shared" si="2"/>
        <v>18592</v>
      </c>
    </row>
    <row r="16" spans="2:10" x14ac:dyDescent="0.25">
      <c r="B16" s="349" t="s">
        <v>255</v>
      </c>
      <c r="C16" s="167" t="s">
        <v>309</v>
      </c>
      <c r="D16" s="313">
        <f>'IT Value'!F5</f>
        <v>0</v>
      </c>
      <c r="E16" s="328">
        <v>1</v>
      </c>
      <c r="F16" s="328">
        <v>1</v>
      </c>
      <c r="G16" s="328">
        <v>1</v>
      </c>
      <c r="H16" s="313">
        <f t="shared" si="0"/>
        <v>0</v>
      </c>
      <c r="I16" s="313">
        <f t="shared" si="1"/>
        <v>0</v>
      </c>
      <c r="J16" s="318">
        <f t="shared" si="2"/>
        <v>0</v>
      </c>
    </row>
    <row r="17" spans="2:10" x14ac:dyDescent="0.25">
      <c r="B17" s="348"/>
      <c r="C17" s="177" t="s">
        <v>310</v>
      </c>
      <c r="D17" s="314">
        <f>'IT Value'!F6</f>
        <v>0</v>
      </c>
      <c r="E17" s="311">
        <v>1</v>
      </c>
      <c r="F17" s="311">
        <v>1</v>
      </c>
      <c r="G17" s="311">
        <v>1</v>
      </c>
      <c r="H17" s="314">
        <f t="shared" si="0"/>
        <v>0</v>
      </c>
      <c r="I17" s="314">
        <f t="shared" si="1"/>
        <v>0</v>
      </c>
      <c r="J17" s="123">
        <f t="shared" si="2"/>
        <v>0</v>
      </c>
    </row>
    <row r="18" spans="2:10" x14ac:dyDescent="0.25">
      <c r="B18" s="348"/>
      <c r="C18" s="177" t="s">
        <v>311</v>
      </c>
      <c r="D18" s="314">
        <f>'IT Value'!F7</f>
        <v>327600</v>
      </c>
      <c r="E18" s="311">
        <v>1</v>
      </c>
      <c r="F18" s="311">
        <v>1</v>
      </c>
      <c r="G18" s="311">
        <v>1</v>
      </c>
      <c r="H18" s="314">
        <f t="shared" si="0"/>
        <v>327600</v>
      </c>
      <c r="I18" s="314">
        <f t="shared" si="1"/>
        <v>327600</v>
      </c>
      <c r="J18" s="123">
        <f t="shared" si="2"/>
        <v>327600</v>
      </c>
    </row>
    <row r="19" spans="2:10" x14ac:dyDescent="0.25">
      <c r="B19" s="348"/>
      <c r="C19" s="177" t="s">
        <v>235</v>
      </c>
      <c r="D19" s="314">
        <f>'IT Value'!F8</f>
        <v>28569</v>
      </c>
      <c r="E19" s="311">
        <v>1</v>
      </c>
      <c r="F19" s="311">
        <v>1</v>
      </c>
      <c r="G19" s="311">
        <v>1</v>
      </c>
      <c r="H19" s="314">
        <f t="shared" si="0"/>
        <v>28569</v>
      </c>
      <c r="I19" s="314">
        <f t="shared" si="1"/>
        <v>28569</v>
      </c>
      <c r="J19" s="123">
        <f t="shared" si="2"/>
        <v>28569</v>
      </c>
    </row>
    <row r="20" spans="2:10" x14ac:dyDescent="0.25">
      <c r="B20" s="350"/>
      <c r="C20" s="169" t="s">
        <v>236</v>
      </c>
      <c r="D20" s="315">
        <f>'IT Value'!F9</f>
        <v>0.01</v>
      </c>
      <c r="E20" s="312">
        <v>1</v>
      </c>
      <c r="F20" s="312">
        <v>1</v>
      </c>
      <c r="G20" s="312">
        <v>1</v>
      </c>
      <c r="H20" s="315">
        <f t="shared" si="0"/>
        <v>0.01</v>
      </c>
      <c r="I20" s="315">
        <f t="shared" si="1"/>
        <v>0.01</v>
      </c>
      <c r="J20" s="319">
        <f t="shared" si="2"/>
        <v>0.01</v>
      </c>
    </row>
    <row r="21" spans="2:10" s="120" customFormat="1" x14ac:dyDescent="0.25">
      <c r="B21" s="351"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5">
      <c r="B22" s="350"/>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5">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5">
      <c r="B24" s="332"/>
      <c r="C24" s="104" t="s">
        <v>258</v>
      </c>
      <c r="D24" s="314">
        <f>'Operating Risk Value'!F6</f>
        <v>85</v>
      </c>
      <c r="E24" s="311">
        <v>1</v>
      </c>
      <c r="F24" s="311">
        <v>1</v>
      </c>
      <c r="G24" s="311">
        <v>1</v>
      </c>
      <c r="H24" s="314">
        <f>D24*E24</f>
        <v>85</v>
      </c>
      <c r="I24" s="314">
        <f>F24*D24</f>
        <v>85</v>
      </c>
      <c r="J24" s="123">
        <f>G24*D24</f>
        <v>85</v>
      </c>
    </row>
    <row r="25" spans="2:10" x14ac:dyDescent="0.25">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5">
      <c r="B26" s="119"/>
      <c r="C26" s="119"/>
      <c r="D26" s="119"/>
    </row>
    <row r="27" spans="2:10" s="120" customFormat="1" ht="15.6" x14ac:dyDescent="0.3">
      <c r="B27" s="303" t="s">
        <v>364</v>
      </c>
      <c r="C27" s="119"/>
      <c r="D27" s="323"/>
      <c r="H27" s="304">
        <f>SUM(H5:H25)</f>
        <v>7120290.1457999991</v>
      </c>
      <c r="I27" s="304">
        <f>SUM(I5:I25)</f>
        <v>5306727.6457999991</v>
      </c>
      <c r="J27" s="304">
        <f>SUM(J5:J25)</f>
        <v>5077227.6457999991</v>
      </c>
    </row>
    <row r="28" spans="2:10" ht="15.6" x14ac:dyDescent="0.3">
      <c r="B28" s="37" t="s">
        <v>365</v>
      </c>
      <c r="C28" s="37"/>
      <c r="D28" s="304"/>
      <c r="H28" s="322">
        <f>H27/1.1</f>
        <v>6472991.0416363627</v>
      </c>
      <c r="I28" s="322">
        <f>I27/(1.1)^(2)</f>
        <v>4385725.327107437</v>
      </c>
      <c r="J28" s="322">
        <f>J27/(1.1)^(3)</f>
        <v>3814596.2778362115</v>
      </c>
    </row>
    <row r="29" spans="2:10" ht="17.399999999999999" x14ac:dyDescent="0.25">
      <c r="B29" s="324" t="s">
        <v>366</v>
      </c>
      <c r="D29" s="37"/>
      <c r="H29" s="325">
        <f>SUM(H28:J28)</f>
        <v>14673312.646580011</v>
      </c>
    </row>
    <row r="31" spans="2:10" x14ac:dyDescent="0.25">
      <c r="B31" s="37" t="s">
        <v>316</v>
      </c>
    </row>
  </sheetData>
  <mergeCells count="8">
    <mergeCell ref="H3:J3"/>
    <mergeCell ref="B5:B8"/>
    <mergeCell ref="B9:B10"/>
    <mergeCell ref="B11:B15"/>
    <mergeCell ref="B16:B20"/>
    <mergeCell ref="B21:B22"/>
    <mergeCell ref="E3:G3"/>
    <mergeCell ref="B3:C3"/>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ColWidth="9.109375" defaultRowHeight="13.2" x14ac:dyDescent="0.25"/>
  <cols>
    <col min="1" max="1" width="2.88671875" style="42" customWidth="1"/>
    <col min="2" max="2" width="74.5546875" style="42" customWidth="1"/>
    <col min="3" max="3" width="16.44140625" style="94" bestFit="1" customWidth="1"/>
    <col min="4" max="4" width="17.6640625" style="95" customWidth="1"/>
    <col min="5" max="5" width="16.44140625" style="42" bestFit="1" customWidth="1"/>
    <col min="6" max="6" width="4" style="42" customWidth="1"/>
    <col min="7" max="7" width="15.88671875" style="20" bestFit="1" customWidth="1"/>
    <col min="8" max="8" width="15.33203125" style="20" bestFit="1" customWidth="1"/>
    <col min="9" max="9" width="3.33203125" style="20" customWidth="1"/>
    <col min="10" max="10" width="16.6640625" style="20" bestFit="1" customWidth="1"/>
    <col min="11" max="12" width="1.88671875" style="20" customWidth="1"/>
    <col min="13" max="13" width="3.109375" style="20" customWidth="1"/>
    <col min="14" max="14" width="33.88671875" style="20" bestFit="1" customWidth="1"/>
    <col min="15" max="15" width="11.33203125" style="20" bestFit="1" customWidth="1"/>
    <col min="16" max="16" width="1.88671875" style="20" customWidth="1"/>
    <col min="17" max="19" width="9.109375" style="20"/>
    <col min="20" max="16384" width="9.109375" style="42"/>
  </cols>
  <sheetData>
    <row r="1" spans="2:5" x14ac:dyDescent="0.25">
      <c r="C1" s="71"/>
      <c r="D1" s="72"/>
    </row>
    <row r="2" spans="2:5" ht="17.399999999999999" x14ac:dyDescent="0.25">
      <c r="B2" s="357" t="s">
        <v>367</v>
      </c>
      <c r="C2" s="358"/>
      <c r="D2" s="358"/>
      <c r="E2" s="359"/>
    </row>
    <row r="3" spans="2:5" x14ac:dyDescent="0.25">
      <c r="B3" s="96"/>
      <c r="C3" s="44" t="s">
        <v>297</v>
      </c>
      <c r="D3" s="45" t="s">
        <v>314</v>
      </c>
      <c r="E3" s="46" t="s">
        <v>315</v>
      </c>
    </row>
    <row r="4" spans="2:5" x14ac:dyDescent="0.25">
      <c r="B4" s="74" t="s">
        <v>280</v>
      </c>
      <c r="C4" s="48">
        <f>'General Financial Info Survey'!C4</f>
        <v>16375000</v>
      </c>
      <c r="D4" s="75"/>
      <c r="E4" s="76" t="e">
        <f>C4+SUM(D5:D7)</f>
        <v>#REF!</v>
      </c>
    </row>
    <row r="5" spans="2:5" x14ac:dyDescent="0.25">
      <c r="B5" s="77" t="s">
        <v>268</v>
      </c>
      <c r="C5" s="75"/>
      <c r="D5" s="78">
        <f>'Value Summary'!H21</f>
        <v>5779.4117999999999</v>
      </c>
      <c r="E5" s="79"/>
    </row>
    <row r="6" spans="2:5" x14ac:dyDescent="0.25">
      <c r="B6" s="77" t="s">
        <v>278</v>
      </c>
      <c r="C6" s="75"/>
      <c r="D6" s="78">
        <f>'Value Summary'!H22</f>
        <v>48161.765000000014</v>
      </c>
      <c r="E6" s="79"/>
    </row>
    <row r="7" spans="2:5" x14ac:dyDescent="0.25">
      <c r="B7" s="80" t="s">
        <v>259</v>
      </c>
      <c r="C7" s="75"/>
      <c r="D7" s="78" t="e">
        <f>'Value Summary'!#REF!</f>
        <v>#REF!</v>
      </c>
      <c r="E7" s="79"/>
    </row>
    <row r="8" spans="2:5" x14ac:dyDescent="0.25">
      <c r="B8" s="74" t="s">
        <v>291</v>
      </c>
      <c r="C8" s="71">
        <f>C4-C9</f>
        <v>-2889706</v>
      </c>
      <c r="D8" s="75"/>
      <c r="E8" s="81" t="e">
        <f>(C8/C4)*E4</f>
        <v>#REF!</v>
      </c>
    </row>
    <row r="9" spans="2:5" x14ac:dyDescent="0.25">
      <c r="B9" s="74" t="s">
        <v>281</v>
      </c>
      <c r="C9" s="71">
        <f>'General Financial Info Survey'!C6</f>
        <v>19264706</v>
      </c>
      <c r="D9" s="75"/>
      <c r="E9" s="81" t="e">
        <f>E4-E8</f>
        <v>#REF!</v>
      </c>
    </row>
    <row r="10" spans="2:5" x14ac:dyDescent="0.25">
      <c r="B10" s="74" t="s">
        <v>298</v>
      </c>
      <c r="C10" s="71">
        <f>C9-C28</f>
        <v>2889706</v>
      </c>
      <c r="D10" s="75"/>
      <c r="E10" s="81" t="e">
        <f>C10+SUM(D11:D27)</f>
        <v>#REF!</v>
      </c>
    </row>
    <row r="11" spans="2:5" x14ac:dyDescent="0.25">
      <c r="B11" s="82" t="s">
        <v>225</v>
      </c>
      <c r="C11" s="75"/>
      <c r="D11" s="78">
        <f>-'Value Summary'!H5</f>
        <v>0</v>
      </c>
      <c r="E11" s="79"/>
    </row>
    <row r="12" spans="2:5" x14ac:dyDescent="0.25">
      <c r="B12" s="64" t="s">
        <v>94</v>
      </c>
      <c r="C12" s="75"/>
      <c r="D12" s="78">
        <f>-'Value Summary'!H6</f>
        <v>-2065500</v>
      </c>
      <c r="E12" s="79"/>
    </row>
    <row r="13" spans="2:5" x14ac:dyDescent="0.25">
      <c r="B13" s="82" t="s">
        <v>306</v>
      </c>
      <c r="C13" s="75"/>
      <c r="D13" s="78">
        <f>-'Value Summary'!H8</f>
        <v>-425568</v>
      </c>
      <c r="E13" s="79"/>
    </row>
    <row r="14" spans="2:5" x14ac:dyDescent="0.25">
      <c r="B14" s="82" t="s">
        <v>313</v>
      </c>
      <c r="C14" s="75"/>
      <c r="D14" s="78">
        <f>-'Value Summary'!H9</f>
        <v>-295680</v>
      </c>
      <c r="E14" s="79"/>
    </row>
    <row r="15" spans="2:5" x14ac:dyDescent="0.25">
      <c r="B15" s="82" t="s">
        <v>307</v>
      </c>
      <c r="C15" s="75"/>
      <c r="D15" s="78">
        <f>-'Value Summary'!H10</f>
        <v>-2912000</v>
      </c>
      <c r="E15" s="79"/>
    </row>
    <row r="16" spans="2:5" x14ac:dyDescent="0.25">
      <c r="B16" s="82" t="s">
        <v>256</v>
      </c>
      <c r="C16" s="75"/>
      <c r="D16" s="78">
        <f>-'Value Summary'!H11</f>
        <v>-28569</v>
      </c>
      <c r="E16" s="79"/>
    </row>
    <row r="17" spans="2:5" x14ac:dyDescent="0.25">
      <c r="B17" s="82" t="s">
        <v>216</v>
      </c>
      <c r="C17" s="75"/>
      <c r="D17" s="78">
        <f>-'Value Summary'!H12</f>
        <v>-5406.25</v>
      </c>
      <c r="E17" s="79"/>
    </row>
    <row r="18" spans="2:5" x14ac:dyDescent="0.25">
      <c r="B18" s="82" t="s">
        <v>284</v>
      </c>
      <c r="C18" s="75"/>
      <c r="D18" s="78">
        <f>-'Value Summary'!H13</f>
        <v>-54062.5</v>
      </c>
      <c r="E18" s="79"/>
    </row>
    <row r="19" spans="2:5" x14ac:dyDescent="0.25">
      <c r="B19" s="82" t="s">
        <v>218</v>
      </c>
      <c r="C19" s="75"/>
      <c r="D19" s="78">
        <f>-'Value Summary'!H14</f>
        <v>-21120</v>
      </c>
      <c r="E19" s="79"/>
    </row>
    <row r="20" spans="2:5" x14ac:dyDescent="0.25">
      <c r="B20" s="82" t="s">
        <v>308</v>
      </c>
      <c r="C20" s="75"/>
      <c r="D20" s="78">
        <f>-'Value Summary'!H15</f>
        <v>-18592</v>
      </c>
      <c r="E20" s="79"/>
    </row>
    <row r="21" spans="2:5" x14ac:dyDescent="0.25">
      <c r="B21" s="82" t="s">
        <v>257</v>
      </c>
      <c r="C21" s="75"/>
      <c r="D21" s="78" t="e">
        <f>-'Value Summary'!#REF!</f>
        <v>#REF!</v>
      </c>
      <c r="E21" s="79"/>
    </row>
    <row r="22" spans="2:5" x14ac:dyDescent="0.25">
      <c r="B22" s="82" t="s">
        <v>258</v>
      </c>
      <c r="C22" s="75"/>
      <c r="D22" s="78" t="e">
        <f>-'Value Summary'!#REF!</f>
        <v>#REF!</v>
      </c>
      <c r="E22" s="79"/>
    </row>
    <row r="23" spans="2:5" x14ac:dyDescent="0.25">
      <c r="B23" s="82" t="s">
        <v>309</v>
      </c>
      <c r="C23" s="75"/>
      <c r="D23" s="78">
        <f>-'Value Summary'!H16</f>
        <v>0</v>
      </c>
      <c r="E23" s="79"/>
    </row>
    <row r="24" spans="2:5" x14ac:dyDescent="0.25">
      <c r="B24" s="82" t="s">
        <v>310</v>
      </c>
      <c r="C24" s="75"/>
      <c r="D24" s="78">
        <f>-'Value Summary'!H17</f>
        <v>0</v>
      </c>
      <c r="E24" s="79"/>
    </row>
    <row r="25" spans="2:5" x14ac:dyDescent="0.25">
      <c r="B25" s="82" t="s">
        <v>311</v>
      </c>
      <c r="C25" s="75"/>
      <c r="D25" s="78">
        <f>-'Value Summary'!H18</f>
        <v>-327600</v>
      </c>
      <c r="E25" s="79"/>
    </row>
    <row r="26" spans="2:5" x14ac:dyDescent="0.25">
      <c r="B26" s="82" t="s">
        <v>235</v>
      </c>
      <c r="C26" s="75"/>
      <c r="D26" s="78">
        <f>-'Value Summary'!H19</f>
        <v>-28569</v>
      </c>
      <c r="E26" s="79"/>
    </row>
    <row r="27" spans="2:5" x14ac:dyDescent="0.25">
      <c r="B27" s="82" t="s">
        <v>236</v>
      </c>
      <c r="C27" s="75"/>
      <c r="D27" s="78">
        <f>-'Value Summary'!H20</f>
        <v>-0.01</v>
      </c>
      <c r="E27" s="79"/>
    </row>
    <row r="28" spans="2:5" x14ac:dyDescent="0.25">
      <c r="B28" s="74" t="s">
        <v>282</v>
      </c>
      <c r="C28" s="71">
        <f>'General Financial Info Survey'!C8</f>
        <v>16375000</v>
      </c>
      <c r="D28" s="329" t="e">
        <f>E28-C28</f>
        <v>#REF!</v>
      </c>
      <c r="E28" s="81" t="e">
        <f>E9-E10</f>
        <v>#REF!</v>
      </c>
    </row>
    <row r="29" spans="2:5" x14ac:dyDescent="0.25">
      <c r="B29" s="74" t="s">
        <v>299</v>
      </c>
      <c r="C29" s="71">
        <f>C28-C31</f>
        <v>0</v>
      </c>
      <c r="D29" s="75"/>
      <c r="E29" s="81">
        <f>C29+D30</f>
        <v>-688500</v>
      </c>
    </row>
    <row r="30" spans="2:5" x14ac:dyDescent="0.25">
      <c r="B30" s="82" t="s">
        <v>312</v>
      </c>
      <c r="C30" s="75"/>
      <c r="D30" s="78">
        <f>-'Value Summary'!H7</f>
        <v>-688500</v>
      </c>
      <c r="E30" s="79"/>
    </row>
    <row r="31" spans="2:5" x14ac:dyDescent="0.25">
      <c r="B31" s="74" t="s">
        <v>295</v>
      </c>
      <c r="C31" s="71">
        <f>'General Financial Info Survey'!C10</f>
        <v>16375000</v>
      </c>
      <c r="D31" s="329" t="e">
        <f>E31-C31</f>
        <v>#REF!</v>
      </c>
      <c r="E31" s="83" t="e">
        <f>E28-E29</f>
        <v>#REF!</v>
      </c>
    </row>
    <row r="32" spans="2:5" x14ac:dyDescent="0.25">
      <c r="B32" s="74" t="s">
        <v>296</v>
      </c>
      <c r="C32" s="71">
        <f>-(C31-C33)</f>
        <v>0</v>
      </c>
      <c r="D32" s="329" t="e">
        <f>E32-C32</f>
        <v>#REF!</v>
      </c>
      <c r="E32" s="81" t="e">
        <f>(C32/C31)*E31</f>
        <v>#REF!</v>
      </c>
    </row>
    <row r="33" spans="2:5" ht="15.6" x14ac:dyDescent="0.25">
      <c r="B33" s="84" t="s">
        <v>283</v>
      </c>
      <c r="C33" s="48">
        <f>'General Financial Info Survey'!C12</f>
        <v>16375000</v>
      </c>
      <c r="D33" s="49" t="e">
        <f>E33-C33</f>
        <v>#REF!</v>
      </c>
      <c r="E33" s="85" t="e">
        <f>E31+E32</f>
        <v>#REF!</v>
      </c>
    </row>
    <row r="34" spans="2:5" x14ac:dyDescent="0.25">
      <c r="B34" s="73"/>
      <c r="C34" s="86"/>
      <c r="D34" s="86"/>
      <c r="E34" s="87"/>
    </row>
    <row r="35" spans="2:5" x14ac:dyDescent="0.25">
      <c r="B35" s="36" t="s">
        <v>316</v>
      </c>
      <c r="C35" s="86"/>
      <c r="D35" s="86"/>
      <c r="E35" s="87"/>
    </row>
    <row r="36" spans="2:5" x14ac:dyDescent="0.25">
      <c r="B36" s="88"/>
      <c r="C36" s="89"/>
      <c r="D36" s="90"/>
      <c r="E36" s="91"/>
    </row>
    <row r="39" spans="2:5" x14ac:dyDescent="0.25">
      <c r="C39" s="42"/>
      <c r="D39" s="92"/>
    </row>
    <row r="40" spans="2:5" x14ac:dyDescent="0.25">
      <c r="C40" s="42"/>
      <c r="D40" s="92"/>
    </row>
    <row r="41" spans="2:5" x14ac:dyDescent="0.25">
      <c r="C41" s="42"/>
      <c r="D41" s="92"/>
    </row>
    <row r="42" spans="2:5" ht="15" x14ac:dyDescent="0.25">
      <c r="C42" s="42"/>
      <c r="D42" s="93"/>
    </row>
    <row r="43" spans="2:5" ht="15" x14ac:dyDescent="0.25">
      <c r="C43" s="42"/>
      <c r="D43" s="93"/>
    </row>
    <row r="44" spans="2:5" x14ac:dyDescent="0.25">
      <c r="C44" s="42"/>
      <c r="D44" s="92"/>
    </row>
    <row r="45" spans="2:5" x14ac:dyDescent="0.25">
      <c r="C45" s="42"/>
      <c r="D45" s="92"/>
    </row>
    <row r="46" spans="2:5" x14ac:dyDescent="0.25">
      <c r="C46" s="42"/>
      <c r="D46" s="92"/>
    </row>
    <row r="47" spans="2:5" ht="15" x14ac:dyDescent="0.25">
      <c r="C47" s="42"/>
      <c r="D47" s="93"/>
    </row>
    <row r="48" spans="2:5" ht="15" x14ac:dyDescent="0.25">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B18" sqref="B18"/>
    </sheetView>
  </sheetViews>
  <sheetFormatPr defaultColWidth="9.109375" defaultRowHeight="13.2" x14ac:dyDescent="0.25"/>
  <cols>
    <col min="1" max="1" width="3.6640625" style="20" customWidth="1"/>
    <col min="2" max="2" width="67.88671875" style="20" customWidth="1"/>
    <col min="3" max="3" width="19.88671875" style="20" customWidth="1"/>
    <col min="4" max="4" width="18" style="20" customWidth="1"/>
    <col min="5" max="5" width="16.109375" style="20" customWidth="1"/>
    <col min="6" max="16384" width="9.109375" style="20"/>
  </cols>
  <sheetData>
    <row r="2" spans="2:5" ht="15.6" x14ac:dyDescent="0.25">
      <c r="B2" s="360" t="s">
        <v>368</v>
      </c>
      <c r="C2" s="361"/>
      <c r="D2" s="361"/>
      <c r="E2" s="362"/>
    </row>
    <row r="3" spans="2:5" x14ac:dyDescent="0.25">
      <c r="B3" s="43" t="s">
        <v>289</v>
      </c>
      <c r="C3" s="44" t="s">
        <v>297</v>
      </c>
      <c r="D3" s="45" t="s">
        <v>314</v>
      </c>
      <c r="E3" s="46" t="s">
        <v>315</v>
      </c>
    </row>
    <row r="4" spans="2:5" x14ac:dyDescent="0.25">
      <c r="B4" s="47" t="s">
        <v>290</v>
      </c>
      <c r="C4" s="48">
        <f>'General Financial Info Survey'!C16</f>
        <v>0</v>
      </c>
      <c r="D4" s="49" t="e">
        <f>D44</f>
        <v>#REF!</v>
      </c>
      <c r="E4" s="50" t="e">
        <f>C4+D4</f>
        <v>#REF!</v>
      </c>
    </row>
    <row r="5" spans="2:5" x14ac:dyDescent="0.25">
      <c r="B5" s="47" t="s">
        <v>292</v>
      </c>
      <c r="C5" s="51">
        <f>'General Financial Info Survey'!C14</f>
        <v>28569000</v>
      </c>
      <c r="D5" s="330">
        <f>E5-C5-'Income Statement Impact'!D19</f>
        <v>-38348.75</v>
      </c>
      <c r="E5" s="53">
        <f>C5-D40-D41</f>
        <v>28509531.25</v>
      </c>
    </row>
    <row r="6" spans="2:5" ht="13.8" thickBot="1" x14ac:dyDescent="0.3">
      <c r="B6" s="47" t="s">
        <v>317</v>
      </c>
      <c r="C6" s="54">
        <f>C7-SUM(C4:C5)</f>
        <v>-28569000</v>
      </c>
      <c r="D6" s="52"/>
      <c r="E6" s="55">
        <f>C6</f>
        <v>-28569000</v>
      </c>
    </row>
    <row r="7" spans="2:5" ht="13.8" thickTop="1" x14ac:dyDescent="0.25">
      <c r="B7" s="33" t="s">
        <v>293</v>
      </c>
      <c r="C7" s="51">
        <f>'General Financial Info Survey'!C20</f>
        <v>0</v>
      </c>
      <c r="D7" s="52" t="e">
        <f>E7-C7</f>
        <v>#REF!</v>
      </c>
      <c r="E7" s="56" t="e">
        <f>SUM(E4:E6)</f>
        <v>#REF!</v>
      </c>
    </row>
    <row r="8" spans="2:5" x14ac:dyDescent="0.25">
      <c r="B8" s="36"/>
      <c r="C8" s="37"/>
      <c r="D8" s="52"/>
      <c r="E8" s="38"/>
    </row>
    <row r="9" spans="2:5" x14ac:dyDescent="0.25">
      <c r="B9" s="33" t="s">
        <v>294</v>
      </c>
      <c r="C9" s="48">
        <f>'General Financial Info Survey'!C18</f>
        <v>29812000</v>
      </c>
      <c r="D9" s="52"/>
      <c r="E9" s="50">
        <f>C9</f>
        <v>29812000</v>
      </c>
    </row>
    <row r="10" spans="2:5" ht="13.8" thickBot="1" x14ac:dyDescent="0.3">
      <c r="B10" s="39" t="s">
        <v>318</v>
      </c>
      <c r="C10" s="57">
        <f>C7-C9</f>
        <v>-29812000</v>
      </c>
      <c r="D10" s="49" t="e">
        <f>E10-C10</f>
        <v>#REF!</v>
      </c>
      <c r="E10" s="55" t="e">
        <f>E7-E9</f>
        <v>#REF!</v>
      </c>
    </row>
    <row r="11" spans="2:5" ht="13.8" thickTop="1" x14ac:dyDescent="0.25">
      <c r="B11" s="39" t="s">
        <v>319</v>
      </c>
      <c r="C11" s="58">
        <f>SUM(C9:C10)</f>
        <v>0</v>
      </c>
      <c r="D11" s="52" t="e">
        <f>E11-C11</f>
        <v>#REF!</v>
      </c>
      <c r="E11" s="50" t="e">
        <f>SUM(E9:E10)</f>
        <v>#REF!</v>
      </c>
    </row>
    <row r="12" spans="2:5" x14ac:dyDescent="0.25">
      <c r="B12" s="59"/>
      <c r="C12" s="40"/>
      <c r="D12" s="40"/>
      <c r="E12" s="41"/>
    </row>
    <row r="15" spans="2:5" ht="15.6" x14ac:dyDescent="0.25">
      <c r="B15" s="360" t="s">
        <v>369</v>
      </c>
      <c r="C15" s="361"/>
      <c r="D15" s="362"/>
    </row>
    <row r="16" spans="2:5" x14ac:dyDescent="0.25">
      <c r="B16" s="60" t="s">
        <v>320</v>
      </c>
      <c r="C16" s="61"/>
      <c r="D16" s="62" t="s">
        <v>314</v>
      </c>
    </row>
    <row r="17" spans="2:4" x14ac:dyDescent="0.25">
      <c r="B17" s="47" t="s">
        <v>268</v>
      </c>
      <c r="C17" s="37"/>
      <c r="D17" s="63">
        <f>'Value Summary'!H21</f>
        <v>5779.4117999999999</v>
      </c>
    </row>
    <row r="18" spans="2:4" x14ac:dyDescent="0.25">
      <c r="B18" s="47" t="s">
        <v>278</v>
      </c>
      <c r="C18" s="37"/>
      <c r="D18" s="63">
        <f>'Value Summary'!H22</f>
        <v>48161.765000000014</v>
      </c>
    </row>
    <row r="19" spans="2:4" x14ac:dyDescent="0.25">
      <c r="B19" s="47" t="s">
        <v>259</v>
      </c>
      <c r="C19" s="37"/>
      <c r="D19" s="63" t="e">
        <f>'Value Summary'!#REF!</f>
        <v>#REF!</v>
      </c>
    </row>
    <row r="20" spans="2:4" x14ac:dyDescent="0.25">
      <c r="B20" s="47" t="s">
        <v>225</v>
      </c>
      <c r="C20" s="37"/>
      <c r="D20" s="63">
        <f>'Value Summary'!H5</f>
        <v>0</v>
      </c>
    </row>
    <row r="21" spans="2:4" x14ac:dyDescent="0.25">
      <c r="B21" s="47" t="s">
        <v>312</v>
      </c>
      <c r="C21" s="37"/>
      <c r="D21" s="63">
        <f>'Value Summary'!H7</f>
        <v>688500</v>
      </c>
    </row>
    <row r="22" spans="2:4" x14ac:dyDescent="0.25">
      <c r="B22" s="47" t="s">
        <v>306</v>
      </c>
      <c r="C22" s="37"/>
      <c r="D22" s="63">
        <f>'Value Summary'!H8</f>
        <v>425568</v>
      </c>
    </row>
    <row r="23" spans="2:4" x14ac:dyDescent="0.25">
      <c r="B23" s="47" t="s">
        <v>313</v>
      </c>
      <c r="C23" s="37"/>
      <c r="D23" s="63">
        <f>'Value Summary'!H9</f>
        <v>295680</v>
      </c>
    </row>
    <row r="24" spans="2:4" x14ac:dyDescent="0.25">
      <c r="B24" s="47" t="s">
        <v>307</v>
      </c>
      <c r="C24" s="37"/>
      <c r="D24" s="63">
        <f>'Value Summary'!H10</f>
        <v>2912000</v>
      </c>
    </row>
    <row r="25" spans="2:4" x14ac:dyDescent="0.25">
      <c r="B25" s="47" t="s">
        <v>256</v>
      </c>
      <c r="C25" s="37"/>
      <c r="D25" s="63">
        <f>'Value Summary'!H11</f>
        <v>28569</v>
      </c>
    </row>
    <row r="26" spans="2:4" x14ac:dyDescent="0.25">
      <c r="B26" s="47" t="s">
        <v>308</v>
      </c>
      <c r="C26" s="37"/>
      <c r="D26" s="63">
        <f>'Value Summary'!H15</f>
        <v>18592</v>
      </c>
    </row>
    <row r="27" spans="2:4" x14ac:dyDescent="0.25">
      <c r="B27" s="47" t="s">
        <v>257</v>
      </c>
      <c r="C27" s="37"/>
      <c r="D27" s="63" t="e">
        <f>'Value Summary'!#REF!</f>
        <v>#REF!</v>
      </c>
    </row>
    <row r="28" spans="2:4" x14ac:dyDescent="0.25">
      <c r="B28" s="47" t="s">
        <v>258</v>
      </c>
      <c r="C28" s="37"/>
      <c r="D28" s="63" t="e">
        <f>'Value Summary'!#REF!</f>
        <v>#REF!</v>
      </c>
    </row>
    <row r="29" spans="2:4" x14ac:dyDescent="0.25">
      <c r="B29" s="47" t="s">
        <v>309</v>
      </c>
      <c r="C29" s="37"/>
      <c r="D29" s="63">
        <f>'Value Summary'!H16</f>
        <v>0</v>
      </c>
    </row>
    <row r="30" spans="2:4" x14ac:dyDescent="0.25">
      <c r="B30" s="47" t="s">
        <v>310</v>
      </c>
      <c r="C30" s="37"/>
      <c r="D30" s="63">
        <f>'Value Summary'!H17</f>
        <v>0</v>
      </c>
    </row>
    <row r="31" spans="2:4" x14ac:dyDescent="0.25">
      <c r="B31" s="47" t="s">
        <v>311</v>
      </c>
      <c r="C31" s="37"/>
      <c r="D31" s="63">
        <f>'Value Summary'!H18</f>
        <v>327600</v>
      </c>
    </row>
    <row r="32" spans="2:4" x14ac:dyDescent="0.25">
      <c r="B32" s="64" t="s">
        <v>235</v>
      </c>
      <c r="C32" s="37"/>
      <c r="D32" s="63">
        <f>'Value Summary'!H19</f>
        <v>28569</v>
      </c>
    </row>
    <row r="33" spans="2:4" x14ac:dyDescent="0.25">
      <c r="B33" s="47" t="s">
        <v>236</v>
      </c>
      <c r="C33" s="37"/>
      <c r="D33" s="63">
        <f>'Value Summary'!H20</f>
        <v>0.01</v>
      </c>
    </row>
    <row r="34" spans="2:4" x14ac:dyDescent="0.25">
      <c r="B34" s="47" t="s">
        <v>322</v>
      </c>
      <c r="C34" s="37"/>
      <c r="D34" s="65" t="e">
        <f>'Income Statement Impact'!C8-'Income Statement Impact'!E8</f>
        <v>#REF!</v>
      </c>
    </row>
    <row r="35" spans="2:4" x14ac:dyDescent="0.25">
      <c r="B35" s="47" t="s">
        <v>321</v>
      </c>
      <c r="C35" s="37"/>
      <c r="D35" s="66" t="e">
        <f>-('Income Statement Impact'!C32-'Income Statement Impact'!E32)</f>
        <v>#REF!</v>
      </c>
    </row>
    <row r="36" spans="2:4" x14ac:dyDescent="0.25">
      <c r="B36" s="67" t="s">
        <v>323</v>
      </c>
      <c r="C36" s="37"/>
      <c r="D36" s="68" t="e">
        <f>SUM(D17:D35)</f>
        <v>#REF!</v>
      </c>
    </row>
    <row r="37" spans="2:4" x14ac:dyDescent="0.25">
      <c r="B37" s="36"/>
      <c r="C37" s="37"/>
      <c r="D37" s="38"/>
    </row>
    <row r="38" spans="2:4" x14ac:dyDescent="0.25">
      <c r="B38" s="39" t="s">
        <v>324</v>
      </c>
      <c r="C38" s="37"/>
      <c r="D38" s="38"/>
    </row>
    <row r="39" spans="2:4" x14ac:dyDescent="0.25">
      <c r="B39" s="64" t="s">
        <v>94</v>
      </c>
      <c r="C39" s="37"/>
      <c r="D39" s="63">
        <f>'Value Summary'!H6</f>
        <v>2065500</v>
      </c>
    </row>
    <row r="40" spans="2:4" x14ac:dyDescent="0.25">
      <c r="B40" s="47" t="s">
        <v>216</v>
      </c>
      <c r="C40" s="37"/>
      <c r="D40" s="63">
        <f>'Value Summary'!H12</f>
        <v>5406.25</v>
      </c>
    </row>
    <row r="41" spans="2:4" x14ac:dyDescent="0.25">
      <c r="B41" s="47" t="s">
        <v>284</v>
      </c>
      <c r="C41" s="37"/>
      <c r="D41" s="69">
        <f>'Value Summary'!H13</f>
        <v>54062.5</v>
      </c>
    </row>
    <row r="42" spans="2:4" x14ac:dyDescent="0.25">
      <c r="B42" s="67" t="s">
        <v>325</v>
      </c>
      <c r="C42" s="37"/>
      <c r="D42" s="68">
        <f>SUM(D39:D41)</f>
        <v>2124968.75</v>
      </c>
    </row>
    <row r="43" spans="2:4" x14ac:dyDescent="0.25">
      <c r="B43" s="36"/>
      <c r="C43" s="37"/>
      <c r="D43" s="38"/>
    </row>
    <row r="44" spans="2:4" x14ac:dyDescent="0.25">
      <c r="B44" s="33" t="s">
        <v>326</v>
      </c>
      <c r="C44" s="37"/>
      <c r="D44" s="70" t="e">
        <f>D36+D42</f>
        <v>#REF!</v>
      </c>
    </row>
    <row r="45" spans="2:4" x14ac:dyDescent="0.25">
      <c r="B45" s="36"/>
      <c r="C45" s="37"/>
      <c r="D45" s="38"/>
    </row>
    <row r="46" spans="2:4" x14ac:dyDescent="0.25">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ColWidth="9.109375" defaultRowHeight="13.2" x14ac:dyDescent="0.25"/>
  <cols>
    <col min="1" max="1" width="2.33203125" style="20" customWidth="1"/>
    <col min="2" max="2" width="40.5546875" style="20" customWidth="1"/>
    <col min="3" max="3" width="13.109375" style="20" customWidth="1"/>
    <col min="4" max="4" width="16.33203125" style="20" customWidth="1"/>
    <col min="5" max="16384" width="9.109375" style="20"/>
  </cols>
  <sheetData>
    <row r="2" spans="2:4" x14ac:dyDescent="0.25">
      <c r="B2" s="356" t="s">
        <v>333</v>
      </c>
      <c r="C2" s="352"/>
      <c r="D2" s="353"/>
    </row>
    <row r="3" spans="2:4" x14ac:dyDescent="0.25">
      <c r="B3" s="30"/>
      <c r="C3" s="31" t="s">
        <v>297</v>
      </c>
      <c r="D3" s="32" t="s">
        <v>357</v>
      </c>
    </row>
    <row r="4" spans="2:4" x14ac:dyDescent="0.25">
      <c r="B4" s="33" t="s">
        <v>327</v>
      </c>
      <c r="C4" s="34">
        <f>'Income Statement Impact'!C33/'Income Statement Impact'!C4</f>
        <v>1</v>
      </c>
      <c r="D4" s="35" t="e">
        <f>'Income Statement Impact'!E33/'Income Statement Impact'!E4</f>
        <v>#REF!</v>
      </c>
    </row>
    <row r="5" spans="2:4" x14ac:dyDescent="0.25">
      <c r="B5" s="33" t="s">
        <v>328</v>
      </c>
      <c r="C5" s="34" t="e">
        <f>'Income Statement Impact'!C33/'Bal. Sheet and Cash Flow Impact'!C7</f>
        <v>#DIV/0!</v>
      </c>
      <c r="D5" s="35" t="e">
        <f>'Income Statement Impact'!E33/'Bal. Sheet and Cash Flow Impact'!E7</f>
        <v>#REF!</v>
      </c>
    </row>
    <row r="6" spans="2:4" x14ac:dyDescent="0.25">
      <c r="B6" s="33" t="s">
        <v>329</v>
      </c>
      <c r="C6" s="34">
        <f>'Income Statement Impact'!C33/'Bal. Sheet and Cash Flow Impact'!C10</f>
        <v>-0.54927545954649137</v>
      </c>
      <c r="D6" s="35" t="e">
        <f>'Income Statement Impact'!E33/'Bal. Sheet and Cash Flow Impact'!E10</f>
        <v>#REF!</v>
      </c>
    </row>
    <row r="7" spans="2:4" x14ac:dyDescent="0.25">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ColWidth="9.109375" defaultRowHeight="13.2" x14ac:dyDescent="0.25"/>
  <cols>
    <col min="1" max="1" width="2.6640625" style="20" customWidth="1"/>
    <col min="2" max="2" width="46" style="21" customWidth="1"/>
    <col min="3" max="3" width="18.33203125" style="20" bestFit="1" customWidth="1"/>
    <col min="4" max="4" width="13.44140625" style="20" bestFit="1" customWidth="1"/>
    <col min="5" max="5" width="13.33203125" style="20" bestFit="1" customWidth="1"/>
    <col min="6" max="6" width="13.6640625" style="20" customWidth="1"/>
    <col min="7" max="16384" width="9.109375" style="20"/>
  </cols>
  <sheetData>
    <row r="2" spans="2:4" ht="15.6" x14ac:dyDescent="0.3">
      <c r="B2" s="18" t="s">
        <v>285</v>
      </c>
      <c r="C2" s="19" t="s">
        <v>47</v>
      </c>
    </row>
    <row r="3" spans="2:4" ht="4.5" customHeight="1" thickBot="1" x14ac:dyDescent="0.3">
      <c r="C3" s="22"/>
    </row>
    <row r="4" spans="2:4" ht="15.6" thickBot="1" x14ac:dyDescent="0.3">
      <c r="B4" s="23" t="s">
        <v>288</v>
      </c>
      <c r="C4" s="337">
        <v>16375000</v>
      </c>
      <c r="D4" s="27" t="s">
        <v>372</v>
      </c>
    </row>
    <row r="5" spans="2:4" ht="4.5" customHeight="1" thickBot="1" x14ac:dyDescent="0.3">
      <c r="C5" s="25"/>
      <c r="D5" s="27"/>
    </row>
    <row r="6" spans="2:4" ht="15.6" thickBot="1" x14ac:dyDescent="0.3">
      <c r="B6" s="23" t="s">
        <v>287</v>
      </c>
      <c r="C6" s="337">
        <v>19264706</v>
      </c>
      <c r="D6" s="27" t="s">
        <v>372</v>
      </c>
    </row>
    <row r="7" spans="2:4" ht="4.5" customHeight="1" thickBot="1" x14ac:dyDescent="0.3">
      <c r="C7" s="25"/>
      <c r="D7" s="27"/>
    </row>
    <row r="8" spans="2:4" ht="15.6" thickBot="1" x14ac:dyDescent="0.3">
      <c r="B8" s="23" t="s">
        <v>286</v>
      </c>
      <c r="C8" s="24">
        <v>16375000</v>
      </c>
      <c r="D8" s="27"/>
    </row>
    <row r="9" spans="2:4" ht="4.5" customHeight="1" thickBot="1" x14ac:dyDescent="0.3">
      <c r="C9" s="25"/>
      <c r="D9" s="27"/>
    </row>
    <row r="10" spans="2:4" ht="15.6" thickBot="1" x14ac:dyDescent="0.3">
      <c r="B10" s="23" t="s">
        <v>300</v>
      </c>
      <c r="C10" s="24">
        <v>16375000</v>
      </c>
      <c r="D10" s="27"/>
    </row>
    <row r="11" spans="2:4" ht="4.5" customHeight="1" thickBot="1" x14ac:dyDescent="0.3">
      <c r="C11" s="25"/>
      <c r="D11" s="27"/>
    </row>
    <row r="12" spans="2:4" ht="15.6" thickBot="1" x14ac:dyDescent="0.3">
      <c r="B12" s="23" t="s">
        <v>301</v>
      </c>
      <c r="C12" s="24">
        <v>16375000</v>
      </c>
      <c r="D12" s="27"/>
    </row>
    <row r="13" spans="2:4" ht="3.75" customHeight="1" thickBot="1" x14ac:dyDescent="0.3">
      <c r="C13" s="25"/>
      <c r="D13" s="27"/>
    </row>
    <row r="14" spans="2:4" ht="15.6" thickBot="1" x14ac:dyDescent="0.3">
      <c r="B14" s="23" t="s">
        <v>302</v>
      </c>
      <c r="C14" s="337">
        <v>28569000</v>
      </c>
      <c r="D14" s="27" t="s">
        <v>372</v>
      </c>
    </row>
    <row r="15" spans="2:4" ht="4.5" customHeight="1" thickBot="1" x14ac:dyDescent="0.3">
      <c r="C15" s="25"/>
    </row>
    <row r="16" spans="2:4" ht="15.6" thickBot="1" x14ac:dyDescent="0.3">
      <c r="B16" s="23" t="s">
        <v>303</v>
      </c>
      <c r="C16" s="24">
        <v>0</v>
      </c>
    </row>
    <row r="17" spans="2:3" ht="6" customHeight="1" thickBot="1" x14ac:dyDescent="0.3">
      <c r="B17" s="23"/>
      <c r="C17" s="26"/>
    </row>
    <row r="18" spans="2:3" ht="15.6" thickBot="1" x14ac:dyDescent="0.3">
      <c r="B18" s="23" t="s">
        <v>304</v>
      </c>
      <c r="C18" s="24">
        <v>29812000</v>
      </c>
    </row>
    <row r="19" spans="2:3" ht="3.75" customHeight="1" thickBot="1" x14ac:dyDescent="0.3"/>
    <row r="20" spans="2:3" ht="15.6" thickBot="1" x14ac:dyDescent="0.3">
      <c r="B20" s="23" t="s">
        <v>305</v>
      </c>
      <c r="C20" s="24">
        <v>0</v>
      </c>
    </row>
    <row r="21" spans="2:3" ht="3.75" customHeight="1" thickBot="1" x14ac:dyDescent="0.3"/>
    <row r="22" spans="2:3" ht="15.6" thickBot="1" x14ac:dyDescent="0.3">
      <c r="B22" s="27" t="s">
        <v>331</v>
      </c>
      <c r="C22" s="29">
        <v>0</v>
      </c>
    </row>
    <row r="23" spans="2:3" ht="6" customHeight="1" x14ac:dyDescent="0.25">
      <c r="B23" s="20"/>
    </row>
    <row r="24" spans="2:3" x14ac:dyDescent="0.25">
      <c r="B24" s="20"/>
    </row>
    <row r="25" spans="2:3" ht="6.75" customHeight="1" x14ac:dyDescent="0.25">
      <c r="B25" s="20"/>
    </row>
    <row r="26" spans="2:3" x14ac:dyDescent="0.25">
      <c r="B26" s="20"/>
    </row>
    <row r="27" spans="2:3" ht="4.5" customHeight="1" x14ac:dyDescent="0.25">
      <c r="B27" s="20"/>
    </row>
    <row r="28" spans="2:3" x14ac:dyDescent="0.25">
      <c r="B28" s="20"/>
    </row>
    <row r="29" spans="2:3" ht="4.5" customHeight="1" x14ac:dyDescent="0.25">
      <c r="B29" s="20"/>
    </row>
    <row r="30" spans="2:3" x14ac:dyDescent="0.25">
      <c r="B30" s="20"/>
    </row>
    <row r="31" spans="2:3" x14ac:dyDescent="0.25">
      <c r="B31" s="20"/>
    </row>
    <row r="32" spans="2:3" x14ac:dyDescent="0.25">
      <c r="B32" s="20"/>
    </row>
    <row r="33" spans="2:2" x14ac:dyDescent="0.25">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ColWidth="9.109375" defaultRowHeight="13.2" x14ac:dyDescent="0.25"/>
  <cols>
    <col min="1" max="1" width="3.44140625" style="20" customWidth="1"/>
    <col min="2" max="2" width="100"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80</v>
      </c>
      <c r="C2" s="19" t="s">
        <v>47</v>
      </c>
      <c r="F2" s="127" t="s">
        <v>81</v>
      </c>
    </row>
    <row r="3" spans="2:8" ht="10.5" customHeight="1" thickBot="1" x14ac:dyDescent="0.35">
      <c r="B3" s="232"/>
      <c r="C3" s="128"/>
      <c r="F3" s="127" t="s">
        <v>82</v>
      </c>
    </row>
    <row r="4" spans="2:8" ht="16.2" thickBot="1" x14ac:dyDescent="0.35">
      <c r="B4" s="132" t="s">
        <v>49</v>
      </c>
      <c r="C4" s="129">
        <v>2</v>
      </c>
      <c r="D4" s="126" t="b">
        <f>IF(C4="a", 1,IF(C4="b", 2, IF(C4="c",3,IF(C4="d",0))))</f>
        <v>0</v>
      </c>
      <c r="F4" s="130">
        <v>1</v>
      </c>
    </row>
    <row r="5" spans="2:8" ht="15.6" x14ac:dyDescent="0.3">
      <c r="B5" s="108" t="s">
        <v>57</v>
      </c>
      <c r="C5" s="131"/>
      <c r="F5" s="130">
        <v>2</v>
      </c>
    </row>
    <row r="6" spans="2:8" ht="15.6" x14ac:dyDescent="0.3">
      <c r="B6" s="108" t="s">
        <v>61</v>
      </c>
      <c r="C6" s="128"/>
      <c r="F6" s="130">
        <v>3</v>
      </c>
    </row>
    <row r="7" spans="2:8" ht="15.6" x14ac:dyDescent="0.3">
      <c r="B7" s="108" t="s">
        <v>65</v>
      </c>
      <c r="C7" s="131"/>
      <c r="F7" s="126">
        <v>4</v>
      </c>
    </row>
    <row r="8" spans="2:8" ht="7.5" customHeight="1" thickBot="1" x14ac:dyDescent="0.35">
      <c r="C8" s="131"/>
      <c r="H8" s="120"/>
    </row>
    <row r="9" spans="2:8" ht="15.6" thickBot="1" x14ac:dyDescent="0.3">
      <c r="B9" s="132" t="s">
        <v>50</v>
      </c>
      <c r="C9" s="133">
        <v>2</v>
      </c>
      <c r="D9" s="126" t="b">
        <f>IF(C9="a", 1,IF(C9="b", 2, IF(C9="c",3,IF(C9="d",0))))</f>
        <v>0</v>
      </c>
      <c r="H9" s="120"/>
    </row>
    <row r="10" spans="2:8" ht="15.6" x14ac:dyDescent="0.25">
      <c r="B10" s="108" t="s">
        <v>58</v>
      </c>
      <c r="C10" s="134"/>
      <c r="H10" s="120"/>
    </row>
    <row r="11" spans="2:8" ht="15.6" x14ac:dyDescent="0.25">
      <c r="B11" s="108" t="s">
        <v>62</v>
      </c>
      <c r="C11" s="134"/>
      <c r="H11" s="120"/>
    </row>
    <row r="12" spans="2:8" ht="15.6" x14ac:dyDescent="0.25">
      <c r="B12" s="108" t="s">
        <v>66</v>
      </c>
      <c r="C12" s="134"/>
    </row>
    <row r="13" spans="2:8" ht="7.5" customHeight="1" thickBot="1" x14ac:dyDescent="0.3">
      <c r="C13" s="134"/>
    </row>
    <row r="14" spans="2:8" ht="15.6" thickBot="1" x14ac:dyDescent="0.3">
      <c r="B14" s="132" t="s">
        <v>51</v>
      </c>
      <c r="C14" s="133">
        <v>1</v>
      </c>
      <c r="D14" s="126" t="b">
        <f>IF(C14="a", 1,IF(C14="b", 2, IF(C14="c",3,IF(C14="d",0))))</f>
        <v>0</v>
      </c>
    </row>
    <row r="15" spans="2:8" ht="15.6" x14ac:dyDescent="0.25">
      <c r="B15" s="108" t="s">
        <v>59</v>
      </c>
      <c r="C15" s="134"/>
    </row>
    <row r="16" spans="2:8" ht="15.6" x14ac:dyDescent="0.25">
      <c r="B16" s="108" t="s">
        <v>63</v>
      </c>
      <c r="C16" s="134"/>
    </row>
    <row r="17" spans="2:6" ht="15.6" x14ac:dyDescent="0.25">
      <c r="B17" s="108" t="s">
        <v>67</v>
      </c>
      <c r="C17" s="134"/>
    </row>
    <row r="18" spans="2:6" ht="7.5" customHeight="1" thickBot="1" x14ac:dyDescent="0.3">
      <c r="C18" s="134"/>
    </row>
    <row r="19" spans="2:6" ht="15.6" thickBot="1" x14ac:dyDescent="0.3">
      <c r="B19" s="132" t="s">
        <v>52</v>
      </c>
      <c r="C19" s="133">
        <v>1</v>
      </c>
      <c r="D19" s="126" t="b">
        <f>IF(C19="a", 1,IF(C19="b", 2, IF(C19="c",3,IF(C19="d",0))))</f>
        <v>0</v>
      </c>
    </row>
    <row r="20" spans="2:6" s="21" customFormat="1" ht="26.4" x14ac:dyDescent="0.25">
      <c r="B20" s="108" t="s">
        <v>60</v>
      </c>
      <c r="C20" s="135"/>
      <c r="D20" s="136"/>
      <c r="F20" s="136"/>
    </row>
    <row r="21" spans="2:6" s="21" customFormat="1" ht="26.4" x14ac:dyDescent="0.25">
      <c r="B21" s="108" t="s">
        <v>64</v>
      </c>
      <c r="C21" s="135"/>
      <c r="D21" s="136"/>
      <c r="F21" s="136"/>
    </row>
    <row r="22" spans="2:6" s="21" customFormat="1" ht="26.4" x14ac:dyDescent="0.25">
      <c r="B22" s="108" t="s">
        <v>68</v>
      </c>
      <c r="C22" s="135"/>
      <c r="D22" s="136"/>
      <c r="F22" s="136"/>
    </row>
    <row r="23" spans="2:6" ht="4.5" customHeight="1" thickBot="1" x14ac:dyDescent="0.3">
      <c r="C23" s="22"/>
    </row>
    <row r="24" spans="2:6" ht="15.6" thickBot="1" x14ac:dyDescent="0.3">
      <c r="B24" s="229" t="s">
        <v>53</v>
      </c>
      <c r="C24" s="24">
        <v>17000000</v>
      </c>
      <c r="E24" s="20" t="s">
        <v>376</v>
      </c>
    </row>
    <row r="25" spans="2:6" ht="4.5" customHeight="1" thickBot="1" x14ac:dyDescent="0.3">
      <c r="C25" s="25"/>
    </row>
    <row r="26" spans="2:6" ht="15.6" thickBot="1" x14ac:dyDescent="0.3">
      <c r="B26" s="229" t="s">
        <v>73</v>
      </c>
      <c r="C26" s="137">
        <v>0.9</v>
      </c>
    </row>
    <row r="27" spans="2:6" ht="4.5" customHeight="1" thickBot="1" x14ac:dyDescent="0.3">
      <c r="C27" s="25"/>
    </row>
    <row r="28" spans="2:6" ht="15.6" thickBot="1" x14ac:dyDescent="0.3">
      <c r="B28" s="229" t="s">
        <v>54</v>
      </c>
      <c r="C28" s="138">
        <v>0.5</v>
      </c>
    </row>
    <row r="29" spans="2:6" ht="4.5" customHeight="1" thickBot="1" x14ac:dyDescent="0.3">
      <c r="C29" s="25"/>
    </row>
    <row r="30" spans="2:6" ht="15.6" thickBot="1" x14ac:dyDescent="0.3">
      <c r="B30" s="229" t="s">
        <v>55</v>
      </c>
      <c r="C30" s="139">
        <v>55</v>
      </c>
      <c r="D30" s="140" t="s">
        <v>46</v>
      </c>
      <c r="E30" s="20" t="s">
        <v>373</v>
      </c>
    </row>
    <row r="31" spans="2:6" ht="3.75" customHeight="1" thickBot="1" x14ac:dyDescent="0.3">
      <c r="C31" s="25"/>
    </row>
    <row r="32" spans="2:6" ht="15.6" thickBot="1" x14ac:dyDescent="0.3">
      <c r="B32" s="229" t="s">
        <v>56</v>
      </c>
      <c r="C32" s="24">
        <v>8000000</v>
      </c>
      <c r="D32" s="126" t="s">
        <v>45</v>
      </c>
    </row>
    <row r="33" spans="2:5" ht="4.5" customHeight="1" thickBot="1" x14ac:dyDescent="0.3">
      <c r="C33" s="25"/>
    </row>
    <row r="34" spans="2:5" ht="15.6" thickBot="1" x14ac:dyDescent="0.3">
      <c r="B34" s="229" t="s">
        <v>72</v>
      </c>
      <c r="C34" s="137">
        <v>1</v>
      </c>
    </row>
    <row r="35" spans="2:5" ht="6" customHeight="1" thickBot="1" x14ac:dyDescent="0.3">
      <c r="B35" s="229"/>
      <c r="C35" s="26"/>
    </row>
    <row r="36" spans="2:5" ht="15.6" thickBot="1" x14ac:dyDescent="0.3">
      <c r="B36" s="229" t="s">
        <v>87</v>
      </c>
      <c r="C36" s="137">
        <v>0</v>
      </c>
    </row>
    <row r="37" spans="2:5" ht="3.75" customHeight="1" thickBot="1" x14ac:dyDescent="0.3"/>
    <row r="38" spans="2:5" ht="15.6" thickBot="1" x14ac:dyDescent="0.3">
      <c r="B38" s="229" t="s">
        <v>83</v>
      </c>
      <c r="C38" s="141" t="s">
        <v>82</v>
      </c>
    </row>
    <row r="39" spans="2:5" ht="3.75" customHeight="1" thickBot="1" x14ac:dyDescent="0.3"/>
    <row r="40" spans="2:5" ht="15.6" thickBot="1" x14ac:dyDescent="0.3">
      <c r="B40" s="229" t="s">
        <v>88</v>
      </c>
      <c r="C40" s="29">
        <v>2000</v>
      </c>
    </row>
    <row r="41" spans="2:5" ht="6" customHeight="1" thickBot="1" x14ac:dyDescent="0.3"/>
    <row r="42" spans="2:5" ht="15.6" thickBot="1" x14ac:dyDescent="0.3">
      <c r="B42" s="229" t="s">
        <v>89</v>
      </c>
      <c r="C42" s="29">
        <v>31</v>
      </c>
    </row>
    <row r="43" spans="2:5" ht="6.75" customHeight="1" thickBot="1" x14ac:dyDescent="0.3"/>
    <row r="44" spans="2:5" ht="15.6" thickBot="1" x14ac:dyDescent="0.3">
      <c r="B44" s="132" t="s">
        <v>90</v>
      </c>
      <c r="C44" s="137">
        <v>0.16</v>
      </c>
    </row>
    <row r="45" spans="2:5" ht="4.5" customHeight="1" thickBot="1" x14ac:dyDescent="0.3"/>
    <row r="46" spans="2:5" ht="15.6" thickBot="1" x14ac:dyDescent="0.3">
      <c r="B46" s="229" t="s">
        <v>91</v>
      </c>
      <c r="C46" s="24">
        <v>114400</v>
      </c>
      <c r="D46" s="126" t="s">
        <v>45</v>
      </c>
      <c r="E46" s="20" t="s">
        <v>374</v>
      </c>
    </row>
    <row r="47" spans="2:5" ht="4.5" customHeight="1" x14ac:dyDescent="0.25"/>
    <row r="48" spans="2:5" ht="33" customHeight="1" x14ac:dyDescent="0.25">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ColWidth="9.109375" defaultRowHeight="13.2" x14ac:dyDescent="0.25"/>
  <cols>
    <col min="1" max="1" width="3.44140625" style="20" customWidth="1"/>
    <col min="2" max="2" width="121.441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334" t="s">
        <v>100</v>
      </c>
      <c r="C2" s="218" t="s">
        <v>47</v>
      </c>
      <c r="F2" s="127" t="s">
        <v>81</v>
      </c>
    </row>
    <row r="3" spans="2:8" ht="10.5" customHeight="1" thickBot="1" x14ac:dyDescent="0.35">
      <c r="B3" s="335"/>
      <c r="C3" s="219"/>
      <c r="F3" s="127" t="s">
        <v>82</v>
      </c>
    </row>
    <row r="4" spans="2:8" ht="16.2" thickBot="1" x14ac:dyDescent="0.35">
      <c r="B4" s="132" t="s">
        <v>125</v>
      </c>
      <c r="C4" s="220">
        <v>2</v>
      </c>
      <c r="D4" s="126" t="b">
        <f>IF(C4="a", 1,IF(C4="b", 2, IF(C4="c",3,IF(C4="d",0))))</f>
        <v>0</v>
      </c>
      <c r="F4" s="130">
        <v>1</v>
      </c>
    </row>
    <row r="5" spans="2:8" ht="26.4" x14ac:dyDescent="0.3">
      <c r="B5" s="98" t="s">
        <v>118</v>
      </c>
      <c r="C5" s="221"/>
      <c r="F5" s="130">
        <v>2</v>
      </c>
    </row>
    <row r="6" spans="2:8" ht="26.4" x14ac:dyDescent="0.3">
      <c r="B6" s="98" t="s">
        <v>126</v>
      </c>
      <c r="C6" s="219"/>
      <c r="F6" s="130">
        <v>3</v>
      </c>
    </row>
    <row r="7" spans="2:8" ht="39.6" x14ac:dyDescent="0.3">
      <c r="B7" s="98" t="s">
        <v>164</v>
      </c>
      <c r="C7" s="221"/>
      <c r="F7" s="126">
        <v>4</v>
      </c>
    </row>
    <row r="8" spans="2:8" ht="6.75" customHeight="1" thickBot="1" x14ac:dyDescent="0.35">
      <c r="B8" s="335"/>
      <c r="C8" s="219"/>
      <c r="F8" s="127"/>
    </row>
    <row r="9" spans="2:8" ht="15.6" thickBot="1" x14ac:dyDescent="0.3">
      <c r="B9" s="132" t="s">
        <v>119</v>
      </c>
      <c r="C9" s="222">
        <v>1</v>
      </c>
      <c r="D9" s="126" t="b">
        <f>IF(C9="a", 1,IF(C9="b", 2, IF(C9="c",3,IF(C9="d",0))))</f>
        <v>0</v>
      </c>
      <c r="H9" s="120"/>
    </row>
    <row r="10" spans="2:8" ht="15.6" x14ac:dyDescent="0.25">
      <c r="B10" s="98" t="s">
        <v>106</v>
      </c>
      <c r="C10" s="223"/>
      <c r="H10" s="120"/>
    </row>
    <row r="11" spans="2:8" ht="15.75" customHeight="1" x14ac:dyDescent="0.25">
      <c r="B11" s="98" t="s">
        <v>107</v>
      </c>
      <c r="C11" s="223"/>
      <c r="H11" s="120"/>
    </row>
    <row r="12" spans="2:8" ht="15.6" x14ac:dyDescent="0.25">
      <c r="B12" s="98" t="s">
        <v>108</v>
      </c>
      <c r="C12" s="223"/>
    </row>
    <row r="13" spans="2:8" ht="4.5" customHeight="1" thickBot="1" x14ac:dyDescent="0.3">
      <c r="B13" s="98"/>
      <c r="C13" s="223"/>
    </row>
    <row r="14" spans="2:8" ht="15.6" thickBot="1" x14ac:dyDescent="0.3">
      <c r="B14" s="132" t="s">
        <v>120</v>
      </c>
      <c r="C14" s="222">
        <v>1</v>
      </c>
      <c r="D14" s="126" t="b">
        <f>IF(C14="a", 1,IF(C14="b", 2, IF(C14="c",3,IF(C14="d",0))))</f>
        <v>0</v>
      </c>
      <c r="H14" s="120"/>
    </row>
    <row r="15" spans="2:8" ht="15.6" x14ac:dyDescent="0.25">
      <c r="B15" s="98" t="s">
        <v>109</v>
      </c>
      <c r="C15" s="223"/>
      <c r="H15" s="120"/>
    </row>
    <row r="16" spans="2:8" ht="15.6" x14ac:dyDescent="0.25">
      <c r="B16" s="98" t="s">
        <v>110</v>
      </c>
      <c r="C16" s="223"/>
      <c r="H16" s="120"/>
    </row>
    <row r="17" spans="2:6" ht="26.4" x14ac:dyDescent="0.25">
      <c r="B17" s="98" t="s">
        <v>111</v>
      </c>
      <c r="C17" s="223"/>
    </row>
    <row r="18" spans="2:6" ht="4.5" customHeight="1" thickBot="1" x14ac:dyDescent="0.3">
      <c r="B18" s="98"/>
      <c r="C18" s="223"/>
    </row>
    <row r="19" spans="2:6" ht="16.2" thickBot="1" x14ac:dyDescent="0.35">
      <c r="B19" s="132" t="s">
        <v>121</v>
      </c>
      <c r="C19" s="220">
        <v>1</v>
      </c>
      <c r="D19" s="126" t="b">
        <f>IF(C19="a", 1,IF(C19="b", 2, IF(C19="c",3,IF(C19="d",0))))</f>
        <v>0</v>
      </c>
      <c r="F19" s="130">
        <v>1</v>
      </c>
    </row>
    <row r="20" spans="2:6" ht="15.6" x14ac:dyDescent="0.3">
      <c r="B20" s="98" t="s">
        <v>103</v>
      </c>
      <c r="C20" s="221"/>
      <c r="F20" s="130">
        <v>2</v>
      </c>
    </row>
    <row r="21" spans="2:6" ht="15.6" x14ac:dyDescent="0.3">
      <c r="B21" s="98" t="s">
        <v>105</v>
      </c>
      <c r="C21" s="219"/>
      <c r="F21" s="130">
        <v>3</v>
      </c>
    </row>
    <row r="22" spans="2:6" ht="26.4" x14ac:dyDescent="0.3">
      <c r="B22" s="98" t="s">
        <v>104</v>
      </c>
      <c r="C22" s="221"/>
      <c r="F22" s="126">
        <v>4</v>
      </c>
    </row>
    <row r="23" spans="2:6" ht="5.25" customHeight="1" thickBot="1" x14ac:dyDescent="0.35">
      <c r="B23" s="98"/>
      <c r="C23" s="221"/>
    </row>
    <row r="24" spans="2:6" ht="18" customHeight="1" thickBot="1" x14ac:dyDescent="0.3">
      <c r="B24" s="132" t="s">
        <v>122</v>
      </c>
      <c r="C24" s="222">
        <v>2</v>
      </c>
      <c r="D24" s="126" t="b">
        <f>IF(C24="a", 1,IF(C24="b", 2, IF(C24="c",3,IF(C24="d",0))))</f>
        <v>0</v>
      </c>
    </row>
    <row r="25" spans="2:6" s="21" customFormat="1" x14ac:dyDescent="0.25">
      <c r="B25" s="98" t="s">
        <v>117</v>
      </c>
      <c r="C25" s="135"/>
      <c r="D25" s="136"/>
      <c r="F25" s="136"/>
    </row>
    <row r="26" spans="2:6" s="21" customFormat="1" x14ac:dyDescent="0.25">
      <c r="B26" s="98" t="s">
        <v>112</v>
      </c>
      <c r="C26" s="135"/>
      <c r="D26" s="136"/>
      <c r="F26" s="136"/>
    </row>
    <row r="27" spans="2:6" s="21" customFormat="1" ht="26.4" x14ac:dyDescent="0.25">
      <c r="B27" s="98" t="s">
        <v>113</v>
      </c>
      <c r="C27" s="135"/>
      <c r="D27" s="136"/>
      <c r="F27" s="136"/>
    </row>
    <row r="28" spans="2:6" s="21" customFormat="1" ht="5.25" customHeight="1" thickBot="1" x14ac:dyDescent="0.3">
      <c r="B28" s="98"/>
      <c r="C28" s="135"/>
      <c r="D28" s="136"/>
      <c r="F28" s="136"/>
    </row>
    <row r="29" spans="2:6" ht="15.6" thickBot="1" x14ac:dyDescent="0.3">
      <c r="B29" s="132" t="s">
        <v>123</v>
      </c>
      <c r="C29" s="222">
        <v>1</v>
      </c>
      <c r="D29" s="126" t="b">
        <f>IF(C29="a", 1,IF(C29="b", 2, IF(C29="c",3,IF(C29="d",0))))</f>
        <v>0</v>
      </c>
    </row>
    <row r="30" spans="2:6" s="21" customFormat="1" x14ac:dyDescent="0.25">
      <c r="B30" s="98" t="s">
        <v>116</v>
      </c>
      <c r="C30" s="135"/>
      <c r="D30" s="136"/>
      <c r="F30" s="136"/>
    </row>
    <row r="31" spans="2:6" s="21" customFormat="1" x14ac:dyDescent="0.25">
      <c r="B31" s="98" t="s">
        <v>114</v>
      </c>
      <c r="C31" s="135"/>
      <c r="D31" s="136"/>
      <c r="F31" s="136"/>
    </row>
    <row r="32" spans="2:6" s="21" customFormat="1" x14ac:dyDescent="0.25">
      <c r="B32" s="98" t="s">
        <v>115</v>
      </c>
      <c r="C32" s="135"/>
      <c r="D32" s="136"/>
      <c r="F32" s="136"/>
    </row>
    <row r="33" spans="2:6" s="21" customFormat="1" ht="3.75" customHeight="1" thickBot="1" x14ac:dyDescent="0.3">
      <c r="B33" s="98"/>
      <c r="C33" s="135"/>
      <c r="D33" s="136"/>
      <c r="F33" s="136"/>
    </row>
    <row r="34" spans="2:6" ht="15.6" thickBot="1" x14ac:dyDescent="0.3">
      <c r="B34" s="132" t="s">
        <v>127</v>
      </c>
      <c r="C34" s="224">
        <v>56</v>
      </c>
    </row>
    <row r="35" spans="2:6" ht="4.5" customHeight="1" thickBot="1" x14ac:dyDescent="0.3">
      <c r="B35" s="98"/>
      <c r="C35" s="21"/>
    </row>
    <row r="36" spans="2:6" ht="15.6" thickBot="1" x14ac:dyDescent="0.3">
      <c r="B36" s="132" t="s">
        <v>128</v>
      </c>
      <c r="C36" s="225">
        <v>260000</v>
      </c>
      <c r="D36" s="140" t="s">
        <v>46</v>
      </c>
    </row>
    <row r="37" spans="2:6" ht="3.75" customHeight="1" thickBot="1" x14ac:dyDescent="0.3">
      <c r="B37" s="98"/>
      <c r="C37" s="226"/>
    </row>
    <row r="38" spans="2:6" ht="15.6" thickBot="1" x14ac:dyDescent="0.3">
      <c r="B38" s="132" t="s">
        <v>124</v>
      </c>
      <c r="C38" s="227">
        <v>17600</v>
      </c>
      <c r="D38" s="140" t="s">
        <v>46</v>
      </c>
    </row>
    <row r="39" spans="2:6" ht="4.5" customHeight="1" x14ac:dyDescent="0.25">
      <c r="C39" s="25"/>
    </row>
    <row r="40" spans="2:6" ht="6" customHeight="1" x14ac:dyDescent="0.25">
      <c r="B40" s="229"/>
      <c r="C40" s="26"/>
    </row>
    <row r="41" spans="2:6" x14ac:dyDescent="0.25">
      <c r="D41" s="20"/>
      <c r="F41" s="20"/>
    </row>
    <row r="42" spans="2:6" ht="3.75" customHeight="1" x14ac:dyDescent="0.25">
      <c r="D42" s="20"/>
      <c r="F42" s="20"/>
    </row>
    <row r="43" spans="2:6" x14ac:dyDescent="0.25">
      <c r="D43" s="20"/>
      <c r="F43" s="20"/>
    </row>
    <row r="44" spans="2:6" ht="3.75" customHeight="1" x14ac:dyDescent="0.25">
      <c r="D44" s="20"/>
      <c r="F44" s="20"/>
    </row>
    <row r="45" spans="2:6" x14ac:dyDescent="0.25">
      <c r="D45" s="20"/>
      <c r="F45" s="20"/>
    </row>
    <row r="46" spans="2:6" ht="6" customHeight="1" x14ac:dyDescent="0.25">
      <c r="D46" s="20"/>
      <c r="F46" s="20"/>
    </row>
    <row r="47" spans="2:6" x14ac:dyDescent="0.25">
      <c r="D47" s="20"/>
      <c r="F47" s="20"/>
    </row>
    <row r="48" spans="2:6" ht="6.75" customHeight="1" x14ac:dyDescent="0.25">
      <c r="D48" s="20"/>
      <c r="F48" s="20"/>
    </row>
    <row r="49" spans="4:6" x14ac:dyDescent="0.25">
      <c r="D49" s="20"/>
      <c r="F49" s="20"/>
    </row>
    <row r="50" spans="4:6" ht="4.5" customHeight="1" x14ac:dyDescent="0.25">
      <c r="D50" s="20"/>
      <c r="F50" s="20"/>
    </row>
    <row r="51" spans="4:6" x14ac:dyDescent="0.25">
      <c r="D51" s="20"/>
      <c r="F51" s="20"/>
    </row>
    <row r="52" spans="4:6" ht="4.5" customHeight="1"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row r="79" spans="4:6" x14ac:dyDescent="0.25">
      <c r="D79" s="20"/>
      <c r="F79" s="20"/>
    </row>
    <row r="80" spans="4:6" x14ac:dyDescent="0.25">
      <c r="D80" s="20"/>
      <c r="F80" s="20"/>
    </row>
    <row r="81" spans="4:6" x14ac:dyDescent="0.25">
      <c r="D81" s="20"/>
      <c r="F81" s="20"/>
    </row>
    <row r="82" spans="4:6" x14ac:dyDescent="0.25">
      <c r="D82" s="20"/>
      <c r="F82" s="20"/>
    </row>
    <row r="83" spans="4:6" x14ac:dyDescent="0.25">
      <c r="D83" s="20"/>
      <c r="F83" s="20"/>
    </row>
    <row r="84" spans="4:6" x14ac:dyDescent="0.25">
      <c r="D84" s="20"/>
      <c r="F84" s="20"/>
    </row>
    <row r="85" spans="4:6" x14ac:dyDescent="0.25">
      <c r="D85" s="20"/>
      <c r="F85" s="20"/>
    </row>
    <row r="86" spans="4:6" x14ac:dyDescent="0.25">
      <c r="D86" s="20"/>
      <c r="F86" s="20"/>
    </row>
    <row r="87" spans="4:6" x14ac:dyDescent="0.25">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Havlíček Jan</cp:lastModifiedBy>
  <cp:lastPrinted>2002-07-05T18:28:57Z</cp:lastPrinted>
  <dcterms:created xsi:type="dcterms:W3CDTF">2001-11-07T18:11:26Z</dcterms:created>
  <dcterms:modified xsi:type="dcterms:W3CDTF">2023-09-10T15:16:01Z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