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6"/>
  </bookViews>
  <sheets>
    <sheet name="1001" sheetId="6" r:id="rId1"/>
    <sheet name="1101" sheetId="1060" r:id="rId2"/>
    <sheet name="1201" sheetId="6324" r:id="rId3"/>
    <sheet name="0102" sheetId="6325" r:id="rId4"/>
    <sheet name="0202" sheetId="6326" r:id="rId5"/>
    <sheet name="0302" sheetId="6327" r:id="rId6"/>
    <sheet name="0402" sheetId="6329" r:id="rId7"/>
    <sheet name="0502" sheetId="6330" r:id="rId8"/>
    <sheet name="Summary" sheetId="6328" r:id="rId9"/>
  </sheets>
  <definedNames>
    <definedName name="_xlnm.Print_Area" localSheetId="3">'0102'!$A$1:$K$30</definedName>
    <definedName name="_xlnm.Print_Area" localSheetId="4">'0202'!$A$1:$K$53</definedName>
    <definedName name="_xlnm.Print_Area" localSheetId="0">'1001'!$A$1:$J$28</definedName>
    <definedName name="_xlnm.Print_Area" localSheetId="8">Summary!$A$1:$G$63</definedName>
  </definedNames>
  <calcPr calcId="92512"/>
</workbook>
</file>

<file path=xl/calcChain.xml><?xml version="1.0" encoding="utf-8"?>
<calcChain xmlns="http://schemas.openxmlformats.org/spreadsheetml/2006/main">
  <c r="E11" i="6325" l="1"/>
  <c r="F11" i="6325"/>
  <c r="G11" i="6325"/>
  <c r="H11" i="6325"/>
  <c r="I11" i="6325"/>
  <c r="J11" i="6325"/>
  <c r="K11" i="6325"/>
  <c r="AJ11" i="6325"/>
  <c r="AK11" i="6325"/>
  <c r="AL11" i="6325"/>
  <c r="AM11" i="6325"/>
  <c r="AN11" i="6325"/>
  <c r="AO11" i="6325"/>
  <c r="AP11" i="6325"/>
  <c r="AQ11" i="6325"/>
  <c r="AR11" i="6325"/>
  <c r="AS11" i="6325"/>
  <c r="AT11" i="6325"/>
  <c r="AU11" i="6325"/>
  <c r="AV11" i="6325"/>
  <c r="E12" i="6325"/>
  <c r="F12" i="6325"/>
  <c r="G12" i="6325"/>
  <c r="H12" i="6325"/>
  <c r="I12" i="6325"/>
  <c r="J12" i="6325"/>
  <c r="K12" i="6325"/>
  <c r="AJ12" i="6325"/>
  <c r="AK12" i="6325"/>
  <c r="AL12" i="6325"/>
  <c r="AM12" i="6325"/>
  <c r="AN12" i="6325"/>
  <c r="AO12" i="6325"/>
  <c r="AP12" i="6325"/>
  <c r="AQ12" i="6325"/>
  <c r="AR12" i="6325"/>
  <c r="AS12" i="6325"/>
  <c r="AT12" i="6325"/>
  <c r="AU12" i="6325"/>
  <c r="AV12" i="6325"/>
  <c r="E13" i="6325"/>
  <c r="F13" i="6325"/>
  <c r="G13" i="6325"/>
  <c r="H13" i="6325"/>
  <c r="I13" i="6325"/>
  <c r="J13" i="6325"/>
  <c r="K13" i="6325"/>
  <c r="AJ13" i="6325"/>
  <c r="AK13" i="6325"/>
  <c r="AL13" i="6325"/>
  <c r="AM13" i="6325"/>
  <c r="AN13" i="6325"/>
  <c r="AO13" i="6325"/>
  <c r="AP13" i="6325"/>
  <c r="AQ13" i="6325"/>
  <c r="AR13" i="6325"/>
  <c r="AS13" i="6325"/>
  <c r="AT13" i="6325"/>
  <c r="AU13" i="6325"/>
  <c r="AV13" i="6325"/>
  <c r="E14" i="6325"/>
  <c r="F14" i="6325"/>
  <c r="G14" i="6325"/>
  <c r="H14" i="6325"/>
  <c r="I14" i="6325"/>
  <c r="J14" i="6325"/>
  <c r="K14" i="6325"/>
  <c r="AJ14" i="6325"/>
  <c r="AK14" i="6325"/>
  <c r="AL14" i="6325"/>
  <c r="AM14" i="6325"/>
  <c r="AN14" i="6325"/>
  <c r="AO14" i="6325"/>
  <c r="AP14" i="6325"/>
  <c r="AQ14" i="6325"/>
  <c r="AR14" i="6325"/>
  <c r="AS14" i="6325"/>
  <c r="AT14" i="6325"/>
  <c r="AU14" i="6325"/>
  <c r="AV14" i="6325"/>
  <c r="E15" i="6325"/>
  <c r="F15" i="6325"/>
  <c r="G15" i="6325"/>
  <c r="H15" i="6325"/>
  <c r="I15" i="6325"/>
  <c r="J15" i="6325"/>
  <c r="K15" i="6325"/>
  <c r="AJ15" i="6325"/>
  <c r="AK15" i="6325"/>
  <c r="AL15" i="6325"/>
  <c r="AM15" i="6325"/>
  <c r="AN15" i="6325"/>
  <c r="AO15" i="6325"/>
  <c r="AP15" i="6325"/>
  <c r="AQ15" i="6325"/>
  <c r="AR15" i="6325"/>
  <c r="AS15" i="6325"/>
  <c r="AT15" i="6325"/>
  <c r="AU15" i="6325"/>
  <c r="AV15" i="6325"/>
  <c r="E16" i="6325"/>
  <c r="F16" i="6325"/>
  <c r="G16" i="6325"/>
  <c r="H16" i="6325"/>
  <c r="I16" i="6325"/>
  <c r="J16" i="6325"/>
  <c r="K16" i="6325"/>
  <c r="AJ16" i="6325"/>
  <c r="AK16" i="6325"/>
  <c r="AL16" i="6325"/>
  <c r="AM16" i="6325"/>
  <c r="AN16" i="6325"/>
  <c r="AO16" i="6325"/>
  <c r="AP16" i="6325"/>
  <c r="AQ16" i="6325"/>
  <c r="AR16" i="6325"/>
  <c r="AS16" i="6325"/>
  <c r="AT16" i="6325"/>
  <c r="AU16" i="6325"/>
  <c r="AV16" i="6325"/>
  <c r="E17" i="6325"/>
  <c r="F17" i="6325"/>
  <c r="G17" i="6325"/>
  <c r="H17" i="6325"/>
  <c r="I17" i="6325"/>
  <c r="J17" i="6325"/>
  <c r="K17" i="6325"/>
  <c r="AJ17" i="6325"/>
  <c r="AK17" i="6325"/>
  <c r="AL17" i="6325"/>
  <c r="AM17" i="6325"/>
  <c r="AN17" i="6325"/>
  <c r="AO17" i="6325"/>
  <c r="AP17" i="6325"/>
  <c r="AQ17" i="6325"/>
  <c r="AR17" i="6325"/>
  <c r="AS17" i="6325"/>
  <c r="AT17" i="6325"/>
  <c r="AU17" i="6325"/>
  <c r="AV17" i="6325"/>
  <c r="E18" i="6325"/>
  <c r="F18" i="6325"/>
  <c r="G18" i="6325"/>
  <c r="H18" i="6325"/>
  <c r="I18" i="6325"/>
  <c r="J18" i="6325"/>
  <c r="K18" i="6325"/>
  <c r="AJ18" i="6325"/>
  <c r="AK18" i="6325"/>
  <c r="AL18" i="6325"/>
  <c r="AM18" i="6325"/>
  <c r="AN18" i="6325"/>
  <c r="AO18" i="6325"/>
  <c r="AP18" i="6325"/>
  <c r="AQ18" i="6325"/>
  <c r="AR18" i="6325"/>
  <c r="AS18" i="6325"/>
  <c r="AT18" i="6325"/>
  <c r="AU18" i="6325"/>
  <c r="AV18" i="6325"/>
  <c r="E19" i="6325"/>
  <c r="F19" i="6325"/>
  <c r="G19" i="6325"/>
  <c r="H19" i="6325"/>
  <c r="I19" i="6325"/>
  <c r="J19" i="6325"/>
  <c r="K19" i="6325"/>
  <c r="AJ19" i="6325"/>
  <c r="AK19" i="6325"/>
  <c r="AL19" i="6325"/>
  <c r="AM19" i="6325"/>
  <c r="AN19" i="6325"/>
  <c r="AO19" i="6325"/>
  <c r="AP19" i="6325"/>
  <c r="AQ19" i="6325"/>
  <c r="AR19" i="6325"/>
  <c r="AS19" i="6325"/>
  <c r="AT19" i="6325"/>
  <c r="AU19" i="6325"/>
  <c r="AV19" i="6325"/>
  <c r="E20" i="6325"/>
  <c r="F20" i="6325"/>
  <c r="G20" i="6325"/>
  <c r="H20" i="6325"/>
  <c r="I20" i="6325"/>
  <c r="J20" i="6325"/>
  <c r="K20" i="6325"/>
  <c r="AJ20" i="6325"/>
  <c r="AK20" i="6325"/>
  <c r="AL20" i="6325"/>
  <c r="AM20" i="6325"/>
  <c r="AN20" i="6325"/>
  <c r="AO20" i="6325"/>
  <c r="AP20" i="6325"/>
  <c r="AQ20" i="6325"/>
  <c r="AR20" i="6325"/>
  <c r="AS20" i="6325"/>
  <c r="AT20" i="6325"/>
  <c r="AU20" i="6325"/>
  <c r="AV20" i="6325"/>
  <c r="E21" i="6325"/>
  <c r="F21" i="6325"/>
  <c r="G21" i="6325"/>
  <c r="H21" i="6325"/>
  <c r="I21" i="6325"/>
  <c r="J21" i="6325"/>
  <c r="K21" i="6325"/>
  <c r="AJ21" i="6325"/>
  <c r="E22" i="6325"/>
  <c r="F22" i="6325"/>
  <c r="G22" i="6325"/>
  <c r="E23" i="6325"/>
  <c r="F23" i="6325"/>
  <c r="G23" i="6325"/>
  <c r="H23" i="6325"/>
  <c r="I23" i="6325"/>
  <c r="J23" i="6325"/>
  <c r="K23" i="6325"/>
  <c r="E24" i="6325"/>
  <c r="F24" i="6325"/>
  <c r="G24" i="6325"/>
  <c r="H24" i="6325"/>
  <c r="I24" i="6325"/>
  <c r="J24" i="6325"/>
  <c r="K24" i="6325"/>
  <c r="I32" i="6325"/>
  <c r="I33" i="6325"/>
  <c r="I34" i="6325"/>
  <c r="I35" i="6325"/>
  <c r="I36" i="6325"/>
  <c r="I37" i="6325"/>
  <c r="I38" i="6325"/>
  <c r="I39" i="6325"/>
  <c r="I40" i="6325"/>
  <c r="I41" i="6325"/>
  <c r="G11" i="6326"/>
  <c r="H11" i="6326"/>
  <c r="I11" i="6326"/>
  <c r="J11" i="6326"/>
  <c r="K11" i="6326"/>
  <c r="G12" i="6326"/>
  <c r="H12" i="6326"/>
  <c r="I12" i="6326"/>
  <c r="J12" i="6326"/>
  <c r="K12" i="6326"/>
  <c r="G13" i="6326"/>
  <c r="H13" i="6326"/>
  <c r="I13" i="6326"/>
  <c r="J13" i="6326"/>
  <c r="K13" i="6326"/>
  <c r="G14" i="6326"/>
  <c r="H14" i="6326"/>
  <c r="I14" i="6326"/>
  <c r="J14" i="6326"/>
  <c r="K14" i="6326"/>
  <c r="G15" i="6326"/>
  <c r="H15" i="6326"/>
  <c r="I15" i="6326"/>
  <c r="J15" i="6326"/>
  <c r="K15" i="6326"/>
  <c r="G16" i="6326"/>
  <c r="H16" i="6326"/>
  <c r="I16" i="6326"/>
  <c r="J16" i="6326"/>
  <c r="K16" i="6326"/>
  <c r="G17" i="6326"/>
  <c r="H17" i="6326"/>
  <c r="I17" i="6326"/>
  <c r="J17" i="6326"/>
  <c r="K17" i="6326"/>
  <c r="E18" i="6326"/>
  <c r="F18" i="6326"/>
  <c r="G18" i="6326"/>
  <c r="H18" i="6326"/>
  <c r="I18" i="6326"/>
  <c r="J18" i="6326"/>
  <c r="K18" i="6326"/>
  <c r="G19" i="6326"/>
  <c r="H19" i="6326"/>
  <c r="I19" i="6326"/>
  <c r="J19" i="6326"/>
  <c r="K19" i="6326"/>
  <c r="G20" i="6326"/>
  <c r="H20" i="6326"/>
  <c r="I20" i="6326"/>
  <c r="J20" i="6326"/>
  <c r="K20" i="6326"/>
  <c r="E21" i="6326"/>
  <c r="F21" i="6326"/>
  <c r="G21" i="6326"/>
  <c r="H21" i="6326"/>
  <c r="I21" i="6326"/>
  <c r="J21" i="6326"/>
  <c r="K21" i="6326"/>
  <c r="E22" i="6326"/>
  <c r="F22" i="6326"/>
  <c r="G22" i="6326"/>
  <c r="E23" i="6326"/>
  <c r="F23" i="6326"/>
  <c r="G23" i="6326"/>
  <c r="H23" i="6326"/>
  <c r="I23" i="6326"/>
  <c r="K23" i="6326"/>
  <c r="E24" i="6326"/>
  <c r="F24" i="6326"/>
  <c r="G24" i="6326"/>
  <c r="H24" i="6326"/>
  <c r="I24" i="6326"/>
  <c r="J24" i="6326"/>
  <c r="K24" i="6326"/>
  <c r="I33" i="6326"/>
  <c r="I34" i="6326"/>
  <c r="I35" i="6326"/>
  <c r="I36" i="6326"/>
  <c r="I37" i="6326"/>
  <c r="I38" i="6326"/>
  <c r="I39" i="6326"/>
  <c r="I40" i="6326"/>
  <c r="I41" i="6326"/>
  <c r="I42" i="6326"/>
  <c r="E11" i="6327"/>
  <c r="F11" i="6327"/>
  <c r="G11" i="6327"/>
  <c r="H11" i="6327"/>
  <c r="I11" i="6327"/>
  <c r="J11" i="6327"/>
  <c r="K11" i="6327"/>
  <c r="E12" i="6327"/>
  <c r="F12" i="6327"/>
  <c r="G12" i="6327"/>
  <c r="H12" i="6327"/>
  <c r="I12" i="6327"/>
  <c r="J12" i="6327"/>
  <c r="K12" i="6327"/>
  <c r="E13" i="6327"/>
  <c r="F13" i="6327"/>
  <c r="G13" i="6327"/>
  <c r="H13" i="6327"/>
  <c r="I13" i="6327"/>
  <c r="J13" i="6327"/>
  <c r="K13" i="6327"/>
  <c r="E14" i="6327"/>
  <c r="F14" i="6327"/>
  <c r="G14" i="6327"/>
  <c r="H14" i="6327"/>
  <c r="I14" i="6327"/>
  <c r="J14" i="6327"/>
  <c r="K14" i="6327"/>
  <c r="E15" i="6327"/>
  <c r="F15" i="6327"/>
  <c r="G15" i="6327"/>
  <c r="H15" i="6327"/>
  <c r="I15" i="6327"/>
  <c r="J15" i="6327"/>
  <c r="K15" i="6327"/>
  <c r="E16" i="6327"/>
  <c r="F16" i="6327"/>
  <c r="G16" i="6327"/>
  <c r="H16" i="6327"/>
  <c r="I16" i="6327"/>
  <c r="J16" i="6327"/>
  <c r="K16" i="6327"/>
  <c r="E17" i="6327"/>
  <c r="F17" i="6327"/>
  <c r="G17" i="6327"/>
  <c r="H17" i="6327"/>
  <c r="I17" i="6327"/>
  <c r="J17" i="6327"/>
  <c r="K17" i="6327"/>
  <c r="E18" i="6327"/>
  <c r="F18" i="6327"/>
  <c r="G18" i="6327"/>
  <c r="H18" i="6327"/>
  <c r="I18" i="6327"/>
  <c r="J18" i="6327"/>
  <c r="K18" i="6327"/>
  <c r="R18" i="6327"/>
  <c r="S18" i="6327"/>
  <c r="T18" i="6327"/>
  <c r="U18" i="6327"/>
  <c r="E19" i="6327"/>
  <c r="F19" i="6327"/>
  <c r="G19" i="6327"/>
  <c r="H19" i="6327"/>
  <c r="I19" i="6327"/>
  <c r="J19" i="6327"/>
  <c r="K19" i="6327"/>
  <c r="R19" i="6327"/>
  <c r="S19" i="6327"/>
  <c r="T19" i="6327"/>
  <c r="U19" i="6327"/>
  <c r="E20" i="6327"/>
  <c r="F20" i="6327"/>
  <c r="G20" i="6327"/>
  <c r="H20" i="6327"/>
  <c r="I20" i="6327"/>
  <c r="J20" i="6327"/>
  <c r="K20" i="6327"/>
  <c r="E21" i="6327"/>
  <c r="F21" i="6327"/>
  <c r="G21" i="6327"/>
  <c r="H21" i="6327"/>
  <c r="I21" i="6327"/>
  <c r="J21" i="6327"/>
  <c r="K21" i="6327"/>
  <c r="E22" i="6327"/>
  <c r="F22" i="6327"/>
  <c r="G22" i="6327"/>
  <c r="E23" i="6327"/>
  <c r="F23" i="6327"/>
  <c r="G23" i="6327"/>
  <c r="K23" i="6327"/>
  <c r="E24" i="6327"/>
  <c r="F24" i="6327"/>
  <c r="G24" i="6327"/>
  <c r="H24" i="6327"/>
  <c r="I24" i="6327"/>
  <c r="J24" i="6327"/>
  <c r="K24" i="6327"/>
  <c r="I33" i="6327"/>
  <c r="I34" i="6327"/>
  <c r="I35" i="6327"/>
  <c r="I36" i="6327"/>
  <c r="I37" i="6327"/>
  <c r="I38" i="6327"/>
  <c r="I39" i="6327"/>
  <c r="I40" i="6327"/>
  <c r="I41" i="6327"/>
  <c r="I42" i="6327"/>
  <c r="F52" i="6327"/>
  <c r="C55" i="6327"/>
  <c r="E11" i="6329"/>
  <c r="F11" i="6329"/>
  <c r="G11" i="6329"/>
  <c r="H11" i="6329"/>
  <c r="I11" i="6329"/>
  <c r="J11" i="6329"/>
  <c r="K11" i="6329"/>
  <c r="E12" i="6329"/>
  <c r="F12" i="6329"/>
  <c r="G12" i="6329"/>
  <c r="H12" i="6329"/>
  <c r="I12" i="6329"/>
  <c r="J12" i="6329"/>
  <c r="K12" i="6329"/>
  <c r="E13" i="6329"/>
  <c r="F13" i="6329"/>
  <c r="G13" i="6329"/>
  <c r="H13" i="6329"/>
  <c r="I13" i="6329"/>
  <c r="J13" i="6329"/>
  <c r="K13" i="6329"/>
  <c r="E14" i="6329"/>
  <c r="F14" i="6329"/>
  <c r="G14" i="6329"/>
  <c r="H14" i="6329"/>
  <c r="I14" i="6329"/>
  <c r="J14" i="6329"/>
  <c r="K14" i="6329"/>
  <c r="E15" i="6329"/>
  <c r="F15" i="6329"/>
  <c r="G15" i="6329"/>
  <c r="H15" i="6329"/>
  <c r="I15" i="6329"/>
  <c r="J15" i="6329"/>
  <c r="K15" i="6329"/>
  <c r="E16" i="6329"/>
  <c r="F16" i="6329"/>
  <c r="G16" i="6329"/>
  <c r="H16" i="6329"/>
  <c r="I16" i="6329"/>
  <c r="J16" i="6329"/>
  <c r="K16" i="6329"/>
  <c r="E17" i="6329"/>
  <c r="F17" i="6329"/>
  <c r="G17" i="6329"/>
  <c r="H17" i="6329"/>
  <c r="I17" i="6329"/>
  <c r="J17" i="6329"/>
  <c r="K17" i="6329"/>
  <c r="E18" i="6329"/>
  <c r="F18" i="6329"/>
  <c r="G18" i="6329"/>
  <c r="H18" i="6329"/>
  <c r="I18" i="6329"/>
  <c r="J18" i="6329"/>
  <c r="K18" i="6329"/>
  <c r="E19" i="6329"/>
  <c r="F19" i="6329"/>
  <c r="G19" i="6329"/>
  <c r="H19" i="6329"/>
  <c r="I19" i="6329"/>
  <c r="J19" i="6329"/>
  <c r="K19" i="6329"/>
  <c r="E20" i="6329"/>
  <c r="F20" i="6329"/>
  <c r="G20" i="6329"/>
  <c r="H20" i="6329"/>
  <c r="I20" i="6329"/>
  <c r="J20" i="6329"/>
  <c r="K20" i="6329"/>
  <c r="E21" i="6329"/>
  <c r="F21" i="6329"/>
  <c r="G21" i="6329"/>
  <c r="H21" i="6329"/>
  <c r="I21" i="6329"/>
  <c r="J21" i="6329"/>
  <c r="K21" i="6329"/>
  <c r="E22" i="6329"/>
  <c r="F22" i="6329"/>
  <c r="G22" i="6329"/>
  <c r="E23" i="6329"/>
  <c r="F23" i="6329"/>
  <c r="G23" i="6329"/>
  <c r="K23" i="6329"/>
  <c r="E24" i="6329"/>
  <c r="F24" i="6329"/>
  <c r="G24" i="6329"/>
  <c r="H24" i="6329"/>
  <c r="I24" i="6329"/>
  <c r="J24" i="6329"/>
  <c r="K24" i="6329"/>
  <c r="I33" i="6329"/>
  <c r="I34" i="6329"/>
  <c r="I35" i="6329"/>
  <c r="I36" i="6329"/>
  <c r="I37" i="6329"/>
  <c r="I38" i="6329"/>
  <c r="I39" i="6329"/>
  <c r="I40" i="6329"/>
  <c r="I41" i="6329"/>
  <c r="I42" i="6329"/>
  <c r="F47" i="6329"/>
  <c r="E11" i="6330"/>
  <c r="F11" i="6330"/>
  <c r="G11" i="6330"/>
  <c r="H11" i="6330"/>
  <c r="I11" i="6330"/>
  <c r="J11" i="6330"/>
  <c r="K11" i="6330"/>
  <c r="X11" i="6330"/>
  <c r="Y11" i="6330"/>
  <c r="E12" i="6330"/>
  <c r="F12" i="6330"/>
  <c r="G12" i="6330"/>
  <c r="H12" i="6330"/>
  <c r="I12" i="6330"/>
  <c r="J12" i="6330"/>
  <c r="K12" i="6330"/>
  <c r="X12" i="6330"/>
  <c r="Y12" i="6330"/>
  <c r="E13" i="6330"/>
  <c r="F13" i="6330"/>
  <c r="G13" i="6330"/>
  <c r="H13" i="6330"/>
  <c r="I13" i="6330"/>
  <c r="J13" i="6330"/>
  <c r="K13" i="6330"/>
  <c r="X13" i="6330"/>
  <c r="Y13" i="6330"/>
  <c r="E14" i="6330"/>
  <c r="F14" i="6330"/>
  <c r="G14" i="6330"/>
  <c r="H14" i="6330"/>
  <c r="I14" i="6330"/>
  <c r="J14" i="6330"/>
  <c r="K14" i="6330"/>
  <c r="X14" i="6330"/>
  <c r="Y14" i="6330"/>
  <c r="E15" i="6330"/>
  <c r="F15" i="6330"/>
  <c r="G15" i="6330"/>
  <c r="H15" i="6330"/>
  <c r="I15" i="6330"/>
  <c r="J15" i="6330"/>
  <c r="K15" i="6330"/>
  <c r="X15" i="6330"/>
  <c r="Y15" i="6330"/>
  <c r="E16" i="6330"/>
  <c r="F16" i="6330"/>
  <c r="G16" i="6330"/>
  <c r="H16" i="6330"/>
  <c r="I16" i="6330"/>
  <c r="J16" i="6330"/>
  <c r="K16" i="6330"/>
  <c r="X16" i="6330"/>
  <c r="Y16" i="6330"/>
  <c r="E17" i="6330"/>
  <c r="F17" i="6330"/>
  <c r="G17" i="6330"/>
  <c r="H17" i="6330"/>
  <c r="I17" i="6330"/>
  <c r="J17" i="6330"/>
  <c r="K17" i="6330"/>
  <c r="X17" i="6330"/>
  <c r="Y17" i="6330"/>
  <c r="E18" i="6330"/>
  <c r="F18" i="6330"/>
  <c r="G18" i="6330"/>
  <c r="H18" i="6330"/>
  <c r="I18" i="6330"/>
  <c r="J18" i="6330"/>
  <c r="K18" i="6330"/>
  <c r="X18" i="6330"/>
  <c r="Y18" i="6330"/>
  <c r="E19" i="6330"/>
  <c r="F19" i="6330"/>
  <c r="G19" i="6330"/>
  <c r="H19" i="6330"/>
  <c r="I19" i="6330"/>
  <c r="J19" i="6330"/>
  <c r="K19" i="6330"/>
  <c r="X19" i="6330"/>
  <c r="Y19" i="6330"/>
  <c r="E20" i="6330"/>
  <c r="F20" i="6330"/>
  <c r="G20" i="6330"/>
  <c r="H20" i="6330"/>
  <c r="I20" i="6330"/>
  <c r="J20" i="6330"/>
  <c r="K20" i="6330"/>
  <c r="X20" i="6330"/>
  <c r="Y20" i="6330"/>
  <c r="E21" i="6330"/>
  <c r="F21" i="6330"/>
  <c r="G21" i="6330"/>
  <c r="H21" i="6330"/>
  <c r="I21" i="6330"/>
  <c r="J21" i="6330"/>
  <c r="K21" i="6330"/>
  <c r="Y21" i="6330"/>
  <c r="E22" i="6330"/>
  <c r="F22" i="6330"/>
  <c r="G22" i="6330"/>
  <c r="E23" i="6330"/>
  <c r="F23" i="6330"/>
  <c r="G23" i="6330"/>
  <c r="K23" i="6330"/>
  <c r="E24" i="6330"/>
  <c r="F24" i="6330"/>
  <c r="G24" i="6330"/>
  <c r="H24" i="6330"/>
  <c r="I24" i="6330"/>
  <c r="J24" i="6330"/>
  <c r="K24" i="6330"/>
  <c r="I33" i="6330"/>
  <c r="I34" i="6330"/>
  <c r="I35" i="6330"/>
  <c r="I36" i="6330"/>
  <c r="I37" i="6330"/>
  <c r="I38" i="6330"/>
  <c r="I39" i="6330"/>
  <c r="I40" i="6330"/>
  <c r="I41" i="6330"/>
  <c r="I42" i="6330"/>
  <c r="F50" i="6330"/>
  <c r="G11" i="6"/>
  <c r="H11" i="6"/>
  <c r="J11" i="6"/>
  <c r="G12" i="6"/>
  <c r="H12" i="6"/>
  <c r="J12" i="6"/>
  <c r="G13" i="6"/>
  <c r="H13" i="6"/>
  <c r="J13" i="6"/>
  <c r="G14" i="6"/>
  <c r="H14" i="6"/>
  <c r="J14" i="6"/>
  <c r="G15" i="6"/>
  <c r="H15" i="6"/>
  <c r="J15" i="6"/>
  <c r="G16" i="6"/>
  <c r="H16" i="6"/>
  <c r="J16" i="6"/>
  <c r="G17" i="6"/>
  <c r="H17" i="6"/>
  <c r="J17" i="6"/>
  <c r="G18" i="6"/>
  <c r="H18" i="6"/>
  <c r="J18" i="6"/>
  <c r="G19" i="6"/>
  <c r="H19" i="6"/>
  <c r="J19" i="6"/>
  <c r="G20" i="6"/>
  <c r="H20" i="6"/>
  <c r="J20" i="6"/>
  <c r="E21" i="6"/>
  <c r="F21" i="6"/>
  <c r="G21" i="6"/>
  <c r="H21" i="6"/>
  <c r="I21" i="6"/>
  <c r="J21" i="6"/>
  <c r="E22" i="6"/>
  <c r="F22" i="6"/>
  <c r="G22" i="6"/>
  <c r="E23" i="6"/>
  <c r="F23" i="6"/>
  <c r="G23" i="6"/>
  <c r="H23" i="6"/>
  <c r="I23" i="6"/>
  <c r="J23" i="6"/>
  <c r="E24" i="6"/>
  <c r="F24" i="6"/>
  <c r="G24" i="6"/>
  <c r="H24" i="6"/>
  <c r="I24" i="6"/>
  <c r="J24" i="6"/>
  <c r="H40" i="6"/>
  <c r="I40" i="6"/>
  <c r="I41" i="6"/>
  <c r="G11" i="1060"/>
  <c r="H11" i="1060"/>
  <c r="J11" i="1060"/>
  <c r="G12" i="1060"/>
  <c r="H12" i="1060"/>
  <c r="J12" i="1060"/>
  <c r="G13" i="1060"/>
  <c r="H13" i="1060"/>
  <c r="J13" i="1060"/>
  <c r="G14" i="1060"/>
  <c r="H14" i="1060"/>
  <c r="J14" i="1060"/>
  <c r="G15" i="1060"/>
  <c r="H15" i="1060"/>
  <c r="J15" i="1060"/>
  <c r="G16" i="1060"/>
  <c r="H16" i="1060"/>
  <c r="J16" i="1060"/>
  <c r="G17" i="1060"/>
  <c r="H17" i="1060"/>
  <c r="J17" i="1060"/>
  <c r="G18" i="1060"/>
  <c r="H18" i="1060"/>
  <c r="J18" i="1060"/>
  <c r="G19" i="1060"/>
  <c r="H19" i="1060"/>
  <c r="J19" i="1060"/>
  <c r="G20" i="1060"/>
  <c r="H20" i="1060"/>
  <c r="J20" i="1060"/>
  <c r="E21" i="1060"/>
  <c r="F21" i="1060"/>
  <c r="G21" i="1060"/>
  <c r="H21" i="1060"/>
  <c r="I21" i="1060"/>
  <c r="J21" i="1060"/>
  <c r="E22" i="1060"/>
  <c r="F22" i="1060"/>
  <c r="G22" i="1060"/>
  <c r="E23" i="1060"/>
  <c r="F23" i="1060"/>
  <c r="G23" i="1060"/>
  <c r="H23" i="1060"/>
  <c r="I23" i="1060"/>
  <c r="J23" i="1060"/>
  <c r="E24" i="1060"/>
  <c r="F24" i="1060"/>
  <c r="G24" i="1060"/>
  <c r="H24" i="1060"/>
  <c r="I24" i="1060"/>
  <c r="J24" i="1060"/>
  <c r="H33" i="1060"/>
  <c r="H34" i="1060"/>
  <c r="H35" i="1060"/>
  <c r="H36" i="1060"/>
  <c r="H37" i="1060"/>
  <c r="H38" i="1060"/>
  <c r="H39" i="1060"/>
  <c r="H40" i="1060"/>
  <c r="I40" i="1060"/>
  <c r="G11" i="6324"/>
  <c r="H11" i="6324"/>
  <c r="J11" i="6324"/>
  <c r="G12" i="6324"/>
  <c r="H12" i="6324"/>
  <c r="J12" i="6324"/>
  <c r="G13" i="6324"/>
  <c r="H13" i="6324"/>
  <c r="J13" i="6324"/>
  <c r="G14" i="6324"/>
  <c r="H14" i="6324"/>
  <c r="J14" i="6324"/>
  <c r="G15" i="6324"/>
  <c r="H15" i="6324"/>
  <c r="J15" i="6324"/>
  <c r="G16" i="6324"/>
  <c r="H16" i="6324"/>
  <c r="J16" i="6324"/>
  <c r="G17" i="6324"/>
  <c r="H17" i="6324"/>
  <c r="J17" i="6324"/>
  <c r="G18" i="6324"/>
  <c r="H18" i="6324"/>
  <c r="J18" i="6324"/>
  <c r="G19" i="6324"/>
  <c r="H19" i="6324"/>
  <c r="J19" i="6324"/>
  <c r="G20" i="6324"/>
  <c r="H20" i="6324"/>
  <c r="J20" i="6324"/>
  <c r="E21" i="6324"/>
  <c r="F21" i="6324"/>
  <c r="G21" i="6324"/>
  <c r="H21" i="6324"/>
  <c r="I21" i="6324"/>
  <c r="J21" i="6324"/>
  <c r="E22" i="6324"/>
  <c r="F22" i="6324"/>
  <c r="G22" i="6324"/>
  <c r="E23" i="6324"/>
  <c r="F23" i="6324"/>
  <c r="G23" i="6324"/>
  <c r="H23" i="6324"/>
  <c r="I23" i="6324"/>
  <c r="J23" i="6324"/>
  <c r="E24" i="6324"/>
  <c r="F24" i="6324"/>
  <c r="G24" i="6324"/>
  <c r="H24" i="6324"/>
  <c r="I24" i="6324"/>
  <c r="J24" i="6324"/>
  <c r="H33" i="6324"/>
  <c r="H34" i="6324"/>
  <c r="H35" i="6324"/>
  <c r="H36" i="6324"/>
  <c r="H37" i="6324"/>
  <c r="H38" i="6324"/>
  <c r="H39" i="6324"/>
  <c r="H40" i="6324"/>
  <c r="I40" i="6324"/>
  <c r="B5" i="6328"/>
  <c r="C5" i="6328"/>
  <c r="D5" i="6328"/>
  <c r="E5" i="6328"/>
  <c r="F5" i="6328"/>
  <c r="G5" i="6328"/>
  <c r="H5" i="6328"/>
  <c r="I5" i="6328"/>
  <c r="B6" i="6328"/>
  <c r="C6" i="6328"/>
  <c r="D6" i="6328"/>
  <c r="E6" i="6328"/>
  <c r="F6" i="6328"/>
  <c r="G6" i="6328"/>
  <c r="H6" i="6328"/>
  <c r="I6" i="6328"/>
  <c r="B7" i="6328"/>
  <c r="C7" i="6328"/>
  <c r="D7" i="6328"/>
  <c r="E7" i="6328"/>
  <c r="F7" i="6328"/>
  <c r="G7" i="6328"/>
  <c r="H7" i="6328"/>
  <c r="I7" i="6328"/>
  <c r="B8" i="6328"/>
  <c r="C8" i="6328"/>
  <c r="D8" i="6328"/>
  <c r="E8" i="6328"/>
  <c r="F8" i="6328"/>
  <c r="G8" i="6328"/>
  <c r="H8" i="6328"/>
  <c r="I8" i="6328"/>
  <c r="B11" i="6328"/>
  <c r="C11" i="6328"/>
  <c r="D11" i="6328"/>
  <c r="E11" i="6328"/>
  <c r="F11" i="6328"/>
  <c r="G11" i="6328"/>
  <c r="H11" i="6328"/>
  <c r="I11" i="6328"/>
  <c r="B12" i="6328"/>
  <c r="C12" i="6328"/>
  <c r="D12" i="6328"/>
  <c r="E12" i="6328"/>
  <c r="F12" i="6328"/>
  <c r="G12" i="6328"/>
  <c r="H12" i="6328"/>
  <c r="I12" i="6328"/>
  <c r="B15" i="6328"/>
  <c r="C15" i="6328"/>
  <c r="D15" i="6328"/>
  <c r="E15" i="6328"/>
  <c r="F15" i="6328"/>
  <c r="G15" i="6328"/>
  <c r="H15" i="6328"/>
  <c r="I15" i="6328"/>
  <c r="B16" i="6328"/>
  <c r="C16" i="6328"/>
  <c r="D16" i="6328"/>
  <c r="E16" i="6328"/>
  <c r="F16" i="6328"/>
  <c r="G16" i="6328"/>
  <c r="H16" i="6328"/>
  <c r="I16" i="6328"/>
</calcChain>
</file>

<file path=xl/sharedStrings.xml><?xml version="1.0" encoding="utf-8"?>
<sst xmlns="http://schemas.openxmlformats.org/spreadsheetml/2006/main" count="578" uniqueCount="160">
  <si>
    <t>Site</t>
  </si>
  <si>
    <t>Row</t>
  </si>
  <si>
    <t>Pad</t>
  </si>
  <si>
    <t>ReportingMonth</t>
  </si>
  <si>
    <t>kWhGenerated</t>
  </si>
  <si>
    <t>kWhConsumed</t>
  </si>
  <si>
    <t>Net kWh Production</t>
  </si>
  <si>
    <t>Operational Parameters</t>
  </si>
  <si>
    <t xml:space="preserve">Notes: </t>
  </si>
  <si>
    <t>Year To Date</t>
  </si>
  <si>
    <t>Capacity Factor</t>
  </si>
  <si>
    <t>Operating Hrs</t>
  </si>
  <si>
    <t>Executive Summary</t>
  </si>
  <si>
    <t>This interim report was generated to comply with the contractual monthly reporting requirement from the Windsystem, Operations, &amp; Maintenance Agreement.</t>
  </si>
  <si>
    <t>All other required components are provided below.</t>
  </si>
  <si>
    <t xml:space="preserve">The description of outages, safety near miss events, accidents, infrastructure work, and maintenance records are not included in this interim report. </t>
  </si>
  <si>
    <t>Mill Run / Somerset Project Operational Report For October 2001</t>
  </si>
  <si>
    <t>Mill Run</t>
  </si>
  <si>
    <t>1)  Current month availability is based on reads at turbine controller.</t>
  </si>
  <si>
    <r>
      <t>Availability</t>
    </r>
    <r>
      <rPr>
        <b/>
        <vertAlign val="superscript"/>
        <sz val="10"/>
        <rFont val="Arial"/>
        <family val="2"/>
      </rPr>
      <t>1</t>
    </r>
  </si>
  <si>
    <t>Month</t>
  </si>
  <si>
    <r>
      <t>Assumed Line Loss</t>
    </r>
    <r>
      <rPr>
        <vertAlign val="superscript"/>
        <sz val="10"/>
        <rFont val="Arial"/>
        <family val="2"/>
      </rPr>
      <t>2</t>
    </r>
  </si>
  <si>
    <t>2)  The line loss is assumed to be 2% until sufficient data is collected to statistically determine the actual line loss.</t>
  </si>
  <si>
    <t>Project, after line loss</t>
  </si>
  <si>
    <t>Project, before line loss</t>
  </si>
  <si>
    <t>Not applicable</t>
  </si>
  <si>
    <t xml:space="preserve">Turbine Performance </t>
  </si>
  <si>
    <t>Power Outages</t>
  </si>
  <si>
    <t>Time Off</t>
  </si>
  <si>
    <t>Time On</t>
  </si>
  <si>
    <t>No of WTGs Affected</t>
  </si>
  <si>
    <t>WTG hrs Lost</t>
  </si>
  <si>
    <t>Grid Availability Loss</t>
  </si>
  <si>
    <t>No outages reported.</t>
  </si>
  <si>
    <t>Project Total</t>
  </si>
  <si>
    <t>Grid Availability</t>
  </si>
  <si>
    <t>Cause Of Relay Trip or Major Grid Fluctuation</t>
  </si>
  <si>
    <t>Mill Run / Somerset Project Operational Report For November 2001</t>
  </si>
  <si>
    <t>Overvoltage trip.</t>
  </si>
  <si>
    <t>Elapsed Hrs</t>
  </si>
  <si>
    <t>Owner trip.</t>
  </si>
  <si>
    <t>Days in Month</t>
  </si>
  <si>
    <t>Mill Run Project Operational Report For December 2001</t>
  </si>
  <si>
    <t>Undervoltage trip due to DVAR.</t>
  </si>
  <si>
    <t>Overvoltage trip and utility scheduled line maintenance.</t>
  </si>
  <si>
    <t>Overvoltage trip due to DVAR.</t>
  </si>
  <si>
    <t>Overcurrent trip.</t>
  </si>
  <si>
    <t>Mill Run Project Operational Report For January 2002</t>
  </si>
  <si>
    <t>Net</t>
  </si>
  <si>
    <t>Avail</t>
  </si>
  <si>
    <t>StartDate</t>
  </si>
  <si>
    <t>StartProd</t>
  </si>
  <si>
    <t>StartCon</t>
  </si>
  <si>
    <t>StartOTT</t>
  </si>
  <si>
    <t>StartSOTT</t>
  </si>
  <si>
    <t>StartDTT</t>
  </si>
  <si>
    <t>StartLOTT</t>
  </si>
  <si>
    <t>StartWOTT</t>
  </si>
  <si>
    <t>StartESTT</t>
  </si>
  <si>
    <t>StartMTT</t>
  </si>
  <si>
    <t>StartRTT</t>
  </si>
  <si>
    <t>StopDate</t>
  </si>
  <si>
    <t>StopProd</t>
  </si>
  <si>
    <t>StopCon</t>
  </si>
  <si>
    <t>StopOTT</t>
  </si>
  <si>
    <t>StopSOTT</t>
  </si>
  <si>
    <t>StopDTT</t>
  </si>
  <si>
    <t>StopLOTT</t>
  </si>
  <si>
    <t>StopWOTT</t>
  </si>
  <si>
    <t>StopESTT</t>
  </si>
  <si>
    <t>StopMTT</t>
  </si>
  <si>
    <t>Survey</t>
  </si>
  <si>
    <t>St</t>
  </si>
  <si>
    <t>DTT</t>
  </si>
  <si>
    <t>RTT</t>
  </si>
  <si>
    <t>MT</t>
  </si>
  <si>
    <t>Robust</t>
  </si>
  <si>
    <t xml:space="preserve">Clock </t>
  </si>
  <si>
    <t xml:space="preserve">Enron </t>
  </si>
  <si>
    <t>Coverage</t>
  </si>
  <si>
    <t>DownTime %</t>
  </si>
  <si>
    <t>RepairTime %</t>
  </si>
  <si>
    <t>MaintTime %</t>
  </si>
  <si>
    <t>1)  Current month availability is based on values in Monthly file (labeled Monyymm where yy is year and mm is month) instead of SCADA screens.</t>
  </si>
  <si>
    <r>
      <t xml:space="preserve">7 </t>
    </r>
    <r>
      <rPr>
        <vertAlign val="superscript"/>
        <sz val="10"/>
        <rFont val="Arial"/>
        <family val="2"/>
      </rPr>
      <t>3</t>
    </r>
  </si>
  <si>
    <t xml:space="preserve">3)  Turbine 7 was offline from 1/18/02 to 2/1/02 but not set to repair time.  Repair time in availability computation above was increased to correct for offline. </t>
  </si>
  <si>
    <t>Reporting    Month</t>
  </si>
  <si>
    <t>Turbine 7 had (31-18) days of offline time added in to correct availability.</t>
  </si>
  <si>
    <t>Mill Run Project Operational Report For February 2002</t>
  </si>
  <si>
    <t>Mill Run/Somerset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</si>
  <si>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 xml:space="preserve">=Enron, </t>
    </r>
    <r>
      <rPr>
        <b/>
        <sz val="10"/>
        <rFont val="Times New Roman"/>
        <family val="1"/>
      </rPr>
      <t>T</t>
    </r>
    <r>
      <rPr>
        <sz val="10"/>
        <rFont val="Times New Roman"/>
        <family val="1"/>
      </rPr>
      <t>= TXU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</si>
  <si>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</si>
  <si>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</si>
  <si>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Charge</t>
  </si>
  <si>
    <t>Date off</t>
  </si>
  <si>
    <t>Time off</t>
  </si>
  <si>
    <t xml:space="preserve">Date on </t>
  </si>
  <si>
    <t>Time on</t>
  </si>
  <si>
    <t>Hrs.</t>
  </si>
  <si>
    <t>Reason</t>
  </si>
  <si>
    <t>Comments</t>
  </si>
  <si>
    <t>1330</t>
  </si>
  <si>
    <t>0130</t>
  </si>
  <si>
    <t>U</t>
  </si>
  <si>
    <t>A Phase fuse blown</t>
  </si>
  <si>
    <t>12-Feb.</t>
  </si>
  <si>
    <t>C Phase fuse blown</t>
  </si>
  <si>
    <t xml:space="preserve">Approximately 16 hours of data was not stored in SCADA due to grid outages given in the lower table.  Line outages do not penalize contractual availability.  </t>
  </si>
  <si>
    <t>Line Outages</t>
  </si>
  <si>
    <t xml:space="preserve">The description of safety near miss events, accidents, infrastructure work, and maintenance records are not included in this interim report. </t>
  </si>
  <si>
    <t>All other required components are provided below.  The Visupro data recovery was good at all turbines.</t>
  </si>
  <si>
    <r>
      <t xml:space="preserve">8 </t>
    </r>
    <r>
      <rPr>
        <vertAlign val="superscript"/>
        <sz val="10"/>
        <rFont val="Arial"/>
        <family val="2"/>
      </rPr>
      <t>3</t>
    </r>
  </si>
  <si>
    <t>3)  Turbine 8 was corrected for multiple meter resets in mid month.   Data recovery was still high.</t>
  </si>
  <si>
    <t>Mill Run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</si>
  <si>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</si>
  <si>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</si>
  <si>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</si>
  <si>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</si>
  <si>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</si>
  <si>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</si>
  <si>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</si>
  <si>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3)  Turbine 8 &amp; 9 data were corrected to compensate for large jump in kWh meter readings between 3/1/02 and 3/2/02.</t>
  </si>
  <si>
    <t>19:00</t>
  </si>
  <si>
    <t>9:40</t>
  </si>
  <si>
    <t>Severe Ice Storm</t>
  </si>
  <si>
    <t xml:space="preserve">Grid Availability = </t>
  </si>
  <si>
    <t>All other required components are provided below.  The Visupro data recovery was good at all turbines.  There were no curtailments or order out events.</t>
  </si>
  <si>
    <t xml:space="preserve">Production, kWh </t>
  </si>
  <si>
    <t>Monthly Assumed (2%) Line Loss</t>
  </si>
  <si>
    <t>Not avail</t>
  </si>
  <si>
    <t>Production MWh Variance, From Projected</t>
  </si>
  <si>
    <t xml:space="preserve">Availability </t>
  </si>
  <si>
    <t>Monthly Contractual Availability</t>
  </si>
  <si>
    <t>YTD Contractual Availability</t>
  </si>
  <si>
    <r>
      <t xml:space="preserve">Projected Contractual Availability </t>
    </r>
    <r>
      <rPr>
        <vertAlign val="superscript"/>
        <sz val="10"/>
        <rFont val="Arial"/>
        <family val="2"/>
      </rPr>
      <t>2</t>
    </r>
  </si>
  <si>
    <t>Mill Run Project Summary</t>
  </si>
  <si>
    <t>Monthly Generated kWh, Before Line Loss</t>
  </si>
  <si>
    <t>Monthly Generated kWh, After Line Loss</t>
  </si>
  <si>
    <t>Monthly Generated MWh, After Line Loss</t>
  </si>
  <si>
    <r>
      <t xml:space="preserve">Projected Generated MWh, After Line Loss </t>
    </r>
    <r>
      <rPr>
        <vertAlign val="superscript"/>
        <sz val="12"/>
        <rFont val="Arial"/>
        <family val="2"/>
      </rPr>
      <t>1</t>
    </r>
  </si>
  <si>
    <t>YTD Generated kWh, After Line Loss</t>
  </si>
  <si>
    <t>YTD Generated MWh, After Line Loss</t>
  </si>
  <si>
    <t>4)  Turbine availability lowered due to shutting turbines down to limit noise.</t>
  </si>
  <si>
    <t>Mill Run Project Operational Report For April 2002</t>
  </si>
  <si>
    <t xml:space="preserve">3)  Turbine 7 is ordered offline each day, from 8 PM to 6 AM next moring, to limit noise emissions. </t>
  </si>
  <si>
    <t>All other required components are provided below.  The Visupro data recovery was good at all turbines.  There were no utility curtailments or grid outages.</t>
  </si>
  <si>
    <t>Mill Run Project Operational Report For May 2002</t>
  </si>
  <si>
    <t>Eanum</t>
  </si>
  <si>
    <t>corr</t>
  </si>
  <si>
    <t>EA</t>
  </si>
  <si>
    <t>Availability w/o MH</t>
  </si>
  <si>
    <t>Availability w/ constant MH</t>
  </si>
  <si>
    <t>AvailNumer</t>
  </si>
  <si>
    <t>Availdenom</t>
  </si>
  <si>
    <t xml:space="preserve">Net </t>
  </si>
  <si>
    <t>LOT</t>
  </si>
  <si>
    <t>Avail w/o mh</t>
  </si>
  <si>
    <t>Hours of Avail Loss from Virtual Mode</t>
  </si>
  <si>
    <t>Hours Where WTG w/No kW in Good Winds</t>
  </si>
  <si>
    <t>The 2002 availability data was lowered  due to Virtual mode corrections.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</si>
</sst>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m/d/yy\ h:mm"/>
    <numFmt numFmtId="166" formatCode="#,##0.0"/>
    <numFmt numFmtId="167" formatCode="0000"/>
    <numFmt numFmtId="168" formatCode="m/d"/>
    <numFmt numFmtId="169" formatCode="0.0"/>
  </numFmts>
  <fonts count="13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1" xfId="0" applyNumberFormat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2" xfId="0" applyBorder="1"/>
    <xf numFmtId="164" fontId="0" fillId="0" borderId="0" xfId="0" applyNumberFormat="1"/>
    <xf numFmtId="16" fontId="0" fillId="0" borderId="9" xfId="0" applyNumberFormat="1" applyBorder="1" applyAlignment="1">
      <alignment horizontal="center"/>
    </xf>
    <xf numFmtId="3" fontId="0" fillId="2" borderId="9" xfId="0" applyNumberFormat="1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wrapText="1"/>
    </xf>
    <xf numFmtId="3" fontId="2" fillId="0" borderId="12" xfId="0" applyNumberFormat="1" applyFont="1" applyBorder="1" applyAlignment="1">
      <alignment wrapText="1"/>
    </xf>
    <xf numFmtId="3" fontId="2" fillId="0" borderId="9" xfId="0" applyNumberFormat="1" applyFont="1" applyBorder="1"/>
    <xf numFmtId="0" fontId="2" fillId="0" borderId="9" xfId="0" applyFont="1" applyBorder="1"/>
    <xf numFmtId="0" fontId="6" fillId="0" borderId="0" xfId="0" applyFont="1"/>
    <xf numFmtId="14" fontId="0" fillId="0" borderId="9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0" borderId="9" xfId="0" applyBorder="1" applyAlignment="1">
      <alignment wrapText="1"/>
    </xf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3" borderId="0" xfId="0" applyFill="1"/>
    <xf numFmtId="0" fontId="0" fillId="0" borderId="9" xfId="0" applyBorder="1" applyAlignment="1">
      <alignment horizontal="right"/>
    </xf>
    <xf numFmtId="0" fontId="2" fillId="0" borderId="5" xfId="0" applyFont="1" applyBorder="1" applyAlignment="1">
      <alignment horizontal="center" wrapText="1"/>
    </xf>
    <xf numFmtId="0" fontId="0" fillId="0" borderId="9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9" fillId="0" borderId="13" xfId="0" applyFont="1" applyBorder="1" applyAlignment="1">
      <alignment horizontal="center"/>
    </xf>
    <xf numFmtId="168" fontId="9" fillId="0" borderId="13" xfId="0" applyNumberFormat="1" applyFont="1" applyBorder="1" applyAlignment="1">
      <alignment horizontal="center"/>
    </xf>
    <xf numFmtId="167" fontId="9" fillId="0" borderId="13" xfId="0" applyNumberFormat="1" applyFont="1" applyBorder="1" applyAlignment="1">
      <alignment horizontal="center"/>
    </xf>
    <xf numFmtId="169" fontId="9" fillId="0" borderId="13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169" fontId="8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8" fillId="0" borderId="5" xfId="0" applyFont="1" applyBorder="1" applyAlignment="1">
      <alignment horizontal="center"/>
    </xf>
    <xf numFmtId="16" fontId="8" fillId="0" borderId="9" xfId="0" applyNumberFormat="1" applyFont="1" applyBorder="1" applyAlignment="1">
      <alignment horizontal="center"/>
    </xf>
    <xf numFmtId="168" fontId="8" fillId="0" borderId="9" xfId="0" applyNumberFormat="1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 applyProtection="1">
      <protection locked="0"/>
    </xf>
    <xf numFmtId="0" fontId="10" fillId="0" borderId="1" xfId="0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1" fillId="0" borderId="9" xfId="0" applyFont="1" applyBorder="1"/>
    <xf numFmtId="0" fontId="11" fillId="0" borderId="9" xfId="0" applyFont="1" applyBorder="1" applyAlignment="1">
      <alignment wrapText="1"/>
    </xf>
    <xf numFmtId="0" fontId="11" fillId="0" borderId="5" xfId="0" applyFont="1" applyBorder="1"/>
    <xf numFmtId="17" fontId="6" fillId="0" borderId="1" xfId="0" applyNumberFormat="1" applyFont="1" applyBorder="1" applyAlignment="1">
      <alignment horizontal="center"/>
    </xf>
    <xf numFmtId="0" fontId="2" fillId="0" borderId="0" xfId="0" applyFont="1" applyAlignment="1" applyProtection="1">
      <protection locked="0"/>
    </xf>
    <xf numFmtId="0" fontId="6" fillId="0" borderId="5" xfId="0" applyFont="1" applyBorder="1"/>
    <xf numFmtId="3" fontId="6" fillId="0" borderId="9" xfId="0" applyNumberFormat="1" applyFont="1" applyBorder="1"/>
    <xf numFmtId="0" fontId="6" fillId="0" borderId="9" xfId="0" applyFont="1" applyBorder="1"/>
    <xf numFmtId="164" fontId="6" fillId="0" borderId="9" xfId="0" applyNumberFormat="1" applyFont="1" applyBorder="1"/>
    <xf numFmtId="16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4" xfId="0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3" fontId="0" fillId="0" borderId="0" xfId="0" applyNumberFormat="1" applyAlignment="1"/>
    <xf numFmtId="0" fontId="5" fillId="0" borderId="0" xfId="0" applyFont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3" fontId="0" fillId="0" borderId="1" xfId="0" applyNumberFormat="1" applyBorder="1" applyAlignment="1"/>
    <xf numFmtId="0" fontId="0" fillId="0" borderId="9" xfId="0" applyBorder="1" applyAlignment="1"/>
    <xf numFmtId="3" fontId="0" fillId="0" borderId="9" xfId="0" applyNumberFormat="1" applyBorder="1" applyAlignment="1"/>
    <xf numFmtId="164" fontId="0" fillId="0" borderId="9" xfId="0" applyNumberFormat="1" applyBorder="1" applyAlignment="1"/>
    <xf numFmtId="164" fontId="0" fillId="0" borderId="9" xfId="0" applyNumberFormat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3" fontId="0" fillId="2" borderId="9" xfId="0" applyNumberFormat="1" applyFill="1" applyBorder="1" applyAlignment="1"/>
    <xf numFmtId="164" fontId="0" fillId="2" borderId="9" xfId="0" applyNumberFormat="1" applyFill="1" applyBorder="1" applyAlignment="1"/>
    <xf numFmtId="164" fontId="0" fillId="0" borderId="0" xfId="0" applyNumberFormat="1" applyAlignment="1"/>
    <xf numFmtId="0" fontId="8" fillId="0" borderId="9" xfId="0" applyFont="1" applyBorder="1" applyAlignment="1"/>
    <xf numFmtId="0" fontId="0" fillId="0" borderId="5" xfId="0" applyBorder="1"/>
    <xf numFmtId="0" fontId="7" fillId="2" borderId="0" xfId="0" applyFont="1" applyFill="1" applyAlignment="1">
      <alignment horizontal="left"/>
    </xf>
    <xf numFmtId="0" fontId="0" fillId="0" borderId="0" xfId="0" applyNumberFormat="1" applyAlignment="1" applyProtection="1">
      <alignment horizontal="right"/>
      <protection locked="0"/>
    </xf>
    <xf numFmtId="164" fontId="0" fillId="2" borderId="9" xfId="0" applyNumberForma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9" fontId="0" fillId="0" borderId="9" xfId="0" applyNumberFormat="1" applyBorder="1"/>
    <xf numFmtId="0" fontId="7" fillId="2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Mill Run Operational Summary</a:t>
            </a:r>
          </a:p>
        </c:rich>
      </c:tx>
      <c:layout>
        <c:manualLayout>
          <c:xMode val="edge"/>
          <c:yMode val="edge"/>
          <c:x val="0.22095243232710945"/>
          <c:y val="2.7108480248965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6669146825974"/>
          <c:y val="0.14056249017981873"/>
          <c:w val="0.76285732023282182"/>
          <c:h val="0.73795307344404826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Summary!$B$3:$I$3</c:f>
              <c:numCache>
                <c:formatCode>mmm\-yy</c:formatCode>
                <c:ptCount val="7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</c:numCache>
            </c:numRef>
          </c:cat>
          <c:val>
            <c:numRef>
              <c:f>Summary!$B$15:$I$15</c:f>
              <c:numCache>
                <c:formatCode>0.0%</c:formatCode>
                <c:ptCount val="7"/>
                <c:pt idx="0">
                  <c:v>0.87320000000000009</c:v>
                </c:pt>
                <c:pt idx="1">
                  <c:v>0.8589</c:v>
                </c:pt>
                <c:pt idx="2">
                  <c:v>0.9177486831534043</c:v>
                </c:pt>
                <c:pt idx="3">
                  <c:v>0.95633124110660561</c:v>
                </c:pt>
                <c:pt idx="4">
                  <c:v>0.93290563161099394</c:v>
                </c:pt>
                <c:pt idx="5">
                  <c:v>0.95569830778345055</c:v>
                </c:pt>
                <c:pt idx="6">
                  <c:v>0.9301837860278106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DBB-80E5-7E8A26EB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3624"/>
        <c:axId val="1"/>
      </c:lineChart>
      <c:lineChart>
        <c:grouping val="standard"/>
        <c:varyColors val="0"/>
        <c:ser>
          <c:idx val="2"/>
          <c:order val="1"/>
          <c:tx>
            <c:strRef>
              <c:f>Summary!$A$7</c:f>
              <c:strCache>
                <c:ptCount val="1"/>
                <c:pt idx="0">
                  <c:v>Monthly Generated kWh, After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Summary!$B$7:$I$7</c:f>
              <c:numCache>
                <c:formatCode>#,##0</c:formatCode>
                <c:ptCount val="7"/>
                <c:pt idx="0">
                  <c:v>2803957.38</c:v>
                </c:pt>
                <c:pt idx="1">
                  <c:v>3483438.42</c:v>
                </c:pt>
                <c:pt idx="2">
                  <c:v>4985117.9000000004</c:v>
                </c:pt>
                <c:pt idx="3">
                  <c:v>4311291.46</c:v>
                </c:pt>
                <c:pt idx="4">
                  <c:v>4635830.22</c:v>
                </c:pt>
                <c:pt idx="5">
                  <c:v>3530597</c:v>
                </c:pt>
                <c:pt idx="6">
                  <c:v>3077873.26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4DBB-80E5-7E8A26EB9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97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809533530862519"/>
              <c:y val="0.9186762751038151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8095242302651207E-2"/>
              <c:y val="0.377510687911513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36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428593617139523"/>
              <c:y val="0.388554883568498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33337828622077"/>
          <c:y val="0.96285305773175833"/>
          <c:w val="0.58857156542307609"/>
          <c:h val="2.8112498035963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19</xdr:row>
      <xdr:rowOff>60960</xdr:rowOff>
    </xdr:from>
    <xdr:to>
      <xdr:col>7</xdr:col>
      <xdr:colOff>746760</xdr:colOff>
      <xdr:row>64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workbookViewId="0">
      <selection activeCell="A23" sqref="A23"/>
    </sheetView>
  </sheetViews>
  <sheetFormatPr defaultRowHeight="13.2" x14ac:dyDescent="0.25"/>
  <cols>
    <col min="1" max="1" width="10.44140625" customWidth="1"/>
    <col min="2" max="2" width="13" customWidth="1"/>
    <col min="3" max="3" width="13.5546875" customWidth="1"/>
    <col min="4" max="4" width="16.6640625" style="28" customWidth="1"/>
    <col min="5" max="5" width="15.109375" customWidth="1"/>
    <col min="6" max="6" width="15.88671875" customWidth="1"/>
    <col min="7" max="7" width="18.6640625" customWidth="1"/>
    <col min="8" max="8" width="16.44140625" customWidth="1"/>
    <col min="9" max="9" width="17.88671875" customWidth="1"/>
    <col min="10" max="10" width="16.44140625" customWidth="1"/>
  </cols>
  <sheetData>
    <row r="1" spans="1:10" ht="30" x14ac:dyDescent="0.5">
      <c r="A1" s="1" t="s">
        <v>16</v>
      </c>
      <c r="J1" s="2"/>
    </row>
    <row r="2" spans="1:10" x14ac:dyDescent="0.25">
      <c r="J2" s="2"/>
    </row>
    <row r="3" spans="1:10" x14ac:dyDescent="0.25">
      <c r="A3" t="s">
        <v>12</v>
      </c>
      <c r="J3" s="2"/>
    </row>
    <row r="4" spans="1:10" x14ac:dyDescent="0.25">
      <c r="A4" t="s">
        <v>13</v>
      </c>
      <c r="J4" s="2"/>
    </row>
    <row r="5" spans="1:10" x14ac:dyDescent="0.25">
      <c r="A5" t="s">
        <v>15</v>
      </c>
      <c r="J5" s="2"/>
    </row>
    <row r="6" spans="1:10" x14ac:dyDescent="0.25">
      <c r="A6" t="s">
        <v>14</v>
      </c>
      <c r="J6" s="2"/>
    </row>
    <row r="7" spans="1:10" x14ac:dyDescent="0.25">
      <c r="J7" s="2"/>
    </row>
    <row r="8" spans="1:10" ht="17.399999999999999" x14ac:dyDescent="0.3">
      <c r="A8" s="34" t="s">
        <v>26</v>
      </c>
      <c r="J8" s="2"/>
    </row>
    <row r="9" spans="1:10" x14ac:dyDescent="0.25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5.6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5">
      <c r="A11" s="16" t="s">
        <v>17</v>
      </c>
      <c r="B11" s="16">
        <v>1</v>
      </c>
      <c r="C11" s="16">
        <v>1</v>
      </c>
      <c r="D11" s="31">
        <v>37165</v>
      </c>
      <c r="E11" s="25">
        <v>25770</v>
      </c>
      <c r="F11" s="26">
        <v>445</v>
      </c>
      <c r="G11" s="25">
        <f>E11-F11</f>
        <v>25325</v>
      </c>
      <c r="H11" s="27">
        <f>G11/(B$40*24*1500)</f>
        <v>2.2692652329749104E-2</v>
      </c>
      <c r="I11" s="27">
        <v>0.93089999999999995</v>
      </c>
      <c r="J11" s="25">
        <f>I11*(744)</f>
        <v>692.58960000000002</v>
      </c>
    </row>
    <row r="12" spans="1:10" x14ac:dyDescent="0.25">
      <c r="A12" s="16" t="s">
        <v>17</v>
      </c>
      <c r="B12" s="16">
        <v>1</v>
      </c>
      <c r="C12" s="16">
        <v>2</v>
      </c>
      <c r="D12" s="31">
        <v>37165</v>
      </c>
      <c r="E12" s="25">
        <v>48049</v>
      </c>
      <c r="F12" s="26">
        <v>108</v>
      </c>
      <c r="G12" s="25">
        <f t="shared" ref="G12:G20" si="0">E12-F12</f>
        <v>47941</v>
      </c>
      <c r="H12" s="27">
        <f t="shared" ref="H12:H20" si="1">G12/(B$40*24*1500)</f>
        <v>4.29578853046595E-2</v>
      </c>
      <c r="I12" s="27">
        <v>0.88519999999999999</v>
      </c>
      <c r="J12" s="25">
        <f t="shared" ref="J12:J20" si="2">I12*(744)</f>
        <v>658.58879999999999</v>
      </c>
    </row>
    <row r="13" spans="1:10" x14ac:dyDescent="0.25">
      <c r="A13" s="16" t="s">
        <v>17</v>
      </c>
      <c r="B13" s="16">
        <v>1</v>
      </c>
      <c r="C13" s="16">
        <v>3</v>
      </c>
      <c r="D13" s="31">
        <v>37165</v>
      </c>
      <c r="E13" s="25">
        <v>52071</v>
      </c>
      <c r="F13" s="26">
        <v>12</v>
      </c>
      <c r="G13" s="25">
        <f t="shared" si="0"/>
        <v>52059</v>
      </c>
      <c r="H13" s="27">
        <f t="shared" si="1"/>
        <v>4.6647849462365588E-2</v>
      </c>
      <c r="I13" s="27">
        <v>0.9899</v>
      </c>
      <c r="J13" s="25">
        <f t="shared" si="2"/>
        <v>736.48559999999998</v>
      </c>
    </row>
    <row r="14" spans="1:10" x14ac:dyDescent="0.25">
      <c r="A14" s="16" t="s">
        <v>17</v>
      </c>
      <c r="B14" s="16">
        <v>1</v>
      </c>
      <c r="C14" s="16">
        <v>4</v>
      </c>
      <c r="D14" s="31">
        <v>37165</v>
      </c>
      <c r="E14" s="25">
        <v>291751</v>
      </c>
      <c r="F14" s="26">
        <v>446</v>
      </c>
      <c r="G14" s="25">
        <f t="shared" si="0"/>
        <v>291305</v>
      </c>
      <c r="H14" s="27">
        <f t="shared" si="1"/>
        <v>0.26102598566308244</v>
      </c>
      <c r="I14" s="27">
        <v>0.90939999999999999</v>
      </c>
      <c r="J14" s="25">
        <f t="shared" si="2"/>
        <v>676.59360000000004</v>
      </c>
    </row>
    <row r="15" spans="1:10" x14ac:dyDescent="0.25">
      <c r="A15" s="16" t="s">
        <v>17</v>
      </c>
      <c r="B15" s="16">
        <v>1</v>
      </c>
      <c r="C15" s="16">
        <v>5</v>
      </c>
      <c r="D15" s="31">
        <v>37165</v>
      </c>
      <c r="E15" s="25">
        <v>78927</v>
      </c>
      <c r="F15" s="26">
        <v>392</v>
      </c>
      <c r="G15" s="25">
        <f t="shared" si="0"/>
        <v>78535</v>
      </c>
      <c r="H15" s="27">
        <f t="shared" si="1"/>
        <v>7.037186379928316E-2</v>
      </c>
      <c r="I15" s="27">
        <v>0.9889</v>
      </c>
      <c r="J15" s="25">
        <f t="shared" si="2"/>
        <v>735.74159999999995</v>
      </c>
    </row>
    <row r="16" spans="1:10" x14ac:dyDescent="0.25">
      <c r="A16" s="16" t="s">
        <v>17</v>
      </c>
      <c r="B16" s="16">
        <v>1</v>
      </c>
      <c r="C16" s="16">
        <v>6</v>
      </c>
      <c r="D16" s="31">
        <v>37165</v>
      </c>
      <c r="E16" s="25">
        <v>221765</v>
      </c>
      <c r="F16" s="26">
        <v>391</v>
      </c>
      <c r="G16" s="25">
        <f t="shared" si="0"/>
        <v>221374</v>
      </c>
      <c r="H16" s="27">
        <f t="shared" si="1"/>
        <v>0.19836379928315412</v>
      </c>
      <c r="I16" s="27">
        <v>0.89549999999999996</v>
      </c>
      <c r="J16" s="25">
        <f t="shared" si="2"/>
        <v>666.25199999999995</v>
      </c>
    </row>
    <row r="17" spans="1:12" x14ac:dyDescent="0.25">
      <c r="A17" s="16" t="s">
        <v>17</v>
      </c>
      <c r="B17" s="16">
        <v>1</v>
      </c>
      <c r="C17" s="16">
        <v>7</v>
      </c>
      <c r="D17" s="31">
        <v>37165</v>
      </c>
      <c r="E17" s="25">
        <v>266099</v>
      </c>
      <c r="F17" s="26">
        <v>843</v>
      </c>
      <c r="G17" s="25">
        <f t="shared" si="0"/>
        <v>265256</v>
      </c>
      <c r="H17" s="27">
        <f t="shared" si="1"/>
        <v>0.23768458781362006</v>
      </c>
      <c r="I17" s="27">
        <v>0.96840000000000004</v>
      </c>
      <c r="J17" s="25">
        <f t="shared" si="2"/>
        <v>720.4896</v>
      </c>
    </row>
    <row r="18" spans="1:12" x14ac:dyDescent="0.25">
      <c r="A18" s="16" t="s">
        <v>17</v>
      </c>
      <c r="B18" s="16">
        <v>1</v>
      </c>
      <c r="C18" s="16">
        <v>8</v>
      </c>
      <c r="D18" s="31">
        <v>37165</v>
      </c>
      <c r="E18" s="25">
        <v>304810</v>
      </c>
      <c r="F18" s="26">
        <v>651</v>
      </c>
      <c r="G18" s="25">
        <f t="shared" si="0"/>
        <v>304159</v>
      </c>
      <c r="H18" s="27">
        <f t="shared" si="1"/>
        <v>0.27254390681003582</v>
      </c>
      <c r="I18" s="27">
        <v>0.99299999999999999</v>
      </c>
      <c r="J18" s="25">
        <f t="shared" si="2"/>
        <v>738.79200000000003</v>
      </c>
    </row>
    <row r="19" spans="1:12" x14ac:dyDescent="0.25">
      <c r="A19" s="16" t="s">
        <v>17</v>
      </c>
      <c r="B19" s="16">
        <v>1</v>
      </c>
      <c r="C19" s="16">
        <v>9</v>
      </c>
      <c r="D19" s="31">
        <v>37165</v>
      </c>
      <c r="E19" s="25">
        <v>58069</v>
      </c>
      <c r="F19" s="26">
        <v>265</v>
      </c>
      <c r="G19" s="25">
        <f t="shared" si="0"/>
        <v>57804</v>
      </c>
      <c r="H19" s="27">
        <f t="shared" si="1"/>
        <v>5.1795698924731182E-2</v>
      </c>
      <c r="I19" s="27">
        <v>0.90149999999999997</v>
      </c>
      <c r="J19" s="25">
        <f t="shared" si="2"/>
        <v>670.71600000000001</v>
      </c>
    </row>
    <row r="20" spans="1:12" x14ac:dyDescent="0.25">
      <c r="A20" s="16" t="s">
        <v>17</v>
      </c>
      <c r="B20" s="16">
        <v>1</v>
      </c>
      <c r="C20" s="16">
        <v>10</v>
      </c>
      <c r="D20" s="31">
        <v>37165</v>
      </c>
      <c r="E20" s="25">
        <v>16352</v>
      </c>
      <c r="F20" s="26">
        <v>341</v>
      </c>
      <c r="G20" s="25">
        <f t="shared" si="0"/>
        <v>16011</v>
      </c>
      <c r="H20" s="27">
        <f t="shared" si="1"/>
        <v>1.4346774193548387E-2</v>
      </c>
      <c r="I20" s="27">
        <v>0.54779999999999995</v>
      </c>
      <c r="J20" s="25">
        <f t="shared" si="2"/>
        <v>407.56319999999994</v>
      </c>
    </row>
    <row r="21" spans="1:12" x14ac:dyDescent="0.25">
      <c r="A21" s="19"/>
      <c r="B21" s="20"/>
      <c r="C21" s="21" t="s">
        <v>24</v>
      </c>
      <c r="D21" s="31" t="s">
        <v>20</v>
      </c>
      <c r="E21" s="25">
        <f>SUM(E11:E20)</f>
        <v>1363663</v>
      </c>
      <c r="F21" s="25">
        <f>SUM(F11:F20)</f>
        <v>3894</v>
      </c>
      <c r="G21" s="25">
        <f>SUM(G11:G20)</f>
        <v>1359769</v>
      </c>
      <c r="H21" s="27">
        <f>AVERAGE(H11:H20)</f>
        <v>0.12184310035842294</v>
      </c>
      <c r="I21" s="27">
        <f>AVERAGE(I11:I20)</f>
        <v>0.90105000000000002</v>
      </c>
      <c r="J21" s="25">
        <f>SUM(J11:J20)</f>
        <v>6703.8119999999999</v>
      </c>
    </row>
    <row r="22" spans="1:12" ht="15.6" x14ac:dyDescent="0.25">
      <c r="A22" s="19"/>
      <c r="B22" s="20"/>
      <c r="C22" s="21" t="s">
        <v>21</v>
      </c>
      <c r="D22" s="31" t="s">
        <v>20</v>
      </c>
      <c r="E22" s="17">
        <f>E21*(0.02)</f>
        <v>27273.260000000002</v>
      </c>
      <c r="F22" s="17">
        <f>F21*(0.02)</f>
        <v>77.88</v>
      </c>
      <c r="G22" s="17">
        <f>G21*(0.02)</f>
        <v>27195.38</v>
      </c>
      <c r="H22" s="32" t="s">
        <v>25</v>
      </c>
      <c r="I22" s="33" t="s">
        <v>25</v>
      </c>
      <c r="J22" s="32" t="s">
        <v>25</v>
      </c>
    </row>
    <row r="23" spans="1:12" x14ac:dyDescent="0.25">
      <c r="A23" s="19"/>
      <c r="B23" s="20"/>
      <c r="C23" s="21" t="s">
        <v>23</v>
      </c>
      <c r="D23" s="31" t="s">
        <v>20</v>
      </c>
      <c r="E23" s="17">
        <f>E21-E22</f>
        <v>1336389.74</v>
      </c>
      <c r="F23" s="17">
        <f>F21-F22</f>
        <v>3816.12</v>
      </c>
      <c r="G23" s="17">
        <f>G21-G22</f>
        <v>1332573.6200000001</v>
      </c>
      <c r="H23" s="27">
        <f>G23/(1500*24*B40*COUNT(H11:H20))</f>
        <v>0.1194062383512545</v>
      </c>
      <c r="I23" s="27">
        <f>I21</f>
        <v>0.90105000000000002</v>
      </c>
      <c r="J23" s="25">
        <f>J21</f>
        <v>6703.8119999999999</v>
      </c>
    </row>
    <row r="24" spans="1:12" x14ac:dyDescent="0.25">
      <c r="A24" s="19"/>
      <c r="B24" s="20"/>
      <c r="C24" s="21" t="s">
        <v>23</v>
      </c>
      <c r="D24" s="24" t="s">
        <v>9</v>
      </c>
      <c r="E24" s="17">
        <f t="shared" ref="E24:J24" si="3">E23</f>
        <v>1336389.74</v>
      </c>
      <c r="F24" s="17">
        <f t="shared" si="3"/>
        <v>3816.12</v>
      </c>
      <c r="G24" s="17">
        <f t="shared" si="3"/>
        <v>1332573.6200000001</v>
      </c>
      <c r="H24" s="18">
        <f t="shared" si="3"/>
        <v>0.1194062383512545</v>
      </c>
      <c r="I24" s="18">
        <f t="shared" si="3"/>
        <v>0.90105000000000002</v>
      </c>
      <c r="J24" s="17">
        <f t="shared" si="3"/>
        <v>6703.8119999999999</v>
      </c>
    </row>
    <row r="25" spans="1:12" x14ac:dyDescent="0.25">
      <c r="D25" s="30"/>
      <c r="E25" s="2"/>
      <c r="F25" s="2"/>
      <c r="G25" s="2"/>
      <c r="H25" s="2"/>
      <c r="I25" s="23"/>
      <c r="J25" s="2"/>
    </row>
    <row r="26" spans="1:12" x14ac:dyDescent="0.25">
      <c r="A26" t="s">
        <v>8</v>
      </c>
      <c r="D26" s="30"/>
      <c r="E26" s="2"/>
      <c r="F26" s="2"/>
      <c r="G26" s="2"/>
      <c r="H26" s="2"/>
      <c r="I26" s="23"/>
      <c r="L26" s="2"/>
    </row>
    <row r="27" spans="1:12" x14ac:dyDescent="0.25">
      <c r="A27" t="s">
        <v>18</v>
      </c>
      <c r="D27" s="30"/>
      <c r="E27" s="2"/>
      <c r="F27" s="2"/>
      <c r="G27" s="2"/>
      <c r="H27" s="2"/>
      <c r="I27" s="23"/>
      <c r="J27" s="2"/>
    </row>
    <row r="28" spans="1:12" x14ac:dyDescent="0.25">
      <c r="A28" t="s">
        <v>22</v>
      </c>
      <c r="G28" s="2"/>
      <c r="H28" s="2"/>
      <c r="I28" s="23"/>
      <c r="J28" s="2"/>
    </row>
    <row r="29" spans="1:12" x14ac:dyDescent="0.25">
      <c r="G29" s="2"/>
      <c r="H29" s="2"/>
      <c r="I29" s="23"/>
      <c r="J29" s="2"/>
    </row>
    <row r="30" spans="1:12" x14ac:dyDescent="0.25">
      <c r="E30" s="2"/>
      <c r="F30" s="2"/>
      <c r="G30" s="2"/>
      <c r="H30" s="2"/>
      <c r="J30" s="2"/>
    </row>
    <row r="31" spans="1:12" ht="17.399999999999999" x14ac:dyDescent="0.3">
      <c r="A31" s="34" t="s">
        <v>27</v>
      </c>
      <c r="G31" s="2"/>
      <c r="H31" s="2"/>
      <c r="J31" s="2"/>
    </row>
    <row r="32" spans="1:12" ht="39.6" x14ac:dyDescent="0.25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1"/>
      <c r="H32" s="42" t="s">
        <v>31</v>
      </c>
      <c r="I32" s="43" t="s">
        <v>32</v>
      </c>
      <c r="J32" s="2"/>
    </row>
    <row r="33" spans="1:9" x14ac:dyDescent="0.25">
      <c r="A33" s="16"/>
      <c r="B33" s="16"/>
      <c r="C33" s="16"/>
      <c r="D33" s="35" t="s">
        <v>33</v>
      </c>
      <c r="E33" s="19"/>
      <c r="F33" s="20"/>
      <c r="G33" s="22"/>
      <c r="H33" s="16">
        <v>0</v>
      </c>
      <c r="I33" s="18">
        <v>0</v>
      </c>
    </row>
    <row r="34" spans="1:9" x14ac:dyDescent="0.25">
      <c r="A34" s="16"/>
      <c r="B34" s="16"/>
      <c r="C34" s="16"/>
      <c r="D34" s="36"/>
      <c r="E34" s="20"/>
      <c r="F34" s="20"/>
      <c r="G34" s="22"/>
      <c r="H34" s="16"/>
      <c r="I34" s="16"/>
    </row>
    <row r="35" spans="1:9" x14ac:dyDescent="0.25">
      <c r="A35" s="16"/>
      <c r="B35" s="16"/>
      <c r="C35" s="16"/>
      <c r="D35" s="36"/>
      <c r="E35" s="20"/>
      <c r="F35" s="20"/>
      <c r="G35" s="22"/>
      <c r="H35" s="16"/>
      <c r="I35" s="16"/>
    </row>
    <row r="36" spans="1:9" x14ac:dyDescent="0.25">
      <c r="A36" s="16"/>
      <c r="B36" s="16"/>
      <c r="C36" s="16"/>
      <c r="D36" s="36"/>
      <c r="E36" s="20"/>
      <c r="F36" s="20"/>
      <c r="G36" s="22"/>
      <c r="H36" s="16"/>
      <c r="I36" s="16"/>
    </row>
    <row r="37" spans="1:9" x14ac:dyDescent="0.25">
      <c r="A37" s="16"/>
      <c r="B37" s="16"/>
      <c r="C37" s="16"/>
      <c r="D37" s="36"/>
      <c r="E37" s="20"/>
      <c r="F37" s="20"/>
      <c r="G37" s="22"/>
      <c r="H37" s="16"/>
      <c r="I37" s="16"/>
    </row>
    <row r="38" spans="1:9" x14ac:dyDescent="0.25">
      <c r="A38" s="16"/>
      <c r="B38" s="16"/>
      <c r="C38" s="16"/>
      <c r="D38" s="36"/>
      <c r="E38" s="20"/>
      <c r="F38" s="20"/>
      <c r="G38" s="22"/>
      <c r="H38" s="16"/>
      <c r="I38" s="16"/>
    </row>
    <row r="39" spans="1:9" x14ac:dyDescent="0.25">
      <c r="A39" s="16"/>
      <c r="B39" s="16"/>
      <c r="C39" s="16"/>
      <c r="D39" s="36"/>
      <c r="E39" s="20"/>
      <c r="F39" s="20"/>
      <c r="G39" s="22"/>
      <c r="H39" s="16"/>
      <c r="I39" s="16"/>
    </row>
    <row r="40" spans="1:9" s="47" customFormat="1" ht="26.4" x14ac:dyDescent="0.25">
      <c r="A40" s="47" t="s">
        <v>41</v>
      </c>
      <c r="B40" s="47">
        <v>31</v>
      </c>
      <c r="D40" s="48"/>
      <c r="G40" s="49" t="s">
        <v>34</v>
      </c>
      <c r="H40" s="50">
        <f>SUM(H33:H39)</f>
        <v>0</v>
      </c>
      <c r="I40" s="50">
        <f>SUM(I33:I39)</f>
        <v>0</v>
      </c>
    </row>
    <row r="41" spans="1:9" x14ac:dyDescent="0.25">
      <c r="H41" s="44" t="s">
        <v>35</v>
      </c>
      <c r="I41" s="18">
        <f>1-I40</f>
        <v>1</v>
      </c>
    </row>
  </sheetData>
  <phoneticPr fontId="0" type="noConversion"/>
  <pageMargins left="0.75" right="0.75" top="1" bottom="1" header="0.5" footer="0.5"/>
  <pageSetup scale="83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5" workbookViewId="0">
      <selection activeCell="E24" sqref="E24"/>
    </sheetView>
  </sheetViews>
  <sheetFormatPr defaultRowHeight="13.2" x14ac:dyDescent="0.25"/>
  <cols>
    <col min="1" max="3" width="13" customWidth="1"/>
    <col min="4" max="6" width="15.44140625" customWidth="1"/>
    <col min="7" max="7" width="19.33203125" customWidth="1"/>
    <col min="8" max="10" width="15.44140625" customWidth="1"/>
  </cols>
  <sheetData>
    <row r="1" spans="1:10" ht="30" x14ac:dyDescent="0.5">
      <c r="A1" s="1" t="s">
        <v>37</v>
      </c>
      <c r="D1" s="28"/>
      <c r="J1" s="2"/>
    </row>
    <row r="2" spans="1:10" x14ac:dyDescent="0.25">
      <c r="D2" s="28"/>
      <c r="J2" s="2"/>
    </row>
    <row r="3" spans="1:10" x14ac:dyDescent="0.25">
      <c r="A3" t="s">
        <v>12</v>
      </c>
      <c r="D3" s="28"/>
      <c r="J3" s="2"/>
    </row>
    <row r="4" spans="1:10" x14ac:dyDescent="0.25">
      <c r="A4" t="s">
        <v>13</v>
      </c>
      <c r="D4" s="28"/>
      <c r="J4" s="2"/>
    </row>
    <row r="5" spans="1:10" x14ac:dyDescent="0.25">
      <c r="A5" t="s">
        <v>15</v>
      </c>
      <c r="D5" s="28"/>
      <c r="J5" s="2"/>
    </row>
    <row r="6" spans="1:10" x14ac:dyDescent="0.25">
      <c r="A6" t="s">
        <v>14</v>
      </c>
      <c r="D6" s="28"/>
      <c r="J6" s="2"/>
    </row>
    <row r="7" spans="1:10" x14ac:dyDescent="0.25">
      <c r="D7" s="28"/>
      <c r="J7" s="2"/>
    </row>
    <row r="8" spans="1:10" ht="17.399999999999999" x14ac:dyDescent="0.3">
      <c r="A8" s="34" t="s">
        <v>26</v>
      </c>
      <c r="D8" s="28"/>
      <c r="J8" s="2"/>
    </row>
    <row r="9" spans="1:10" x14ac:dyDescent="0.25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5.6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5">
      <c r="A11" s="16" t="s">
        <v>17</v>
      </c>
      <c r="B11" s="16">
        <v>1</v>
      </c>
      <c r="C11" s="16">
        <v>1</v>
      </c>
      <c r="D11" s="31">
        <v>37196</v>
      </c>
      <c r="E11" s="25">
        <v>327099</v>
      </c>
      <c r="F11" s="26">
        <v>549</v>
      </c>
      <c r="G11" s="25">
        <f>E11-F11</f>
        <v>326550</v>
      </c>
      <c r="H11" s="27">
        <f>G11/(B$40*24*1500)</f>
        <v>0.30236111111111114</v>
      </c>
      <c r="I11" s="27">
        <v>0.86699999999999999</v>
      </c>
      <c r="J11" s="25">
        <f>I11*(744)</f>
        <v>645.048</v>
      </c>
    </row>
    <row r="12" spans="1:10" x14ac:dyDescent="0.25">
      <c r="A12" s="16" t="s">
        <v>17</v>
      </c>
      <c r="B12" s="16">
        <v>1</v>
      </c>
      <c r="C12" s="16">
        <v>2</v>
      </c>
      <c r="D12" s="31">
        <v>37196</v>
      </c>
      <c r="E12" s="25">
        <v>159362</v>
      </c>
      <c r="F12" s="26">
        <v>1499</v>
      </c>
      <c r="G12" s="25">
        <f t="shared" ref="G12:G20" si="0">E12-F12</f>
        <v>157863</v>
      </c>
      <c r="H12" s="27">
        <f t="shared" ref="H12:H20" si="1">G12/(B$40*24*1500)</f>
        <v>0.14616944444444444</v>
      </c>
      <c r="I12" s="27">
        <v>0.76400000000000001</v>
      </c>
      <c r="J12" s="25">
        <f t="shared" ref="J12:J20" si="2">I12*(744)</f>
        <v>568.41600000000005</v>
      </c>
    </row>
    <row r="13" spans="1:10" x14ac:dyDescent="0.25">
      <c r="A13" s="16" t="s">
        <v>17</v>
      </c>
      <c r="B13" s="16">
        <v>1</v>
      </c>
      <c r="C13" s="16">
        <v>3</v>
      </c>
      <c r="D13" s="31">
        <v>37196</v>
      </c>
      <c r="E13" s="25">
        <v>334495</v>
      </c>
      <c r="F13" s="26">
        <v>37</v>
      </c>
      <c r="G13" s="25">
        <f t="shared" si="0"/>
        <v>334458</v>
      </c>
      <c r="H13" s="27">
        <f t="shared" si="1"/>
        <v>0.30968333333333331</v>
      </c>
      <c r="I13" s="27">
        <v>0.94599999999999995</v>
      </c>
      <c r="J13" s="25">
        <f t="shared" si="2"/>
        <v>703.82399999999996</v>
      </c>
    </row>
    <row r="14" spans="1:10" x14ac:dyDescent="0.25">
      <c r="A14" s="16" t="s">
        <v>17</v>
      </c>
      <c r="B14" s="16">
        <v>1</v>
      </c>
      <c r="C14" s="16">
        <v>4</v>
      </c>
      <c r="D14" s="31">
        <v>37196</v>
      </c>
      <c r="E14" s="25">
        <v>373688</v>
      </c>
      <c r="F14" s="26">
        <v>222</v>
      </c>
      <c r="G14" s="25">
        <f t="shared" si="0"/>
        <v>373466</v>
      </c>
      <c r="H14" s="27">
        <f t="shared" si="1"/>
        <v>0.34580185185185186</v>
      </c>
      <c r="I14" s="27">
        <v>0.92800000000000005</v>
      </c>
      <c r="J14" s="25">
        <f t="shared" si="2"/>
        <v>690.43200000000002</v>
      </c>
    </row>
    <row r="15" spans="1:10" x14ac:dyDescent="0.25">
      <c r="A15" s="16" t="s">
        <v>17</v>
      </c>
      <c r="B15" s="16">
        <v>1</v>
      </c>
      <c r="C15" s="16">
        <v>5</v>
      </c>
      <c r="D15" s="31">
        <v>37196</v>
      </c>
      <c r="E15" s="25">
        <v>325038</v>
      </c>
      <c r="F15" s="26">
        <v>1065</v>
      </c>
      <c r="G15" s="25">
        <f t="shared" si="0"/>
        <v>323973</v>
      </c>
      <c r="H15" s="27">
        <f t="shared" si="1"/>
        <v>0.29997499999999999</v>
      </c>
      <c r="I15" s="27">
        <v>0.85299999999999998</v>
      </c>
      <c r="J15" s="25">
        <f t="shared" si="2"/>
        <v>634.63199999999995</v>
      </c>
    </row>
    <row r="16" spans="1:10" x14ac:dyDescent="0.25">
      <c r="A16" s="16" t="s">
        <v>17</v>
      </c>
      <c r="B16" s="16">
        <v>1</v>
      </c>
      <c r="C16" s="16">
        <v>6</v>
      </c>
      <c r="D16" s="31">
        <v>37196</v>
      </c>
      <c r="E16" s="25">
        <v>310123</v>
      </c>
      <c r="F16" s="26">
        <v>722</v>
      </c>
      <c r="G16" s="25">
        <f t="shared" si="0"/>
        <v>309401</v>
      </c>
      <c r="H16" s="27">
        <f t="shared" si="1"/>
        <v>0.28648240740740738</v>
      </c>
      <c r="I16" s="27">
        <v>0.91300000000000003</v>
      </c>
      <c r="J16" s="25">
        <f t="shared" si="2"/>
        <v>679.27200000000005</v>
      </c>
    </row>
    <row r="17" spans="1:10" x14ac:dyDescent="0.25">
      <c r="A17" s="16" t="s">
        <v>17</v>
      </c>
      <c r="B17" s="16">
        <v>1</v>
      </c>
      <c r="C17" s="16">
        <v>7</v>
      </c>
      <c r="D17" s="31">
        <v>37196</v>
      </c>
      <c r="E17" s="25">
        <v>197404</v>
      </c>
      <c r="F17" s="26">
        <v>1405</v>
      </c>
      <c r="G17" s="25">
        <f t="shared" si="0"/>
        <v>195999</v>
      </c>
      <c r="H17" s="27">
        <f t="shared" si="1"/>
        <v>0.18148055555555556</v>
      </c>
      <c r="I17" s="27">
        <v>0.70599999999999996</v>
      </c>
      <c r="J17" s="25">
        <f t="shared" si="2"/>
        <v>525.26400000000001</v>
      </c>
    </row>
    <row r="18" spans="1:10" x14ac:dyDescent="0.25">
      <c r="A18" s="16" t="s">
        <v>17</v>
      </c>
      <c r="B18" s="16">
        <v>1</v>
      </c>
      <c r="C18" s="16">
        <v>8</v>
      </c>
      <c r="D18" s="31">
        <v>37196</v>
      </c>
      <c r="E18" s="25">
        <v>309596</v>
      </c>
      <c r="F18" s="26">
        <v>808</v>
      </c>
      <c r="G18" s="25">
        <f t="shared" si="0"/>
        <v>308788</v>
      </c>
      <c r="H18" s="27">
        <f t="shared" si="1"/>
        <v>0.28591481481481479</v>
      </c>
      <c r="I18" s="27">
        <v>0.996</v>
      </c>
      <c r="J18" s="25">
        <f t="shared" si="2"/>
        <v>741.024</v>
      </c>
    </row>
    <row r="19" spans="1:10" x14ac:dyDescent="0.25">
      <c r="A19" s="16" t="s">
        <v>17</v>
      </c>
      <c r="B19" s="16">
        <v>1</v>
      </c>
      <c r="C19" s="16">
        <v>9</v>
      </c>
      <c r="D19" s="31">
        <v>37196</v>
      </c>
      <c r="E19" s="25">
        <v>287294</v>
      </c>
      <c r="F19" s="26">
        <v>814</v>
      </c>
      <c r="G19" s="25">
        <f t="shared" si="0"/>
        <v>286480</v>
      </c>
      <c r="H19" s="27">
        <f t="shared" si="1"/>
        <v>0.26525925925925925</v>
      </c>
      <c r="I19" s="27">
        <v>0.92900000000000005</v>
      </c>
      <c r="J19" s="25">
        <f t="shared" si="2"/>
        <v>691.17600000000004</v>
      </c>
    </row>
    <row r="20" spans="1:10" x14ac:dyDescent="0.25">
      <c r="A20" s="16" t="s">
        <v>17</v>
      </c>
      <c r="B20" s="16">
        <v>1</v>
      </c>
      <c r="C20" s="16">
        <v>10</v>
      </c>
      <c r="D20" s="31">
        <v>37196</v>
      </c>
      <c r="E20" s="25">
        <v>237082</v>
      </c>
      <c r="F20" s="26">
        <v>793</v>
      </c>
      <c r="G20" s="25">
        <f t="shared" si="0"/>
        <v>236289</v>
      </c>
      <c r="H20" s="27">
        <f t="shared" si="1"/>
        <v>0.2187861111111111</v>
      </c>
      <c r="I20" s="27">
        <v>0.83</v>
      </c>
      <c r="J20" s="25">
        <f t="shared" si="2"/>
        <v>617.52</v>
      </c>
    </row>
    <row r="21" spans="1:10" x14ac:dyDescent="0.25">
      <c r="A21" s="19"/>
      <c r="B21" s="20"/>
      <c r="C21" s="21" t="s">
        <v>24</v>
      </c>
      <c r="D21" s="31" t="s">
        <v>20</v>
      </c>
      <c r="E21" s="25">
        <f>SUM(E11:E20)</f>
        <v>2861181</v>
      </c>
      <c r="F21" s="25">
        <f>SUM(F11:F20)</f>
        <v>7914</v>
      </c>
      <c r="G21" s="25">
        <f>SUM(G11:G20)</f>
        <v>2853267</v>
      </c>
      <c r="H21" s="27">
        <f>AVERAGE(H11:H20)</f>
        <v>0.26419138888888888</v>
      </c>
      <c r="I21" s="27">
        <f>AVERAGE(I11:I20)</f>
        <v>0.87320000000000009</v>
      </c>
      <c r="J21" s="25">
        <f>SUM(J11:J20)</f>
        <v>6496.6080000000002</v>
      </c>
    </row>
    <row r="22" spans="1:10" ht="15.6" x14ac:dyDescent="0.25">
      <c r="A22" s="19"/>
      <c r="B22" s="20"/>
      <c r="C22" s="21" t="s">
        <v>21</v>
      </c>
      <c r="D22" s="31" t="s">
        <v>20</v>
      </c>
      <c r="E22" s="17">
        <f>E21*(0.02)</f>
        <v>57223.62</v>
      </c>
      <c r="F22" s="17">
        <f>F21*(0.02)</f>
        <v>158.28</v>
      </c>
      <c r="G22" s="17">
        <f>G21*(0.02)</f>
        <v>57065.340000000004</v>
      </c>
      <c r="H22" s="32" t="s">
        <v>25</v>
      </c>
      <c r="I22" s="33" t="s">
        <v>25</v>
      </c>
      <c r="J22" s="32" t="s">
        <v>25</v>
      </c>
    </row>
    <row r="23" spans="1:10" x14ac:dyDescent="0.25">
      <c r="A23" s="19"/>
      <c r="B23" s="20"/>
      <c r="C23" s="21" t="s">
        <v>23</v>
      </c>
      <c r="D23" s="31" t="s">
        <v>20</v>
      </c>
      <c r="E23" s="17">
        <f>E21-E22</f>
        <v>2803957.38</v>
      </c>
      <c r="F23" s="17">
        <f>F21-F22</f>
        <v>7755.72</v>
      </c>
      <c r="G23" s="17">
        <f>G21-G22</f>
        <v>2796201.66</v>
      </c>
      <c r="H23" s="27">
        <f>G23/(1500*24*B40*COUNT(H11:H20))</f>
        <v>0.25890756111111113</v>
      </c>
      <c r="I23" s="27">
        <f>I21</f>
        <v>0.87320000000000009</v>
      </c>
      <c r="J23" s="25">
        <f>J21</f>
        <v>6496.6080000000002</v>
      </c>
    </row>
    <row r="24" spans="1:10" x14ac:dyDescent="0.25">
      <c r="A24" s="19"/>
      <c r="B24" s="20"/>
      <c r="C24" s="21" t="s">
        <v>23</v>
      </c>
      <c r="D24" s="24" t="s">
        <v>9</v>
      </c>
      <c r="E24" s="17">
        <f>E23+'1001'!E24</f>
        <v>4140347.12</v>
      </c>
      <c r="F24" s="17">
        <f>F23+'1001'!F24</f>
        <v>11571.84</v>
      </c>
      <c r="G24" s="17">
        <f>G23+'1001'!G24</f>
        <v>4128775.2800000003</v>
      </c>
      <c r="H24" s="18">
        <f>AVERAGE(H23,'1001'!H23)</f>
        <v>0.18915689973118283</v>
      </c>
      <c r="I24" s="18">
        <f>AVERAGE(I23,'1001'!I23)</f>
        <v>0.88712500000000005</v>
      </c>
      <c r="J24" s="17">
        <f>J23+'1001'!J24</f>
        <v>13200.42</v>
      </c>
    </row>
    <row r="25" spans="1:10" x14ac:dyDescent="0.25">
      <c r="D25" s="30"/>
      <c r="E25" s="2"/>
      <c r="F25" s="2"/>
      <c r="G25" s="2"/>
      <c r="H25" s="2"/>
      <c r="I25" s="23"/>
      <c r="J25" s="2"/>
    </row>
    <row r="26" spans="1:10" x14ac:dyDescent="0.25">
      <c r="A26" t="s">
        <v>8</v>
      </c>
      <c r="D26" s="30"/>
      <c r="E26" s="2"/>
      <c r="F26" s="2"/>
      <c r="G26" s="2"/>
      <c r="H26" s="2"/>
      <c r="I26" s="23"/>
    </row>
    <row r="27" spans="1:10" x14ac:dyDescent="0.25">
      <c r="A27" t="s">
        <v>18</v>
      </c>
      <c r="D27" s="30"/>
      <c r="E27" s="2"/>
      <c r="F27" s="2"/>
      <c r="G27" s="2"/>
      <c r="H27" s="2"/>
      <c r="I27" s="23"/>
      <c r="J27" s="2"/>
    </row>
    <row r="28" spans="1:10" x14ac:dyDescent="0.25">
      <c r="A28" t="s">
        <v>22</v>
      </c>
      <c r="D28" s="28"/>
      <c r="G28" s="2"/>
      <c r="H28" s="2"/>
      <c r="I28" s="23"/>
      <c r="J28" s="2"/>
    </row>
    <row r="29" spans="1:10" x14ac:dyDescent="0.25">
      <c r="D29" s="28"/>
      <c r="G29" s="2"/>
      <c r="H29" s="2"/>
      <c r="I29" s="23"/>
      <c r="J29" s="2"/>
    </row>
    <row r="30" spans="1:10" x14ac:dyDescent="0.25">
      <c r="D30" s="28"/>
      <c r="E30" s="2"/>
      <c r="F30" s="2"/>
      <c r="G30" s="2"/>
      <c r="H30" s="2"/>
      <c r="J30" s="2"/>
    </row>
    <row r="31" spans="1:10" ht="17.399999999999999" x14ac:dyDescent="0.3">
      <c r="A31" s="34" t="s">
        <v>27</v>
      </c>
      <c r="D31" s="28"/>
      <c r="G31" s="2"/>
      <c r="H31" s="2"/>
      <c r="J31" s="2"/>
    </row>
    <row r="32" spans="1:10" ht="26.4" x14ac:dyDescent="0.25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2" t="s">
        <v>39</v>
      </c>
      <c r="H32" s="42" t="s">
        <v>31</v>
      </c>
      <c r="I32" s="43" t="s">
        <v>35</v>
      </c>
      <c r="J32" s="2"/>
    </row>
    <row r="33" spans="1:9" x14ac:dyDescent="0.25">
      <c r="A33" s="16">
        <v>10</v>
      </c>
      <c r="B33" s="45">
        <v>37203</v>
      </c>
      <c r="C33" s="45">
        <v>37203</v>
      </c>
      <c r="D33" s="35" t="s">
        <v>38</v>
      </c>
      <c r="E33" s="19"/>
      <c r="F33" s="20"/>
      <c r="G33" s="22">
        <v>6</v>
      </c>
      <c r="H33" s="16">
        <f>G33*A33</f>
        <v>60</v>
      </c>
      <c r="I33" s="18"/>
    </row>
    <row r="34" spans="1:9" x14ac:dyDescent="0.25">
      <c r="A34" s="16">
        <v>10</v>
      </c>
      <c r="B34" s="45">
        <v>37221</v>
      </c>
      <c r="C34" s="45">
        <v>37221</v>
      </c>
      <c r="D34" s="37" t="s">
        <v>38</v>
      </c>
      <c r="E34" s="20"/>
      <c r="F34" s="20"/>
      <c r="G34" s="22">
        <v>6.5</v>
      </c>
      <c r="H34" s="16">
        <f t="shared" ref="H34:H39" si="3">G34*A34</f>
        <v>65</v>
      </c>
      <c r="I34" s="16"/>
    </row>
    <row r="35" spans="1:9" x14ac:dyDescent="0.25">
      <c r="A35" s="16">
        <v>10</v>
      </c>
      <c r="B35" s="45">
        <v>37221</v>
      </c>
      <c r="C35" s="45">
        <v>37221</v>
      </c>
      <c r="D35" s="37" t="s">
        <v>40</v>
      </c>
      <c r="E35" s="20"/>
      <c r="F35" s="20"/>
      <c r="G35" s="22">
        <v>0.5</v>
      </c>
      <c r="H35" s="16">
        <f t="shared" si="3"/>
        <v>5</v>
      </c>
      <c r="I35" s="16"/>
    </row>
    <row r="36" spans="1:9" x14ac:dyDescent="0.25">
      <c r="A36" s="16"/>
      <c r="B36" s="16"/>
      <c r="C36" s="16"/>
      <c r="D36" s="36"/>
      <c r="E36" s="20"/>
      <c r="F36" s="20"/>
      <c r="G36" s="22"/>
      <c r="H36" s="16">
        <f t="shared" si="3"/>
        <v>0</v>
      </c>
      <c r="I36" s="16"/>
    </row>
    <row r="37" spans="1:9" x14ac:dyDescent="0.25">
      <c r="A37" s="16"/>
      <c r="B37" s="16"/>
      <c r="C37" s="16"/>
      <c r="D37" s="36"/>
      <c r="E37" s="20"/>
      <c r="F37" s="20"/>
      <c r="G37" s="22"/>
      <c r="H37" s="16">
        <f t="shared" si="3"/>
        <v>0</v>
      </c>
      <c r="I37" s="16"/>
    </row>
    <row r="38" spans="1:9" x14ac:dyDescent="0.25">
      <c r="A38" s="16"/>
      <c r="B38" s="16"/>
      <c r="C38" s="16"/>
      <c r="D38" s="36"/>
      <c r="E38" s="20"/>
      <c r="F38" s="20"/>
      <c r="G38" s="22"/>
      <c r="H38" s="16">
        <f t="shared" si="3"/>
        <v>0</v>
      </c>
      <c r="I38" s="16"/>
    </row>
    <row r="39" spans="1:9" x14ac:dyDescent="0.25">
      <c r="A39" s="16"/>
      <c r="B39" s="16"/>
      <c r="C39" s="16"/>
      <c r="D39" s="36"/>
      <c r="E39" s="20"/>
      <c r="F39" s="20"/>
      <c r="G39" s="22"/>
      <c r="H39" s="16">
        <f t="shared" si="3"/>
        <v>0</v>
      </c>
      <c r="I39" s="16"/>
    </row>
    <row r="40" spans="1:9" x14ac:dyDescent="0.25">
      <c r="A40" s="16" t="s">
        <v>41</v>
      </c>
      <c r="B40" s="16">
        <v>30</v>
      </c>
      <c r="D40" s="28"/>
      <c r="G40" s="44" t="s">
        <v>34</v>
      </c>
      <c r="H40" s="16">
        <f>SUM(H33:H39)</f>
        <v>130</v>
      </c>
      <c r="I40" s="18">
        <f>1-(H40/(B40*24*COUNT(C11:C20)))</f>
        <v>0.9819444444444444</v>
      </c>
    </row>
    <row r="41" spans="1:9" x14ac:dyDescent="0.25">
      <c r="D41" s="28"/>
      <c r="H41" s="44"/>
      <c r="I41" s="4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24" sqref="E24"/>
    </sheetView>
  </sheetViews>
  <sheetFormatPr defaultRowHeight="13.2" x14ac:dyDescent="0.25"/>
  <cols>
    <col min="1" max="3" width="13" customWidth="1"/>
    <col min="4" max="6" width="16.6640625" customWidth="1"/>
    <col min="7" max="7" width="18.6640625" customWidth="1"/>
    <col min="8" max="10" width="16.6640625" customWidth="1"/>
  </cols>
  <sheetData>
    <row r="1" spans="1:10" ht="30" x14ac:dyDescent="0.5">
      <c r="A1" s="1" t="s">
        <v>42</v>
      </c>
      <c r="D1" s="28"/>
      <c r="J1" s="2"/>
    </row>
    <row r="2" spans="1:10" x14ac:dyDescent="0.25">
      <c r="D2" s="28"/>
      <c r="J2" s="2"/>
    </row>
    <row r="3" spans="1:10" x14ac:dyDescent="0.25">
      <c r="A3" t="s">
        <v>12</v>
      </c>
      <c r="D3" s="28"/>
      <c r="J3" s="2"/>
    </row>
    <row r="4" spans="1:10" x14ac:dyDescent="0.25">
      <c r="A4" t="s">
        <v>13</v>
      </c>
      <c r="D4" s="28"/>
      <c r="J4" s="2"/>
    </row>
    <row r="5" spans="1:10" x14ac:dyDescent="0.25">
      <c r="A5" t="s">
        <v>15</v>
      </c>
      <c r="D5" s="28"/>
      <c r="J5" s="2"/>
    </row>
    <row r="6" spans="1:10" x14ac:dyDescent="0.25">
      <c r="A6" t="s">
        <v>14</v>
      </c>
      <c r="D6" s="28"/>
      <c r="J6" s="2"/>
    </row>
    <row r="7" spans="1:10" x14ac:dyDescent="0.25">
      <c r="D7" s="28"/>
      <c r="J7" s="2"/>
    </row>
    <row r="8" spans="1:10" ht="17.399999999999999" x14ac:dyDescent="0.3">
      <c r="A8" s="34" t="s">
        <v>26</v>
      </c>
      <c r="D8" s="28"/>
      <c r="J8" s="2"/>
    </row>
    <row r="9" spans="1:10" x14ac:dyDescent="0.25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5.6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5">
      <c r="A11" s="16" t="s">
        <v>17</v>
      </c>
      <c r="B11" s="16">
        <v>1</v>
      </c>
      <c r="C11" s="16">
        <v>1</v>
      </c>
      <c r="D11" s="31">
        <v>37226</v>
      </c>
      <c r="E11" s="25">
        <v>324439</v>
      </c>
      <c r="F11" s="26">
        <v>854</v>
      </c>
      <c r="G11" s="25">
        <f>E11-F11</f>
        <v>323585</v>
      </c>
      <c r="H11" s="27">
        <f>G11/(B$40*24*1500)</f>
        <v>0.28995071684587814</v>
      </c>
      <c r="I11" s="27">
        <v>0.79400000000000004</v>
      </c>
      <c r="J11" s="25">
        <f>I11*(744)</f>
        <v>590.73599999999999</v>
      </c>
    </row>
    <row r="12" spans="1:10" x14ac:dyDescent="0.25">
      <c r="A12" s="16" t="s">
        <v>17</v>
      </c>
      <c r="B12" s="16">
        <v>1</v>
      </c>
      <c r="C12" s="16">
        <v>2</v>
      </c>
      <c r="D12" s="31">
        <v>37226</v>
      </c>
      <c r="E12" s="25">
        <v>136018</v>
      </c>
      <c r="F12" s="26">
        <v>1112</v>
      </c>
      <c r="G12" s="25">
        <f t="shared" ref="G12:G20" si="0">E12-F12</f>
        <v>134906</v>
      </c>
      <c r="H12" s="27">
        <f t="shared" ref="H12:H20" si="1">G12/(B$40*24*1500)</f>
        <v>0.12088351254480287</v>
      </c>
      <c r="I12" s="27">
        <v>0.95499999999999996</v>
      </c>
      <c r="J12" s="25">
        <f t="shared" ref="J12:J20" si="2">I12*(744)</f>
        <v>710.52</v>
      </c>
    </row>
    <row r="13" spans="1:10" x14ac:dyDescent="0.25">
      <c r="A13" s="16" t="s">
        <v>17</v>
      </c>
      <c r="B13" s="16">
        <v>1</v>
      </c>
      <c r="C13" s="16">
        <v>3</v>
      </c>
      <c r="D13" s="31">
        <v>37226</v>
      </c>
      <c r="E13" s="25">
        <v>369856</v>
      </c>
      <c r="F13" s="26">
        <v>222</v>
      </c>
      <c r="G13" s="25">
        <f t="shared" si="0"/>
        <v>369634</v>
      </c>
      <c r="H13" s="27">
        <f t="shared" si="1"/>
        <v>0.33121326164874554</v>
      </c>
      <c r="I13" s="27">
        <v>0.96599999999999997</v>
      </c>
      <c r="J13" s="25">
        <f t="shared" si="2"/>
        <v>718.70399999999995</v>
      </c>
    </row>
    <row r="14" spans="1:10" x14ac:dyDescent="0.25">
      <c r="A14" s="16" t="s">
        <v>17</v>
      </c>
      <c r="B14" s="16">
        <v>1</v>
      </c>
      <c r="C14" s="16">
        <v>4</v>
      </c>
      <c r="D14" s="31">
        <v>37226</v>
      </c>
      <c r="E14" s="25">
        <v>459203</v>
      </c>
      <c r="F14" s="26">
        <v>470</v>
      </c>
      <c r="G14" s="25">
        <f t="shared" si="0"/>
        <v>458733</v>
      </c>
      <c r="H14" s="27">
        <f t="shared" si="1"/>
        <v>0.41105107526881718</v>
      </c>
      <c r="I14" s="27">
        <v>0.96299999999999997</v>
      </c>
      <c r="J14" s="25">
        <f t="shared" si="2"/>
        <v>716.47199999999998</v>
      </c>
    </row>
    <row r="15" spans="1:10" x14ac:dyDescent="0.25">
      <c r="A15" s="16" t="s">
        <v>17</v>
      </c>
      <c r="B15" s="16">
        <v>1</v>
      </c>
      <c r="C15" s="16">
        <v>5</v>
      </c>
      <c r="D15" s="31">
        <v>37226</v>
      </c>
      <c r="E15" s="25">
        <v>461542</v>
      </c>
      <c r="F15" s="26">
        <v>819</v>
      </c>
      <c r="G15" s="25">
        <f t="shared" si="0"/>
        <v>460723</v>
      </c>
      <c r="H15" s="27">
        <f t="shared" si="1"/>
        <v>0.41283422939068098</v>
      </c>
      <c r="I15" s="27">
        <v>0.92800000000000005</v>
      </c>
      <c r="J15" s="25">
        <f t="shared" si="2"/>
        <v>690.43200000000002</v>
      </c>
    </row>
    <row r="16" spans="1:10" x14ac:dyDescent="0.25">
      <c r="A16" s="16" t="s">
        <v>17</v>
      </c>
      <c r="B16" s="16">
        <v>1</v>
      </c>
      <c r="C16" s="16">
        <v>6</v>
      </c>
      <c r="D16" s="31">
        <v>37226</v>
      </c>
      <c r="E16" s="25">
        <v>461014</v>
      </c>
      <c r="F16" s="26">
        <v>306</v>
      </c>
      <c r="G16" s="25">
        <f t="shared" si="0"/>
        <v>460708</v>
      </c>
      <c r="H16" s="27">
        <f t="shared" si="1"/>
        <v>0.41282078853046594</v>
      </c>
      <c r="I16" s="27">
        <v>0.98499999999999999</v>
      </c>
      <c r="J16" s="25">
        <f t="shared" si="2"/>
        <v>732.84</v>
      </c>
    </row>
    <row r="17" spans="1:10" x14ac:dyDescent="0.25">
      <c r="A17" s="16" t="s">
        <v>17</v>
      </c>
      <c r="B17" s="16">
        <v>1</v>
      </c>
      <c r="C17" s="16">
        <v>7</v>
      </c>
      <c r="D17" s="31">
        <v>37226</v>
      </c>
      <c r="E17" s="25">
        <v>129466</v>
      </c>
      <c r="F17" s="26">
        <v>2419</v>
      </c>
      <c r="G17" s="25">
        <f t="shared" si="0"/>
        <v>127047</v>
      </c>
      <c r="H17" s="27">
        <f t="shared" si="1"/>
        <v>0.11384139784946237</v>
      </c>
      <c r="I17" s="27">
        <v>0.46600000000000003</v>
      </c>
      <c r="J17" s="25">
        <f t="shared" si="2"/>
        <v>346.70400000000001</v>
      </c>
    </row>
    <row r="18" spans="1:10" x14ac:dyDescent="0.25">
      <c r="A18" s="16" t="s">
        <v>17</v>
      </c>
      <c r="B18" s="16">
        <v>1</v>
      </c>
      <c r="C18" s="16">
        <v>8</v>
      </c>
      <c r="D18" s="31">
        <v>37226</v>
      </c>
      <c r="E18" s="25">
        <v>399723</v>
      </c>
      <c r="F18" s="26">
        <v>754</v>
      </c>
      <c r="G18" s="25">
        <f t="shared" si="0"/>
        <v>398969</v>
      </c>
      <c r="H18" s="27">
        <f t="shared" si="1"/>
        <v>0.35749910394265233</v>
      </c>
      <c r="I18" s="27">
        <v>0.85799999999999998</v>
      </c>
      <c r="J18" s="25">
        <f t="shared" si="2"/>
        <v>638.35199999999998</v>
      </c>
    </row>
    <row r="19" spans="1:10" x14ac:dyDescent="0.25">
      <c r="A19" s="16" t="s">
        <v>17</v>
      </c>
      <c r="B19" s="16">
        <v>1</v>
      </c>
      <c r="C19" s="16">
        <v>9</v>
      </c>
      <c r="D19" s="31">
        <v>37226</v>
      </c>
      <c r="E19" s="25">
        <v>491056</v>
      </c>
      <c r="F19" s="26">
        <v>332</v>
      </c>
      <c r="G19" s="25">
        <f t="shared" si="0"/>
        <v>490724</v>
      </c>
      <c r="H19" s="27">
        <f t="shared" si="1"/>
        <v>0.4397168458781362</v>
      </c>
      <c r="I19" s="27">
        <v>0.98199999999999998</v>
      </c>
      <c r="J19" s="25">
        <f t="shared" si="2"/>
        <v>730.60799999999995</v>
      </c>
    </row>
    <row r="20" spans="1:10" x14ac:dyDescent="0.25">
      <c r="A20" s="16" t="s">
        <v>17</v>
      </c>
      <c r="B20" s="16">
        <v>1</v>
      </c>
      <c r="C20" s="16">
        <v>10</v>
      </c>
      <c r="D20" s="31">
        <v>37226</v>
      </c>
      <c r="E20" s="25">
        <v>322212</v>
      </c>
      <c r="F20" s="26">
        <v>1241</v>
      </c>
      <c r="G20" s="25">
        <f t="shared" si="0"/>
        <v>320971</v>
      </c>
      <c r="H20" s="27">
        <f t="shared" si="1"/>
        <v>0.28760842293906808</v>
      </c>
      <c r="I20" s="27">
        <v>0.69199999999999995</v>
      </c>
      <c r="J20" s="25">
        <f t="shared" si="2"/>
        <v>514.84799999999996</v>
      </c>
    </row>
    <row r="21" spans="1:10" x14ac:dyDescent="0.25">
      <c r="A21" s="19"/>
      <c r="B21" s="20"/>
      <c r="C21" s="21" t="s">
        <v>24</v>
      </c>
      <c r="D21" s="31" t="s">
        <v>20</v>
      </c>
      <c r="E21" s="25">
        <f>SUM(E11:E20)</f>
        <v>3554529</v>
      </c>
      <c r="F21" s="25">
        <f>SUM(F11:F20)</f>
        <v>8529</v>
      </c>
      <c r="G21" s="25">
        <f>SUM(G11:G20)</f>
        <v>3546000</v>
      </c>
      <c r="H21" s="27">
        <f>AVERAGE(H11:H20)</f>
        <v>0.31774193548387097</v>
      </c>
      <c r="I21" s="27">
        <f>AVERAGE(I11:I20)</f>
        <v>0.8589</v>
      </c>
      <c r="J21" s="25">
        <f>SUM(J11:J20)</f>
        <v>6390.2159999999994</v>
      </c>
    </row>
    <row r="22" spans="1:10" ht="15.6" x14ac:dyDescent="0.25">
      <c r="A22" s="19"/>
      <c r="B22" s="20"/>
      <c r="C22" s="21" t="s">
        <v>21</v>
      </c>
      <c r="D22" s="31" t="s">
        <v>20</v>
      </c>
      <c r="E22" s="17">
        <f>E21*(0.02)</f>
        <v>71090.58</v>
      </c>
      <c r="F22" s="17">
        <f>F21*(0.02)</f>
        <v>170.58</v>
      </c>
      <c r="G22" s="17">
        <f>G21*(0.02)</f>
        <v>70920</v>
      </c>
      <c r="H22" s="32" t="s">
        <v>25</v>
      </c>
      <c r="I22" s="33" t="s">
        <v>25</v>
      </c>
      <c r="J22" s="32" t="s">
        <v>25</v>
      </c>
    </row>
    <row r="23" spans="1:10" x14ac:dyDescent="0.25">
      <c r="A23" s="19"/>
      <c r="B23" s="20"/>
      <c r="C23" s="21" t="s">
        <v>23</v>
      </c>
      <c r="D23" s="31" t="s">
        <v>20</v>
      </c>
      <c r="E23" s="17">
        <f>E21-E22</f>
        <v>3483438.42</v>
      </c>
      <c r="F23" s="17">
        <f>F21-F22</f>
        <v>8358.42</v>
      </c>
      <c r="G23" s="17">
        <f>G21-G22</f>
        <v>3475080</v>
      </c>
      <c r="H23" s="27">
        <f>G23/(1500*24*B40*COUNT(H11:H20))</f>
        <v>0.31138709677419357</v>
      </c>
      <c r="I23" s="27">
        <f>I21</f>
        <v>0.8589</v>
      </c>
      <c r="J23" s="25">
        <f>J21</f>
        <v>6390.2159999999994</v>
      </c>
    </row>
    <row r="24" spans="1:10" x14ac:dyDescent="0.25">
      <c r="A24" s="19"/>
      <c r="B24" s="20"/>
      <c r="C24" s="21" t="s">
        <v>23</v>
      </c>
      <c r="D24" s="24" t="s">
        <v>9</v>
      </c>
      <c r="E24" s="17">
        <f>E23+'1101'!E24</f>
        <v>7623785.54</v>
      </c>
      <c r="F24" s="17">
        <f>F23+'1101'!F24</f>
        <v>19930.260000000002</v>
      </c>
      <c r="G24" s="17">
        <f>G23+'1101'!G24</f>
        <v>7603855.2800000003</v>
      </c>
      <c r="H24" s="18">
        <f>AVERAGE(H23,'1001'!H23,'1101'!H23)</f>
        <v>0.22990029874551973</v>
      </c>
      <c r="I24" s="18">
        <f>AVERAGE(I23,'1001'!I23,'1101'!I23)</f>
        <v>0.8777166666666667</v>
      </c>
      <c r="J24" s="17">
        <f>J23+'1101'!J24</f>
        <v>19590.635999999999</v>
      </c>
    </row>
    <row r="25" spans="1:10" x14ac:dyDescent="0.25">
      <c r="D25" s="30"/>
      <c r="E25" s="2"/>
      <c r="F25" s="2"/>
      <c r="G25" s="2"/>
      <c r="H25" s="2"/>
      <c r="I25" s="23"/>
      <c r="J25" s="2"/>
    </row>
    <row r="26" spans="1:10" x14ac:dyDescent="0.25">
      <c r="A26" t="s">
        <v>8</v>
      </c>
      <c r="D26" s="30"/>
      <c r="E26" s="2"/>
      <c r="F26" s="2"/>
      <c r="G26" s="2"/>
      <c r="H26" s="2"/>
      <c r="I26" s="23"/>
    </row>
    <row r="27" spans="1:10" x14ac:dyDescent="0.25">
      <c r="A27" t="s">
        <v>18</v>
      </c>
      <c r="D27" s="30"/>
      <c r="E27" s="2"/>
      <c r="F27" s="2"/>
      <c r="G27" s="2"/>
      <c r="H27" s="2"/>
      <c r="I27" s="23"/>
      <c r="J27" s="2"/>
    </row>
    <row r="28" spans="1:10" x14ac:dyDescent="0.25">
      <c r="A28" t="s">
        <v>22</v>
      </c>
      <c r="D28" s="28"/>
      <c r="G28" s="2"/>
      <c r="H28" s="2"/>
      <c r="I28" s="23"/>
      <c r="J28" s="2"/>
    </row>
    <row r="29" spans="1:10" x14ac:dyDescent="0.25">
      <c r="D29" s="28"/>
      <c r="G29" s="2"/>
      <c r="H29" s="2"/>
      <c r="I29" s="23"/>
      <c r="J29" s="2"/>
    </row>
    <row r="30" spans="1:10" x14ac:dyDescent="0.25">
      <c r="D30" s="28"/>
      <c r="E30" s="2"/>
      <c r="F30" s="2"/>
      <c r="G30" s="2"/>
      <c r="H30" s="2"/>
      <c r="J30" s="2"/>
    </row>
    <row r="31" spans="1:10" ht="17.399999999999999" x14ac:dyDescent="0.3">
      <c r="A31" s="34" t="s">
        <v>27</v>
      </c>
      <c r="D31" s="28"/>
      <c r="G31" s="2"/>
      <c r="H31" s="2"/>
      <c r="J31" s="2"/>
    </row>
    <row r="32" spans="1:10" ht="26.4" x14ac:dyDescent="0.25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2" t="s">
        <v>39</v>
      </c>
      <c r="H32" s="42" t="s">
        <v>31</v>
      </c>
      <c r="I32" s="43" t="s">
        <v>35</v>
      </c>
      <c r="J32" s="2"/>
    </row>
    <row r="33" spans="1:9" x14ac:dyDescent="0.25">
      <c r="A33" s="16">
        <v>10</v>
      </c>
      <c r="B33" s="45">
        <v>37240</v>
      </c>
      <c r="C33" s="45">
        <v>37240</v>
      </c>
      <c r="D33" s="35" t="s">
        <v>43</v>
      </c>
      <c r="E33" s="19"/>
      <c r="F33" s="20"/>
      <c r="G33" s="22">
        <v>5.75</v>
      </c>
      <c r="H33" s="16">
        <f>G33*A33</f>
        <v>57.5</v>
      </c>
      <c r="I33" s="18"/>
    </row>
    <row r="34" spans="1:9" x14ac:dyDescent="0.25">
      <c r="A34" s="16">
        <v>10</v>
      </c>
      <c r="B34" s="45">
        <v>37243</v>
      </c>
      <c r="C34" s="45">
        <v>37243</v>
      </c>
      <c r="D34" s="37" t="s">
        <v>44</v>
      </c>
      <c r="E34" s="20"/>
      <c r="F34" s="20"/>
      <c r="G34" s="22">
        <v>11.25</v>
      </c>
      <c r="H34" s="16">
        <f t="shared" ref="H34:H39" si="3">G34*A34</f>
        <v>112.5</v>
      </c>
      <c r="I34" s="16"/>
    </row>
    <row r="35" spans="1:9" x14ac:dyDescent="0.25">
      <c r="A35" s="16">
        <v>10</v>
      </c>
      <c r="B35" s="45">
        <v>37243</v>
      </c>
      <c r="C35" s="45">
        <v>37243</v>
      </c>
      <c r="D35" s="37" t="s">
        <v>45</v>
      </c>
      <c r="E35" s="20"/>
      <c r="F35" s="20"/>
      <c r="G35" s="22">
        <v>0.25</v>
      </c>
      <c r="H35" s="16">
        <f t="shared" si="3"/>
        <v>2.5</v>
      </c>
      <c r="I35" s="16"/>
    </row>
    <row r="36" spans="1:9" x14ac:dyDescent="0.25">
      <c r="A36" s="16">
        <v>10</v>
      </c>
      <c r="B36" s="45">
        <v>37243</v>
      </c>
      <c r="C36" s="45">
        <v>37243</v>
      </c>
      <c r="D36" s="36" t="s">
        <v>46</v>
      </c>
      <c r="E36" s="20"/>
      <c r="F36" s="20"/>
      <c r="G36" s="22">
        <v>3.25</v>
      </c>
      <c r="H36" s="16">
        <f t="shared" si="3"/>
        <v>32.5</v>
      </c>
      <c r="I36" s="16"/>
    </row>
    <row r="37" spans="1:9" x14ac:dyDescent="0.25">
      <c r="A37" s="16">
        <v>10</v>
      </c>
      <c r="B37" s="45">
        <v>37243</v>
      </c>
      <c r="C37" s="45">
        <v>37244</v>
      </c>
      <c r="D37" s="36" t="s">
        <v>46</v>
      </c>
      <c r="E37" s="20"/>
      <c r="F37" s="20"/>
      <c r="G37" s="22">
        <v>8.5</v>
      </c>
      <c r="H37" s="16">
        <f t="shared" si="3"/>
        <v>85</v>
      </c>
      <c r="I37" s="16"/>
    </row>
    <row r="38" spans="1:9" x14ac:dyDescent="0.25">
      <c r="A38" s="16">
        <v>10</v>
      </c>
      <c r="B38" s="45">
        <v>37245</v>
      </c>
      <c r="C38" s="45">
        <v>37245</v>
      </c>
      <c r="D38" s="36" t="s">
        <v>46</v>
      </c>
      <c r="E38" s="20"/>
      <c r="F38" s="20"/>
      <c r="G38" s="22">
        <v>2.5</v>
      </c>
      <c r="H38" s="16">
        <f t="shared" si="3"/>
        <v>25</v>
      </c>
      <c r="I38" s="16"/>
    </row>
    <row r="39" spans="1:9" x14ac:dyDescent="0.25">
      <c r="A39" s="16">
        <v>10</v>
      </c>
      <c r="B39" s="16"/>
      <c r="C39" s="16"/>
      <c r="D39" s="36"/>
      <c r="E39" s="20"/>
      <c r="F39" s="20"/>
      <c r="G39" s="22"/>
      <c r="H39" s="16">
        <f t="shared" si="3"/>
        <v>0</v>
      </c>
      <c r="I39" s="16"/>
    </row>
    <row r="40" spans="1:9" x14ac:dyDescent="0.25">
      <c r="A40" s="16" t="s">
        <v>41</v>
      </c>
      <c r="B40" s="16">
        <v>31</v>
      </c>
      <c r="D40" s="28"/>
      <c r="G40" s="44" t="s">
        <v>34</v>
      </c>
      <c r="H40" s="16">
        <f>SUM(H33:H39)</f>
        <v>315</v>
      </c>
      <c r="I40" s="18">
        <f>1-(H40/(B40*24*COUNT(C11:C20)))</f>
        <v>0.95766129032258063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1"/>
  <sheetViews>
    <sheetView topLeftCell="C10" workbookViewId="0">
      <selection activeCell="J12" sqref="J12"/>
    </sheetView>
  </sheetViews>
  <sheetFormatPr defaultRowHeight="13.2" x14ac:dyDescent="0.25"/>
  <cols>
    <col min="4" max="4" width="10.5546875" customWidth="1"/>
    <col min="5" max="11" width="15.6640625" customWidth="1"/>
    <col min="13" max="13" width="14.33203125" customWidth="1"/>
    <col min="25" max="25" width="15.33203125" customWidth="1"/>
    <col min="26" max="26" width="13" customWidth="1"/>
  </cols>
  <sheetData>
    <row r="1" spans="1:48" ht="30" x14ac:dyDescent="0.5">
      <c r="A1" s="1" t="s">
        <v>47</v>
      </c>
      <c r="D1" s="28"/>
      <c r="K1" s="2"/>
    </row>
    <row r="2" spans="1:48" x14ac:dyDescent="0.25">
      <c r="D2" s="28"/>
      <c r="K2" s="2"/>
    </row>
    <row r="3" spans="1:48" x14ac:dyDescent="0.25">
      <c r="A3" t="s">
        <v>12</v>
      </c>
      <c r="D3" s="28"/>
      <c r="K3" s="2"/>
    </row>
    <row r="4" spans="1:48" x14ac:dyDescent="0.25">
      <c r="A4" t="s">
        <v>13</v>
      </c>
      <c r="D4" s="28"/>
      <c r="K4" s="2"/>
    </row>
    <row r="5" spans="1:48" x14ac:dyDescent="0.25">
      <c r="A5" t="s">
        <v>15</v>
      </c>
      <c r="D5" s="28"/>
      <c r="K5" s="2"/>
    </row>
    <row r="6" spans="1:48" x14ac:dyDescent="0.25">
      <c r="A6" t="s">
        <v>14</v>
      </c>
      <c r="D6" s="28"/>
      <c r="K6" s="2"/>
    </row>
    <row r="7" spans="1:48" x14ac:dyDescent="0.25">
      <c r="D7" s="28"/>
      <c r="K7" s="2"/>
    </row>
    <row r="8" spans="1:48" ht="17.399999999999999" x14ac:dyDescent="0.3">
      <c r="A8" s="34" t="s">
        <v>26</v>
      </c>
      <c r="D8" s="28"/>
      <c r="K8" s="2"/>
    </row>
    <row r="9" spans="1:48" ht="26.4" x14ac:dyDescent="0.25">
      <c r="A9" s="3"/>
      <c r="B9" s="3"/>
      <c r="C9" s="3"/>
      <c r="D9" s="29"/>
      <c r="E9" s="126" t="s">
        <v>7</v>
      </c>
      <c r="F9" s="127"/>
      <c r="G9" s="128"/>
      <c r="H9" s="129"/>
      <c r="I9" s="130"/>
      <c r="J9" s="130"/>
      <c r="K9" s="9"/>
      <c r="M9" s="51"/>
      <c r="AL9" t="s">
        <v>48</v>
      </c>
      <c r="AM9" t="s">
        <v>48</v>
      </c>
      <c r="AN9" t="s">
        <v>48</v>
      </c>
      <c r="AO9" t="s">
        <v>154</v>
      </c>
      <c r="AP9" t="s">
        <v>77</v>
      </c>
      <c r="AQ9" t="s">
        <v>76</v>
      </c>
      <c r="AR9" t="s">
        <v>78</v>
      </c>
      <c r="AV9" t="s">
        <v>76</v>
      </c>
    </row>
    <row r="10" spans="1:48" ht="26.4" x14ac:dyDescent="0.25">
      <c r="A10" s="10" t="s">
        <v>0</v>
      </c>
      <c r="B10" s="10" t="s">
        <v>1</v>
      </c>
      <c r="C10" s="10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15" t="s">
        <v>11</v>
      </c>
      <c r="M10" s="51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55</v>
      </c>
      <c r="S10" t="s">
        <v>56</v>
      </c>
      <c r="T10" t="s">
        <v>57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63</v>
      </c>
      <c r="AB10" t="s">
        <v>64</v>
      </c>
      <c r="AC10" t="s">
        <v>65</v>
      </c>
      <c r="AD10" t="s">
        <v>66</v>
      </c>
      <c r="AE10" t="s">
        <v>67</v>
      </c>
      <c r="AF10" t="s">
        <v>68</v>
      </c>
      <c r="AG10" t="s">
        <v>69</v>
      </c>
      <c r="AH10" t="s">
        <v>70</v>
      </c>
      <c r="AI10" t="s">
        <v>60</v>
      </c>
      <c r="AJ10" t="s">
        <v>71</v>
      </c>
      <c r="AK10" t="s">
        <v>72</v>
      </c>
      <c r="AL10" t="s">
        <v>73</v>
      </c>
      <c r="AM10" t="s">
        <v>74</v>
      </c>
      <c r="AN10" t="s">
        <v>75</v>
      </c>
      <c r="AO10" t="s">
        <v>155</v>
      </c>
      <c r="AP10" t="s">
        <v>79</v>
      </c>
      <c r="AQ10" t="s">
        <v>49</v>
      </c>
      <c r="AR10" t="s">
        <v>49</v>
      </c>
      <c r="AS10" t="s">
        <v>80</v>
      </c>
      <c r="AT10" t="s">
        <v>81</v>
      </c>
      <c r="AU10" t="s">
        <v>82</v>
      </c>
      <c r="AV10" t="s">
        <v>156</v>
      </c>
    </row>
    <row r="11" spans="1:48" x14ac:dyDescent="0.25">
      <c r="A11" s="16" t="s">
        <v>17</v>
      </c>
      <c r="B11" s="16">
        <v>1</v>
      </c>
      <c r="C11" s="16">
        <v>1</v>
      </c>
      <c r="D11" s="31">
        <v>37257</v>
      </c>
      <c r="E11" s="25">
        <f>Z11-N11</f>
        <v>514300</v>
      </c>
      <c r="F11" s="25">
        <f>AA11-O11</f>
        <v>165</v>
      </c>
      <c r="G11" s="17">
        <f>E11-F11</f>
        <v>514135</v>
      </c>
      <c r="H11" s="18">
        <f>G11/(1500*AJ11)</f>
        <v>0.48774726336762925</v>
      </c>
      <c r="I11" s="27">
        <f>MIN(AQ11-(I32/AJ11),1)</f>
        <v>0.99964340172940813</v>
      </c>
      <c r="J11" s="27">
        <f>MIN(AV11-(I32/AJ11),1)</f>
        <v>0.99395336213098784</v>
      </c>
      <c r="K11" s="17">
        <f>I11*MAX(AK11,AJ11)</f>
        <v>702.48357287828799</v>
      </c>
      <c r="M11" s="51">
        <v>37258.718055555553</v>
      </c>
      <c r="N11">
        <v>851801</v>
      </c>
      <c r="O11">
        <v>2099</v>
      </c>
      <c r="P11">
        <v>4679818</v>
      </c>
      <c r="Q11">
        <v>5304166</v>
      </c>
      <c r="R11">
        <v>1083331</v>
      </c>
      <c r="S11">
        <v>441197</v>
      </c>
      <c r="T11">
        <v>200325</v>
      </c>
      <c r="U11">
        <v>0</v>
      </c>
      <c r="V11">
        <v>38191</v>
      </c>
      <c r="W11">
        <v>113360</v>
      </c>
      <c r="Y11" s="51">
        <v>37287.998645833337</v>
      </c>
      <c r="Z11" s="52">
        <v>1366101</v>
      </c>
      <c r="AA11">
        <v>2264</v>
      </c>
      <c r="AB11">
        <v>7086392</v>
      </c>
      <c r="AC11">
        <v>7786323</v>
      </c>
      <c r="AD11">
        <v>1098628</v>
      </c>
      <c r="AE11">
        <v>467683</v>
      </c>
      <c r="AF11">
        <v>206197</v>
      </c>
      <c r="AG11">
        <v>0</v>
      </c>
      <c r="AH11">
        <v>38191</v>
      </c>
      <c r="AI11">
        <v>113360</v>
      </c>
      <c r="AJ11">
        <f>(Y11-M11)*24</f>
        <v>702.73416666680714</v>
      </c>
      <c r="AK11">
        <f>(SUM(AC11:AI11)-SUM(Q11:W11))/3600</f>
        <v>702.7255555555555</v>
      </c>
      <c r="AL11">
        <f>AD11-R11</f>
        <v>15297</v>
      </c>
      <c r="AM11">
        <f>AI11-W11</f>
        <v>0</v>
      </c>
      <c r="AN11">
        <f>AH11-V11</f>
        <v>0</v>
      </c>
      <c r="AO11">
        <f>(AE11-S11)/3600</f>
        <v>7.3572222222222221</v>
      </c>
      <c r="AP11">
        <f>AK11/AJ11</f>
        <v>0.99998774627496412</v>
      </c>
      <c r="AQ11">
        <f>(AJ11*3600-AL11-AM11-AN11-AO11)/((AJ11-4)*3600-AO11)</f>
        <v>0.99964340172940813</v>
      </c>
      <c r="AR11">
        <f>(AK11*3600-AL11-AM11-AN11)/((AK11-4)*3600)</f>
        <v>0.99964339837768124</v>
      </c>
      <c r="AS11" s="23">
        <f>AL11/($AJ11*3600)</f>
        <v>6.0466202843405467E-3</v>
      </c>
      <c r="AT11" s="23">
        <f>AM11/($AJ11*3600)</f>
        <v>0</v>
      </c>
      <c r="AU11" s="23">
        <f>AN11/($AJ11*3600)</f>
        <v>0</v>
      </c>
      <c r="AV11">
        <f>(AJ11*3600-AL11-AM11-AN11-AO11)/((AJ11)*3600-AO11)</f>
        <v>0.99395336213098784</v>
      </c>
    </row>
    <row r="12" spans="1:48" x14ac:dyDescent="0.25">
      <c r="A12" s="16" t="s">
        <v>17</v>
      </c>
      <c r="B12" s="16">
        <v>1</v>
      </c>
      <c r="C12" s="16">
        <v>2</v>
      </c>
      <c r="D12" s="31">
        <v>37257</v>
      </c>
      <c r="E12" s="25">
        <f>Z12-N12</f>
        <v>499214</v>
      </c>
      <c r="F12" s="25">
        <f>AA12-O12</f>
        <v>468</v>
      </c>
      <c r="G12" s="17">
        <f>E12-F12</f>
        <v>498746</v>
      </c>
      <c r="H12" s="18">
        <f>G12/(1500*AJ12)</f>
        <v>0.46502021513872055</v>
      </c>
      <c r="I12" s="27">
        <f t="shared" ref="I12:I20" si="0">MIN(AQ12-(I33/AJ12),1)</f>
        <v>0.92327830765804531</v>
      </c>
      <c r="J12" s="27">
        <f t="shared" ref="J12:J20" si="1">MIN(AV12-(I33/AJ12),1)</f>
        <v>0.91800368407842936</v>
      </c>
      <c r="K12" s="17">
        <f>I12*MAX(AK12,AJ12)</f>
        <v>660.16091674447614</v>
      </c>
      <c r="M12" s="51">
        <v>37257.207962962966</v>
      </c>
      <c r="N12">
        <v>453811</v>
      </c>
      <c r="O12">
        <v>2718</v>
      </c>
      <c r="P12">
        <v>2424508</v>
      </c>
      <c r="Q12">
        <v>3820855</v>
      </c>
      <c r="R12">
        <v>523533</v>
      </c>
      <c r="S12">
        <v>156525</v>
      </c>
      <c r="T12">
        <v>357804</v>
      </c>
      <c r="U12">
        <v>0</v>
      </c>
      <c r="V12">
        <v>271376</v>
      </c>
      <c r="W12">
        <v>182167</v>
      </c>
      <c r="Y12" s="53">
        <v>37287.000335648147</v>
      </c>
      <c r="Z12">
        <v>953025</v>
      </c>
      <c r="AA12">
        <v>3186</v>
      </c>
      <c r="AB12">
        <v>4636456</v>
      </c>
      <c r="AC12">
        <v>6191796</v>
      </c>
      <c r="AD12">
        <v>683097</v>
      </c>
      <c r="AE12">
        <v>186457</v>
      </c>
      <c r="AF12">
        <v>370334</v>
      </c>
      <c r="AG12">
        <v>0</v>
      </c>
      <c r="AH12">
        <v>272475</v>
      </c>
      <c r="AI12">
        <v>182167</v>
      </c>
      <c r="AJ12">
        <f>(Y12-M12)*24</f>
        <v>715.01694444433087</v>
      </c>
      <c r="AK12">
        <f>(SUM(AC12:AI12)-SUM(Q12:W12))/3600</f>
        <v>715.01833333333332</v>
      </c>
      <c r="AL12">
        <f>AD12-R12</f>
        <v>159564</v>
      </c>
      <c r="AM12">
        <f>AI12-W12</f>
        <v>0</v>
      </c>
      <c r="AN12">
        <f>AH12-V12</f>
        <v>1099</v>
      </c>
      <c r="AO12">
        <f t="shared" ref="AO12:AO20" si="2">(AE12-S12)/3600</f>
        <v>8.3144444444444439</v>
      </c>
      <c r="AP12">
        <f>AK12/AJ12</f>
        <v>1.000001942456068</v>
      </c>
      <c r="AQ12">
        <f t="shared" ref="AQ12:AQ20" si="3">(AJ12*3600-AL12-AM12-AN12-AO12)/((AJ12-4)*3600-AO12)</f>
        <v>0.94285826322242705</v>
      </c>
      <c r="AR12">
        <f>(AK12*3600-AL12-AM12-AN12)/((AK12-4)*3600)</f>
        <v>0.94285856045280902</v>
      </c>
      <c r="AS12" s="23">
        <f t="shared" ref="AS12:AU13" si="4">AL12/($AL12*3600)</f>
        <v>2.7777777777777778E-4</v>
      </c>
      <c r="AT12" s="23">
        <f t="shared" si="4"/>
        <v>0</v>
      </c>
      <c r="AU12" s="23">
        <f t="shared" si="4"/>
        <v>1.9131995799665201E-6</v>
      </c>
      <c r="AV12">
        <f t="shared" ref="AV12:AV20" si="5">(AJ12*3600-AL12-AM12-AN12-AO12)/((AJ12)*3600-AO12)</f>
        <v>0.93758363964281111</v>
      </c>
    </row>
    <row r="13" spans="1:48" x14ac:dyDescent="0.25">
      <c r="A13" s="16" t="s">
        <v>17</v>
      </c>
      <c r="B13" s="16">
        <v>1</v>
      </c>
      <c r="C13" s="16">
        <v>3</v>
      </c>
      <c r="D13" s="31">
        <v>37257</v>
      </c>
      <c r="E13" s="25">
        <f t="shared" ref="E13:E19" si="6">Z13-N13</f>
        <v>541974</v>
      </c>
      <c r="F13" s="25">
        <f t="shared" ref="F13:F19" si="7">AA13-O13</f>
        <v>247</v>
      </c>
      <c r="G13" s="17">
        <f t="shared" ref="G13:G19" si="8">E13-F13</f>
        <v>541727</v>
      </c>
      <c r="H13" s="18">
        <f t="shared" ref="H13:H19" si="9">G13/(1500*AJ13)</f>
        <v>0.48937508116128248</v>
      </c>
      <c r="I13" s="27">
        <f t="shared" si="0"/>
        <v>0.98913672791796448</v>
      </c>
      <c r="J13" s="27">
        <f t="shared" si="1"/>
        <v>0.98375339355844205</v>
      </c>
      <c r="K13" s="17">
        <f t="shared" ref="K13:K19" si="10">I13*MAX(AK13,AJ13)</f>
        <v>729.96971671375218</v>
      </c>
      <c r="M13" s="53">
        <v>37257.251388888886</v>
      </c>
      <c r="N13">
        <v>796030</v>
      </c>
      <c r="O13">
        <v>541</v>
      </c>
      <c r="P13">
        <v>4408203</v>
      </c>
      <c r="Q13">
        <v>4657694</v>
      </c>
      <c r="R13">
        <v>217860</v>
      </c>
      <c r="S13">
        <v>146478</v>
      </c>
      <c r="T13">
        <v>168282</v>
      </c>
      <c r="U13">
        <v>0</v>
      </c>
      <c r="V13">
        <v>21683</v>
      </c>
      <c r="W13">
        <v>6908</v>
      </c>
      <c r="Y13" s="53">
        <v>37288.000752314816</v>
      </c>
      <c r="Z13">
        <v>1338004</v>
      </c>
      <c r="AA13">
        <v>788</v>
      </c>
      <c r="AB13">
        <v>6876004</v>
      </c>
      <c r="AC13">
        <v>7245188</v>
      </c>
      <c r="AD13">
        <v>250177</v>
      </c>
      <c r="AE13">
        <v>173203</v>
      </c>
      <c r="AF13">
        <v>178452</v>
      </c>
      <c r="AG13">
        <v>0</v>
      </c>
      <c r="AH13">
        <v>21729</v>
      </c>
      <c r="AI13">
        <v>6908</v>
      </c>
      <c r="AJ13">
        <f t="shared" ref="AJ13:AJ19" si="11">(Y13-M13)*24</f>
        <v>737.98472222231794</v>
      </c>
      <c r="AK13">
        <f t="shared" ref="AK13:AK19" si="12">(SUM(AC13:AI13)-SUM(Q13:W13))/3600</f>
        <v>737.98666666666668</v>
      </c>
      <c r="AL13">
        <f t="shared" ref="AL13:AL19" si="13">AD13-R13</f>
        <v>32317</v>
      </c>
      <c r="AM13">
        <f t="shared" ref="AM13:AM19" si="14">AI13-W13</f>
        <v>0</v>
      </c>
      <c r="AN13">
        <f t="shared" ref="AN13:AN19" si="15">AH13-V13</f>
        <v>46</v>
      </c>
      <c r="AO13">
        <f t="shared" si="2"/>
        <v>7.4236111111111107</v>
      </c>
      <c r="AP13">
        <f>AK13/AJ13</f>
        <v>1.0000026348029847</v>
      </c>
      <c r="AQ13">
        <f t="shared" si="3"/>
        <v>0.99320185272294148</v>
      </c>
      <c r="AR13">
        <f>(AK13*3600-AL13-AM13-AN13)/((AK13-4)*3600)</f>
        <v>0.9932018898314835</v>
      </c>
      <c r="AS13" s="23">
        <f t="shared" si="4"/>
        <v>2.7777777777777778E-4</v>
      </c>
      <c r="AT13" s="23">
        <f t="shared" si="4"/>
        <v>0</v>
      </c>
      <c r="AU13" s="23">
        <f t="shared" si="4"/>
        <v>3.953887358906389E-7</v>
      </c>
      <c r="AV13">
        <f t="shared" si="5"/>
        <v>0.98781851836341905</v>
      </c>
    </row>
    <row r="14" spans="1:48" x14ac:dyDescent="0.25">
      <c r="A14" s="16" t="s">
        <v>17</v>
      </c>
      <c r="B14" s="16">
        <v>1</v>
      </c>
      <c r="C14" s="16">
        <v>4</v>
      </c>
      <c r="D14" s="31">
        <v>37257</v>
      </c>
      <c r="E14" s="25">
        <f t="shared" si="6"/>
        <v>571546</v>
      </c>
      <c r="F14" s="25">
        <f t="shared" si="7"/>
        <v>363</v>
      </c>
      <c r="G14" s="17">
        <f t="shared" si="8"/>
        <v>571183</v>
      </c>
      <c r="H14" s="18">
        <f t="shared" si="9"/>
        <v>0.51526300853424223</v>
      </c>
      <c r="I14" s="27">
        <f t="shared" si="0"/>
        <v>0.97852880806579579</v>
      </c>
      <c r="J14" s="27">
        <f t="shared" si="1"/>
        <v>0.97321777216627003</v>
      </c>
      <c r="K14" s="17">
        <f t="shared" si="10"/>
        <v>723.15181610966874</v>
      </c>
      <c r="M14" s="53">
        <v>37257.207974537036</v>
      </c>
      <c r="N14">
        <v>1067894</v>
      </c>
      <c r="O14">
        <v>1384</v>
      </c>
      <c r="P14">
        <v>5478406</v>
      </c>
      <c r="Q14">
        <v>5905236</v>
      </c>
      <c r="R14">
        <v>468359</v>
      </c>
      <c r="S14">
        <v>326203</v>
      </c>
      <c r="T14">
        <v>297048</v>
      </c>
      <c r="U14">
        <v>0</v>
      </c>
      <c r="V14">
        <v>14833</v>
      </c>
      <c r="W14">
        <v>4082</v>
      </c>
      <c r="Y14" s="53">
        <v>37288.000393518516</v>
      </c>
      <c r="Z14">
        <v>1639440</v>
      </c>
      <c r="AA14">
        <v>1747</v>
      </c>
      <c r="AB14">
        <v>7898070</v>
      </c>
      <c r="AC14">
        <v>8457747</v>
      </c>
      <c r="AD14">
        <v>508921</v>
      </c>
      <c r="AE14">
        <v>353084</v>
      </c>
      <c r="AF14">
        <v>314073</v>
      </c>
      <c r="AG14">
        <v>0</v>
      </c>
      <c r="AH14">
        <v>34956</v>
      </c>
      <c r="AI14">
        <v>7450</v>
      </c>
      <c r="AJ14">
        <f t="shared" si="11"/>
        <v>739.0180555555271</v>
      </c>
      <c r="AK14">
        <f t="shared" si="12"/>
        <v>739.01944444444439</v>
      </c>
      <c r="AL14">
        <f t="shared" si="13"/>
        <v>40562</v>
      </c>
      <c r="AM14">
        <f t="shared" si="14"/>
        <v>3368</v>
      </c>
      <c r="AN14">
        <f t="shared" si="15"/>
        <v>20123</v>
      </c>
      <c r="AO14">
        <f t="shared" si="2"/>
        <v>7.4669444444444446</v>
      </c>
      <c r="AP14">
        <f t="shared" ref="AP14:AP19" si="16">AK14/AJ14</f>
        <v>1.0000018793707499</v>
      </c>
      <c r="AQ14">
        <f t="shared" si="3"/>
        <v>0.98123510189037166</v>
      </c>
      <c r="AR14">
        <f t="shared" ref="AR14:AR19" si="17">(AK14*3600-AL14-AM14-AN14)/((AK14-4)*3600)</f>
        <v>0.98123519030108808</v>
      </c>
      <c r="AS14" s="23">
        <f t="shared" ref="AS14:AS19" si="18">AL14/($AL14*3600)</f>
        <v>2.7777777777777778E-4</v>
      </c>
      <c r="AT14" s="23">
        <f t="shared" ref="AT14:AT19" si="19">AM14/($AL14*3600)</f>
        <v>2.3064828054720073E-5</v>
      </c>
      <c r="AU14" s="23">
        <f t="shared" ref="AU14:AU19" si="20">AN14/($AL14*3600)</f>
        <v>1.3780686904546675E-4</v>
      </c>
      <c r="AV14">
        <f t="shared" si="5"/>
        <v>0.97592406599084591</v>
      </c>
    </row>
    <row r="15" spans="1:48" x14ac:dyDescent="0.25">
      <c r="A15" s="16" t="s">
        <v>17</v>
      </c>
      <c r="B15" s="16">
        <v>1</v>
      </c>
      <c r="C15" s="16">
        <v>5</v>
      </c>
      <c r="D15" s="31">
        <v>37257</v>
      </c>
      <c r="E15" s="25">
        <f t="shared" si="6"/>
        <v>574172</v>
      </c>
      <c r="F15" s="25">
        <f t="shared" si="7"/>
        <v>418</v>
      </c>
      <c r="G15" s="17">
        <f t="shared" si="8"/>
        <v>573754</v>
      </c>
      <c r="H15" s="18">
        <f t="shared" si="9"/>
        <v>0.51760798366222593</v>
      </c>
      <c r="I15" s="27">
        <f t="shared" si="0"/>
        <v>0.99291041767657529</v>
      </c>
      <c r="J15" s="27">
        <f t="shared" si="1"/>
        <v>0.98752371295233699</v>
      </c>
      <c r="K15" s="17">
        <f t="shared" si="10"/>
        <v>733.74480177292662</v>
      </c>
      <c r="M15" s="53">
        <v>37257.209780092591</v>
      </c>
      <c r="N15">
        <v>814098</v>
      </c>
      <c r="O15">
        <v>2263</v>
      </c>
      <c r="P15">
        <v>4278683</v>
      </c>
      <c r="Q15">
        <v>4861612</v>
      </c>
      <c r="R15">
        <v>601703</v>
      </c>
      <c r="S15">
        <v>165825</v>
      </c>
      <c r="T15">
        <v>159085</v>
      </c>
      <c r="U15">
        <v>0</v>
      </c>
      <c r="V15">
        <v>41383</v>
      </c>
      <c r="W15">
        <v>1</v>
      </c>
      <c r="Y15" s="53">
        <v>37288.000671296293</v>
      </c>
      <c r="Z15">
        <v>1388270</v>
      </c>
      <c r="AA15">
        <v>2681</v>
      </c>
      <c r="AB15">
        <v>6778664</v>
      </c>
      <c r="AC15">
        <v>7458393</v>
      </c>
      <c r="AD15">
        <v>628770</v>
      </c>
      <c r="AE15">
        <v>193351</v>
      </c>
      <c r="AF15">
        <v>167929</v>
      </c>
      <c r="AG15">
        <v>0</v>
      </c>
      <c r="AH15">
        <v>41507</v>
      </c>
      <c r="AI15">
        <v>1</v>
      </c>
      <c r="AJ15">
        <f t="shared" si="11"/>
        <v>738.98138888884569</v>
      </c>
      <c r="AK15">
        <f t="shared" si="12"/>
        <v>738.98388888888894</v>
      </c>
      <c r="AL15">
        <f t="shared" si="13"/>
        <v>27067</v>
      </c>
      <c r="AM15">
        <f t="shared" si="14"/>
        <v>0</v>
      </c>
      <c r="AN15">
        <f t="shared" si="15"/>
        <v>124</v>
      </c>
      <c r="AO15">
        <f t="shared" si="2"/>
        <v>7.6461111111111109</v>
      </c>
      <c r="AP15">
        <f t="shared" si="16"/>
        <v>1.0000033830351898</v>
      </c>
      <c r="AQ15">
        <f t="shared" si="3"/>
        <v>0.99516577443078624</v>
      </c>
      <c r="AR15">
        <f t="shared" si="17"/>
        <v>0.9951658048437948</v>
      </c>
      <c r="AS15" s="23">
        <f t="shared" si="18"/>
        <v>2.7777777777777778E-4</v>
      </c>
      <c r="AT15" s="23">
        <f t="shared" si="19"/>
        <v>0</v>
      </c>
      <c r="AU15" s="23">
        <f t="shared" si="20"/>
        <v>1.2725623247661153E-6</v>
      </c>
      <c r="AV15">
        <f t="shared" si="5"/>
        <v>0.98977906970654794</v>
      </c>
    </row>
    <row r="16" spans="1:48" x14ac:dyDescent="0.25">
      <c r="A16" s="16" t="s">
        <v>17</v>
      </c>
      <c r="B16" s="16">
        <v>1</v>
      </c>
      <c r="C16" s="16">
        <v>6</v>
      </c>
      <c r="D16" s="31">
        <v>37257</v>
      </c>
      <c r="E16" s="25">
        <f t="shared" si="6"/>
        <v>539907</v>
      </c>
      <c r="F16" s="25">
        <f t="shared" si="7"/>
        <v>281</v>
      </c>
      <c r="G16" s="17">
        <f t="shared" si="8"/>
        <v>539626</v>
      </c>
      <c r="H16" s="18">
        <f t="shared" si="9"/>
        <v>0.48679111246093215</v>
      </c>
      <c r="I16" s="27">
        <f t="shared" si="0"/>
        <v>0.97871955045621262</v>
      </c>
      <c r="J16" s="27">
        <f t="shared" si="1"/>
        <v>0.97341606975885053</v>
      </c>
      <c r="K16" s="17">
        <f t="shared" si="10"/>
        <v>723.29957510861141</v>
      </c>
      <c r="M16" s="53">
        <v>37257.207615740743</v>
      </c>
      <c r="N16">
        <v>943419</v>
      </c>
      <c r="O16">
        <v>1397</v>
      </c>
      <c r="P16">
        <v>5337018</v>
      </c>
      <c r="Q16">
        <v>5883387</v>
      </c>
      <c r="R16">
        <v>464346</v>
      </c>
      <c r="S16">
        <v>310490</v>
      </c>
      <c r="T16">
        <v>192953</v>
      </c>
      <c r="U16">
        <v>0</v>
      </c>
      <c r="V16">
        <v>83270</v>
      </c>
      <c r="W16">
        <v>16488</v>
      </c>
      <c r="Y16" s="53">
        <v>37288.0003125</v>
      </c>
      <c r="Z16">
        <v>1483326</v>
      </c>
      <c r="AA16">
        <v>1678</v>
      </c>
      <c r="AB16">
        <v>7789418</v>
      </c>
      <c r="AC16">
        <v>8434009</v>
      </c>
      <c r="AD16">
        <v>532072</v>
      </c>
      <c r="AE16">
        <v>346408</v>
      </c>
      <c r="AF16">
        <v>199182</v>
      </c>
      <c r="AG16">
        <v>0</v>
      </c>
      <c r="AH16">
        <v>83270</v>
      </c>
      <c r="AI16">
        <v>16488</v>
      </c>
      <c r="AJ16">
        <f t="shared" si="11"/>
        <v>739.02472222218057</v>
      </c>
      <c r="AK16">
        <f t="shared" si="12"/>
        <v>739.02638888888885</v>
      </c>
      <c r="AL16">
        <f t="shared" si="13"/>
        <v>67726</v>
      </c>
      <c r="AM16">
        <f t="shared" si="14"/>
        <v>0</v>
      </c>
      <c r="AN16">
        <f t="shared" si="15"/>
        <v>0</v>
      </c>
      <c r="AO16">
        <f t="shared" si="2"/>
        <v>9.9772222222222222</v>
      </c>
      <c r="AP16">
        <f t="shared" si="16"/>
        <v>1.0000022552245658</v>
      </c>
      <c r="AQ16">
        <f t="shared" si="3"/>
        <v>0.97984716271095229</v>
      </c>
      <c r="AR16">
        <f t="shared" si="17"/>
        <v>0.97984728439455127</v>
      </c>
      <c r="AS16" s="23">
        <f t="shared" si="18"/>
        <v>2.7777777777777778E-4</v>
      </c>
      <c r="AT16" s="23">
        <f t="shared" si="19"/>
        <v>0</v>
      </c>
      <c r="AU16" s="23">
        <f t="shared" si="20"/>
        <v>0</v>
      </c>
      <c r="AV16">
        <f t="shared" si="5"/>
        <v>0.97454368201359021</v>
      </c>
    </row>
    <row r="17" spans="1:48" ht="15.6" x14ac:dyDescent="0.25">
      <c r="A17" s="16" t="s">
        <v>17</v>
      </c>
      <c r="B17" s="16">
        <v>1</v>
      </c>
      <c r="C17" s="55" t="s">
        <v>84</v>
      </c>
      <c r="D17" s="31">
        <v>37257</v>
      </c>
      <c r="E17" s="25">
        <f t="shared" si="6"/>
        <v>163125</v>
      </c>
      <c r="F17" s="25">
        <f t="shared" si="7"/>
        <v>3033</v>
      </c>
      <c r="G17" s="17">
        <f t="shared" si="8"/>
        <v>160092</v>
      </c>
      <c r="H17" s="18">
        <f t="shared" si="9"/>
        <v>0.1393955379154071</v>
      </c>
      <c r="I17" s="27">
        <f t="shared" si="0"/>
        <v>0.5007829386219641</v>
      </c>
      <c r="J17" s="27">
        <f t="shared" si="1"/>
        <v>0.49760257916343875</v>
      </c>
      <c r="K17" s="17">
        <f t="shared" si="10"/>
        <v>383.42376142398416</v>
      </c>
      <c r="M17" s="53">
        <v>37257.000381944446</v>
      </c>
      <c r="N17">
        <v>535599</v>
      </c>
      <c r="O17">
        <v>5245</v>
      </c>
      <c r="P17">
        <v>2948441</v>
      </c>
      <c r="Q17">
        <v>3798783</v>
      </c>
      <c r="R17">
        <v>2411154</v>
      </c>
      <c r="S17">
        <v>793953</v>
      </c>
      <c r="T17">
        <v>150098</v>
      </c>
      <c r="U17">
        <v>0</v>
      </c>
      <c r="V17">
        <v>43398</v>
      </c>
      <c r="W17">
        <v>1564</v>
      </c>
      <c r="Y17" s="53">
        <v>37288.902407407404</v>
      </c>
      <c r="Z17">
        <v>698724</v>
      </c>
      <c r="AA17">
        <v>8278</v>
      </c>
      <c r="AB17">
        <v>3753459</v>
      </c>
      <c r="AC17">
        <v>5981466</v>
      </c>
      <c r="AD17">
        <v>2629003</v>
      </c>
      <c r="AE17">
        <v>908909</v>
      </c>
      <c r="AF17">
        <v>191260</v>
      </c>
      <c r="AG17">
        <v>0</v>
      </c>
      <c r="AH17">
        <v>78870</v>
      </c>
      <c r="AI17">
        <v>79406</v>
      </c>
      <c r="AJ17">
        <f t="shared" si="11"/>
        <v>765.64861111098435</v>
      </c>
      <c r="AK17">
        <f t="shared" si="12"/>
        <v>741.65666666666664</v>
      </c>
      <c r="AL17">
        <f t="shared" si="13"/>
        <v>217849</v>
      </c>
      <c r="AM17" s="54">
        <f>(AI17-W17)+(210)*3600</f>
        <v>833842</v>
      </c>
      <c r="AN17">
        <f t="shared" si="15"/>
        <v>35472</v>
      </c>
      <c r="AO17">
        <f t="shared" si="2"/>
        <v>31.932222222222222</v>
      </c>
      <c r="AP17">
        <f t="shared" si="16"/>
        <v>0.96866454912064093</v>
      </c>
      <c r="AQ17">
        <f t="shared" si="3"/>
        <v>0.60875239806722359</v>
      </c>
      <c r="AR17">
        <f t="shared" si="17"/>
        <v>0.59603195404064824</v>
      </c>
      <c r="AS17" s="23">
        <f t="shared" si="18"/>
        <v>2.7777777777777778E-4</v>
      </c>
      <c r="AT17" s="23">
        <f t="shared" si="19"/>
        <v>1.0632262612074316E-3</v>
      </c>
      <c r="AU17" s="23">
        <f t="shared" si="20"/>
        <v>4.5230105868437923E-5</v>
      </c>
      <c r="AV17">
        <f t="shared" si="5"/>
        <v>0.60557203860869824</v>
      </c>
    </row>
    <row r="18" spans="1:48" x14ac:dyDescent="0.25">
      <c r="A18" s="16" t="s">
        <v>17</v>
      </c>
      <c r="B18" s="16">
        <v>1</v>
      </c>
      <c r="C18" s="16">
        <v>8</v>
      </c>
      <c r="D18" s="31">
        <v>37257</v>
      </c>
      <c r="E18" s="25">
        <f t="shared" si="6"/>
        <v>593380</v>
      </c>
      <c r="F18" s="25">
        <f t="shared" si="7"/>
        <v>338</v>
      </c>
      <c r="G18" s="17">
        <f t="shared" si="8"/>
        <v>593042</v>
      </c>
      <c r="H18" s="18">
        <f t="shared" si="9"/>
        <v>0.53498800008260705</v>
      </c>
      <c r="I18" s="27">
        <f t="shared" si="0"/>
        <v>0.96396182796138408</v>
      </c>
      <c r="J18" s="27">
        <f t="shared" si="1"/>
        <v>0.9587442268457087</v>
      </c>
      <c r="K18" s="17">
        <f t="shared" si="10"/>
        <v>712.37823378326584</v>
      </c>
      <c r="M18" s="53">
        <v>37257.207974537036</v>
      </c>
      <c r="N18">
        <v>994065</v>
      </c>
      <c r="O18">
        <v>2263</v>
      </c>
      <c r="P18">
        <v>5056500</v>
      </c>
      <c r="Q18">
        <v>5447766</v>
      </c>
      <c r="R18">
        <v>647344</v>
      </c>
      <c r="S18">
        <v>359891</v>
      </c>
      <c r="T18">
        <v>248404</v>
      </c>
      <c r="U18">
        <v>0</v>
      </c>
      <c r="V18">
        <v>418875</v>
      </c>
      <c r="W18">
        <v>10109</v>
      </c>
      <c r="Y18" s="53">
        <v>37288.0000462963</v>
      </c>
      <c r="Z18">
        <v>1587445</v>
      </c>
      <c r="AA18">
        <v>2601</v>
      </c>
      <c r="AB18">
        <v>7486999</v>
      </c>
      <c r="AC18">
        <v>7962011</v>
      </c>
      <c r="AD18">
        <v>757102</v>
      </c>
      <c r="AE18">
        <v>386318</v>
      </c>
      <c r="AF18">
        <v>258413</v>
      </c>
      <c r="AG18">
        <v>0</v>
      </c>
      <c r="AH18">
        <v>418875</v>
      </c>
      <c r="AI18">
        <v>10109</v>
      </c>
      <c r="AJ18">
        <f t="shared" si="11"/>
        <v>739.00972222234122</v>
      </c>
      <c r="AK18">
        <f t="shared" si="12"/>
        <v>739.01083333333338</v>
      </c>
      <c r="AL18">
        <f t="shared" si="13"/>
        <v>109758</v>
      </c>
      <c r="AM18">
        <f t="shared" si="14"/>
        <v>0</v>
      </c>
      <c r="AN18">
        <f t="shared" si="15"/>
        <v>0</v>
      </c>
      <c r="AO18">
        <f t="shared" si="2"/>
        <v>7.3408333333333333</v>
      </c>
      <c r="AP18">
        <f t="shared" si="16"/>
        <v>1.0000015035133623</v>
      </c>
      <c r="AQ18">
        <f t="shared" si="3"/>
        <v>0.96396182796138408</v>
      </c>
      <c r="AR18">
        <f t="shared" si="17"/>
        <v>0.96396198241976028</v>
      </c>
      <c r="AS18" s="23">
        <f t="shared" si="18"/>
        <v>2.7777777777777778E-4</v>
      </c>
      <c r="AT18" s="23">
        <f t="shared" si="19"/>
        <v>0</v>
      </c>
      <c r="AU18" s="23">
        <f t="shared" si="20"/>
        <v>0</v>
      </c>
      <c r="AV18">
        <f t="shared" si="5"/>
        <v>0.9587442268457087</v>
      </c>
    </row>
    <row r="19" spans="1:48" x14ac:dyDescent="0.25">
      <c r="A19" s="16" t="s">
        <v>17</v>
      </c>
      <c r="B19" s="16">
        <v>1</v>
      </c>
      <c r="C19" s="16">
        <v>9</v>
      </c>
      <c r="D19" s="31">
        <v>37257</v>
      </c>
      <c r="E19" s="25">
        <f t="shared" si="6"/>
        <v>572519</v>
      </c>
      <c r="F19" s="25">
        <f t="shared" si="7"/>
        <v>315</v>
      </c>
      <c r="G19" s="17">
        <f t="shared" si="8"/>
        <v>572204</v>
      </c>
      <c r="H19" s="18">
        <f t="shared" si="9"/>
        <v>0.51623158986853968</v>
      </c>
      <c r="I19" s="27">
        <f t="shared" si="0"/>
        <v>0.97993130770244385</v>
      </c>
      <c r="J19" s="27">
        <f t="shared" si="1"/>
        <v>0.97462684047586523</v>
      </c>
      <c r="K19" s="17">
        <f t="shared" si="10"/>
        <v>724.12105643614393</v>
      </c>
      <c r="M19" s="53">
        <v>37257.210856481484</v>
      </c>
      <c r="N19">
        <v>796439</v>
      </c>
      <c r="O19">
        <v>1423</v>
      </c>
      <c r="P19">
        <v>4286211</v>
      </c>
      <c r="Q19">
        <v>4895858</v>
      </c>
      <c r="R19">
        <v>245396</v>
      </c>
      <c r="S19">
        <v>166056</v>
      </c>
      <c r="T19">
        <v>197896</v>
      </c>
      <c r="U19">
        <v>0</v>
      </c>
      <c r="V19">
        <v>21863</v>
      </c>
      <c r="W19">
        <v>29415</v>
      </c>
      <c r="Y19" s="53">
        <v>37288.000439814816</v>
      </c>
      <c r="Z19">
        <v>1368958</v>
      </c>
      <c r="AA19">
        <v>1738</v>
      </c>
      <c r="AB19">
        <v>6769795</v>
      </c>
      <c r="AC19">
        <v>7455863</v>
      </c>
      <c r="AD19">
        <v>311677</v>
      </c>
      <c r="AE19">
        <v>192507</v>
      </c>
      <c r="AF19">
        <v>204165</v>
      </c>
      <c r="AG19">
        <v>0</v>
      </c>
      <c r="AH19">
        <v>21863</v>
      </c>
      <c r="AI19">
        <v>30632</v>
      </c>
      <c r="AJ19">
        <f t="shared" si="11"/>
        <v>738.94999999995343</v>
      </c>
      <c r="AK19">
        <f t="shared" si="12"/>
        <v>738.95083333333332</v>
      </c>
      <c r="AL19">
        <f t="shared" si="13"/>
        <v>66281</v>
      </c>
      <c r="AM19">
        <f t="shared" si="14"/>
        <v>1217</v>
      </c>
      <c r="AN19">
        <f t="shared" si="15"/>
        <v>0</v>
      </c>
      <c r="AO19">
        <f t="shared" si="2"/>
        <v>7.3475000000000001</v>
      </c>
      <c r="AP19">
        <f t="shared" si="16"/>
        <v>1.0000011277263412</v>
      </c>
      <c r="AQ19">
        <f t="shared" si="3"/>
        <v>0.97993130770244385</v>
      </c>
      <c r="AR19">
        <f t="shared" si="17"/>
        <v>0.97993138618872089</v>
      </c>
      <c r="AS19" s="23">
        <f t="shared" si="18"/>
        <v>2.7777777777777778E-4</v>
      </c>
      <c r="AT19" s="23">
        <f t="shared" si="19"/>
        <v>5.1003387932522978E-6</v>
      </c>
      <c r="AU19" s="23">
        <f t="shared" si="20"/>
        <v>0</v>
      </c>
      <c r="AV19">
        <f t="shared" si="5"/>
        <v>0.97462684047586523</v>
      </c>
    </row>
    <row r="20" spans="1:48" x14ac:dyDescent="0.25">
      <c r="A20" s="16" t="s">
        <v>17</v>
      </c>
      <c r="B20" s="16">
        <v>1</v>
      </c>
      <c r="C20" s="16">
        <v>10</v>
      </c>
      <c r="D20" s="31">
        <v>37257</v>
      </c>
      <c r="E20" s="25">
        <f>Z20-N20</f>
        <v>516718</v>
      </c>
      <c r="F20" s="25">
        <f>AA20-O20</f>
        <v>589</v>
      </c>
      <c r="G20" s="17">
        <f>E20-F20</f>
        <v>516129</v>
      </c>
      <c r="H20" s="18">
        <f>G20/(1500*AJ20)</f>
        <v>0.48883953306666172</v>
      </c>
      <c r="I20" s="27">
        <f t="shared" si="0"/>
        <v>0.8705935437442498</v>
      </c>
      <c r="J20" s="27">
        <f t="shared" si="1"/>
        <v>0.86553447030860475</v>
      </c>
      <c r="K20" s="17">
        <f>I20*MAX(AK20,AJ20)</f>
        <v>612.80039668536051</v>
      </c>
      <c r="M20" s="53">
        <v>37257.206250000003</v>
      </c>
      <c r="N20">
        <v>562191</v>
      </c>
      <c r="O20">
        <v>2254</v>
      </c>
      <c r="P20">
        <v>3032645</v>
      </c>
      <c r="Q20">
        <v>3605747</v>
      </c>
      <c r="R20">
        <v>1238375</v>
      </c>
      <c r="S20">
        <v>167105</v>
      </c>
      <c r="T20">
        <v>158332</v>
      </c>
      <c r="U20">
        <v>0</v>
      </c>
      <c r="V20">
        <v>209795</v>
      </c>
      <c r="W20">
        <v>15069</v>
      </c>
      <c r="Y20" s="53">
        <v>37286.534722222219</v>
      </c>
      <c r="Z20">
        <v>1078909</v>
      </c>
      <c r="AA20">
        <v>2843</v>
      </c>
      <c r="AB20">
        <v>5091019</v>
      </c>
      <c r="AC20">
        <v>5804738</v>
      </c>
      <c r="AD20">
        <v>1528630</v>
      </c>
      <c r="AE20">
        <v>197298</v>
      </c>
      <c r="AF20">
        <v>172213</v>
      </c>
      <c r="AG20">
        <v>0</v>
      </c>
      <c r="AH20">
        <v>210472</v>
      </c>
      <c r="AI20">
        <v>15069</v>
      </c>
      <c r="AJ20">
        <f>(Y20-M20)*24</f>
        <v>703.88333333318587</v>
      </c>
      <c r="AK20">
        <f>(SUM(AC20:AI20)-SUM(Q20:W20))/3600</f>
        <v>703.88805555555552</v>
      </c>
      <c r="AL20">
        <f>AD20-R20</f>
        <v>290255</v>
      </c>
      <c r="AM20">
        <f>AI20-W20</f>
        <v>0</v>
      </c>
      <c r="AN20">
        <f>AH20-V20</f>
        <v>677</v>
      </c>
      <c r="AO20">
        <f t="shared" si="2"/>
        <v>8.3869444444444436</v>
      </c>
      <c r="AP20">
        <f>AK20/AJ20</f>
        <v>1.0000067088140123</v>
      </c>
      <c r="AQ20">
        <f t="shared" si="3"/>
        <v>0.89024642182537528</v>
      </c>
      <c r="AR20">
        <f>(AK20*3600-AL20-AM20-AN20)/((AK20-4)*3600)</f>
        <v>0.8902475276800218</v>
      </c>
      <c r="AS20" s="23">
        <f>AL20/($AJ20*3600)</f>
        <v>0.11454510296058407</v>
      </c>
      <c r="AT20" s="23">
        <f>AM20/($AJ20*3600)</f>
        <v>0</v>
      </c>
      <c r="AU20" s="23">
        <f>AN20/($AJ20*3600)</f>
        <v>2.6716864379361393E-4</v>
      </c>
      <c r="AV20">
        <f t="shared" si="5"/>
        <v>0.88518734838973023</v>
      </c>
    </row>
    <row r="21" spans="1:48" x14ac:dyDescent="0.25">
      <c r="A21" s="19"/>
      <c r="B21" s="20"/>
      <c r="C21" s="21" t="s">
        <v>24</v>
      </c>
      <c r="D21" s="31">
        <v>37257</v>
      </c>
      <c r="E21" s="25">
        <f>SUM(E11:E20)</f>
        <v>5086855</v>
      </c>
      <c r="F21" s="25">
        <f>SUM(F11:F20)</f>
        <v>6217</v>
      </c>
      <c r="G21" s="25">
        <f>SUM(G11:G20)</f>
        <v>5080638</v>
      </c>
      <c r="H21" s="27">
        <f>AVERAGE(H11:H20)</f>
        <v>0.46412593252582485</v>
      </c>
      <c r="I21" s="27">
        <f>AVERAGE(I11:I20)</f>
        <v>0.9177486831534043</v>
      </c>
      <c r="J21" s="119">
        <f>AVERAGE(J11:J20)</f>
        <v>0.9126376111438933</v>
      </c>
      <c r="K21" s="25">
        <f>SUM(K11:K20)</f>
        <v>6705.5338476564757</v>
      </c>
      <c r="AJ21">
        <f>SUM(AJ11:AJ20)</f>
        <v>7320.2516666664742</v>
      </c>
    </row>
    <row r="22" spans="1:48" ht="15.6" x14ac:dyDescent="0.25">
      <c r="A22" s="19"/>
      <c r="B22" s="20"/>
      <c r="C22" s="21" t="s">
        <v>21</v>
      </c>
      <c r="D22" s="31">
        <v>37257</v>
      </c>
      <c r="E22" s="17">
        <f>E21*(0.02)</f>
        <v>101737.1</v>
      </c>
      <c r="F22" s="17">
        <f>F21*(0.02)</f>
        <v>124.34</v>
      </c>
      <c r="G22" s="17">
        <f>G21*(0.02)</f>
        <v>101612.76000000001</v>
      </c>
      <c r="H22" s="32" t="s">
        <v>25</v>
      </c>
      <c r="I22" s="33" t="s">
        <v>25</v>
      </c>
      <c r="J22" s="32" t="s">
        <v>25</v>
      </c>
      <c r="K22" s="32" t="s">
        <v>25</v>
      </c>
      <c r="AM22" t="s">
        <v>87</v>
      </c>
    </row>
    <row r="23" spans="1:48" x14ac:dyDescent="0.25">
      <c r="A23" s="19"/>
      <c r="B23" s="20"/>
      <c r="C23" s="21" t="s">
        <v>23</v>
      </c>
      <c r="D23" s="31">
        <v>37257</v>
      </c>
      <c r="E23" s="17">
        <f>E21-E22</f>
        <v>4985117.9000000004</v>
      </c>
      <c r="F23" s="17">
        <f>F21-F22</f>
        <v>6092.66</v>
      </c>
      <c r="G23" s="17">
        <f>G21-G22</f>
        <v>4979025.24</v>
      </c>
      <c r="H23" s="27">
        <f>H21</f>
        <v>0.46412593252582485</v>
      </c>
      <c r="I23" s="27">
        <f>I21</f>
        <v>0.9177486831534043</v>
      </c>
      <c r="J23" s="27">
        <f>J21</f>
        <v>0.9126376111438933</v>
      </c>
      <c r="K23" s="25">
        <f>K21</f>
        <v>6705.5338476564757</v>
      </c>
    </row>
    <row r="24" spans="1:48" x14ac:dyDescent="0.25">
      <c r="A24" s="19"/>
      <c r="B24" s="20"/>
      <c r="C24" s="21" t="s">
        <v>23</v>
      </c>
      <c r="D24" s="24" t="s">
        <v>9</v>
      </c>
      <c r="E24" s="17">
        <f t="shared" ref="E24:J24" si="21">E23</f>
        <v>4985117.9000000004</v>
      </c>
      <c r="F24" s="17">
        <f t="shared" si="21"/>
        <v>6092.66</v>
      </c>
      <c r="G24" s="17">
        <f t="shared" si="21"/>
        <v>4979025.24</v>
      </c>
      <c r="H24" s="18">
        <f t="shared" si="21"/>
        <v>0.46412593252582485</v>
      </c>
      <c r="I24" s="18">
        <f t="shared" si="21"/>
        <v>0.9177486831534043</v>
      </c>
      <c r="J24" s="18">
        <f t="shared" si="21"/>
        <v>0.9126376111438933</v>
      </c>
      <c r="K24" s="17">
        <f>K23+'1101'!J24</f>
        <v>19905.953847656478</v>
      </c>
    </row>
    <row r="25" spans="1:48" x14ac:dyDescent="0.25">
      <c r="D25" s="30"/>
      <c r="E25" s="2"/>
      <c r="F25" s="2"/>
      <c r="G25" s="2"/>
      <c r="H25" s="2"/>
      <c r="I25" s="23"/>
      <c r="J25" s="23"/>
      <c r="K25" s="2"/>
    </row>
    <row r="26" spans="1:48" x14ac:dyDescent="0.25">
      <c r="A26" t="s">
        <v>8</v>
      </c>
      <c r="D26" s="30"/>
      <c r="E26" s="2"/>
      <c r="F26" s="2"/>
      <c r="G26" s="2"/>
      <c r="H26" s="2"/>
      <c r="I26" s="23"/>
      <c r="J26" s="23"/>
    </row>
    <row r="27" spans="1:48" x14ac:dyDescent="0.25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48" x14ac:dyDescent="0.25">
      <c r="A28" t="s">
        <v>22</v>
      </c>
      <c r="D28" s="28"/>
      <c r="G28" s="2"/>
      <c r="H28" s="2"/>
      <c r="I28" s="23"/>
      <c r="J28" s="23"/>
      <c r="K28" s="2"/>
    </row>
    <row r="29" spans="1:48" x14ac:dyDescent="0.25">
      <c r="A29" t="s">
        <v>85</v>
      </c>
      <c r="D29" s="28"/>
      <c r="G29" s="2"/>
      <c r="H29" s="2"/>
      <c r="I29" s="23"/>
      <c r="J29" s="23"/>
      <c r="K29" s="2"/>
    </row>
    <row r="31" spans="1:48" x14ac:dyDescent="0.25">
      <c r="H31" s="19" t="s">
        <v>158</v>
      </c>
      <c r="I31" s="22"/>
    </row>
    <row r="32" spans="1:48" x14ac:dyDescent="0.25">
      <c r="H32" s="16">
        <v>1</v>
      </c>
      <c r="I32" s="131">
        <f>MAX(0,2/6-1.5)</f>
        <v>0</v>
      </c>
    </row>
    <row r="33" spans="8:9" x14ac:dyDescent="0.25">
      <c r="H33" s="16">
        <v>2</v>
      </c>
      <c r="I33" s="131">
        <f>MAX(0,93/6-1.5)</f>
        <v>14</v>
      </c>
    </row>
    <row r="34" spans="8:9" x14ac:dyDescent="0.25">
      <c r="H34" s="16">
        <v>3</v>
      </c>
      <c r="I34" s="131">
        <f>MAX(0,27/6-1.5)</f>
        <v>3</v>
      </c>
    </row>
    <row r="35" spans="8:9" x14ac:dyDescent="0.25">
      <c r="H35" s="16">
        <v>4</v>
      </c>
      <c r="I35" s="131">
        <f>MAX(0,21/6-1.5)</f>
        <v>2</v>
      </c>
    </row>
    <row r="36" spans="8:9" x14ac:dyDescent="0.25">
      <c r="H36" s="16">
        <v>5</v>
      </c>
      <c r="I36" s="131">
        <f>MAX(0,19/6-1.5)</f>
        <v>1.6666666666666665</v>
      </c>
    </row>
    <row r="37" spans="8:9" x14ac:dyDescent="0.25">
      <c r="H37" s="16">
        <v>6</v>
      </c>
      <c r="I37" s="131">
        <f>MAX(0,14/6-1.5)</f>
        <v>0.83333333333333348</v>
      </c>
    </row>
    <row r="38" spans="8:9" x14ac:dyDescent="0.25">
      <c r="H38" s="55">
        <v>7</v>
      </c>
      <c r="I38" s="131">
        <f>MAX(0,505/6-1.5)</f>
        <v>82.666666666666671</v>
      </c>
    </row>
    <row r="39" spans="8:9" x14ac:dyDescent="0.25">
      <c r="H39" s="16">
        <v>8</v>
      </c>
      <c r="I39" s="131">
        <f>MAX(0,9/6-1.5)</f>
        <v>0</v>
      </c>
    </row>
    <row r="40" spans="8:9" x14ac:dyDescent="0.25">
      <c r="H40" s="16">
        <v>9</v>
      </c>
      <c r="I40" s="131">
        <f>MAX(0,9/6-1.5)</f>
        <v>0</v>
      </c>
    </row>
    <row r="41" spans="8:9" x14ac:dyDescent="0.25">
      <c r="H41" s="16">
        <v>10</v>
      </c>
      <c r="I41" s="131">
        <f>MAX(0,92/6-1.5)</f>
        <v>13.833333333333334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F9" workbookViewId="0">
      <selection activeCell="I42" sqref="I42"/>
    </sheetView>
  </sheetViews>
  <sheetFormatPr defaultRowHeight="13.2" x14ac:dyDescent="0.25"/>
  <cols>
    <col min="4" max="4" width="11.6640625" customWidth="1"/>
    <col min="5" max="11" width="15.6640625" customWidth="1"/>
    <col min="13" max="14" width="0" hidden="1" customWidth="1"/>
  </cols>
  <sheetData>
    <row r="1" spans="1:14" ht="30" x14ac:dyDescent="0.5">
      <c r="A1" s="1" t="s">
        <v>88</v>
      </c>
      <c r="D1" s="28"/>
      <c r="K1" s="2"/>
    </row>
    <row r="2" spans="1:14" x14ac:dyDescent="0.25">
      <c r="D2" s="28"/>
      <c r="K2" s="2"/>
    </row>
    <row r="3" spans="1:14" x14ac:dyDescent="0.25">
      <c r="A3" t="s">
        <v>12</v>
      </c>
      <c r="D3" s="28"/>
      <c r="K3" s="2"/>
    </row>
    <row r="4" spans="1:14" x14ac:dyDescent="0.25">
      <c r="A4" t="s">
        <v>13</v>
      </c>
      <c r="D4" s="28"/>
      <c r="K4" s="2"/>
    </row>
    <row r="5" spans="1:14" x14ac:dyDescent="0.25">
      <c r="A5" t="s">
        <v>109</v>
      </c>
      <c r="D5" s="28"/>
      <c r="K5" s="2"/>
    </row>
    <row r="6" spans="1:14" x14ac:dyDescent="0.25">
      <c r="A6" t="s">
        <v>110</v>
      </c>
      <c r="D6" s="28"/>
      <c r="K6" s="2"/>
    </row>
    <row r="7" spans="1:14" x14ac:dyDescent="0.25">
      <c r="D7" s="28"/>
      <c r="K7" s="2"/>
    </row>
    <row r="8" spans="1:14" ht="17.399999999999999" x14ac:dyDescent="0.3">
      <c r="A8" s="34" t="s">
        <v>26</v>
      </c>
      <c r="D8" s="28"/>
      <c r="K8" s="2"/>
    </row>
    <row r="9" spans="1:14" x14ac:dyDescent="0.25">
      <c r="A9" s="3"/>
      <c r="B9" s="3"/>
      <c r="C9" s="3"/>
      <c r="D9" s="29"/>
      <c r="E9" s="4" t="s">
        <v>7</v>
      </c>
      <c r="F9" s="5"/>
      <c r="G9" s="6"/>
      <c r="H9" s="7"/>
      <c r="I9" s="8"/>
      <c r="J9" s="8"/>
      <c r="K9" s="9"/>
    </row>
    <row r="10" spans="1:14" s="47" customFormat="1" ht="26.4" x14ac:dyDescent="0.25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124" t="s">
        <v>152</v>
      </c>
      <c r="N10" s="124" t="s">
        <v>153</v>
      </c>
    </row>
    <row r="11" spans="1:14" x14ac:dyDescent="0.25">
      <c r="A11" s="16" t="s">
        <v>17</v>
      </c>
      <c r="B11" s="16">
        <v>1</v>
      </c>
      <c r="C11" s="55">
        <v>1</v>
      </c>
      <c r="D11" s="31">
        <v>37288</v>
      </c>
      <c r="E11" s="57">
        <v>451762</v>
      </c>
      <c r="F11" s="57">
        <v>389</v>
      </c>
      <c r="G11" s="17">
        <f>E11-F11</f>
        <v>451373</v>
      </c>
      <c r="H11" s="18">
        <f>E11/(1500*28*24)</f>
        <v>0.44817658730158733</v>
      </c>
      <c r="I11" s="58">
        <f>96.8087193487558%-(I33/(28*24))</f>
        <v>0.96808719348755801</v>
      </c>
      <c r="J11" s="115">
        <f>I11*(28*24)/(28*24+4)</f>
        <v>0.96235886689887418</v>
      </c>
      <c r="K11" s="17">
        <f>I11*28*24</f>
        <v>650.55459402363897</v>
      </c>
      <c r="M11" s="82">
        <v>643.84472222222223</v>
      </c>
      <c r="N11" s="82">
        <v>662.45447488584477</v>
      </c>
    </row>
    <row r="12" spans="1:14" x14ac:dyDescent="0.25">
      <c r="A12" s="16" t="s">
        <v>17</v>
      </c>
      <c r="B12" s="16">
        <v>1</v>
      </c>
      <c r="C12" s="55">
        <v>2</v>
      </c>
      <c r="D12" s="31">
        <v>37288</v>
      </c>
      <c r="E12" s="57">
        <v>367936</v>
      </c>
      <c r="F12" s="57">
        <v>972</v>
      </c>
      <c r="G12" s="17">
        <f>E12-F12</f>
        <v>366964</v>
      </c>
      <c r="H12" s="18">
        <f t="shared" ref="H12:H20" si="0">E12/(1500*28*24)</f>
        <v>0.36501587301587302</v>
      </c>
      <c r="I12" s="58">
        <f t="shared" ref="I12:I20" si="1">96.8087193487558%-(I34/(28*24))</f>
        <v>0.88599393951930405</v>
      </c>
      <c r="J12" s="115">
        <f t="shared" ref="J12:J20" si="2">I12*(28*24)/(28*24+4)</f>
        <v>0.88075137182984076</v>
      </c>
      <c r="K12" s="17">
        <f t="shared" ref="K12:K20" si="3">I12*28*24</f>
        <v>595.38792735697234</v>
      </c>
      <c r="M12" s="82">
        <v>626.85361111111115</v>
      </c>
      <c r="N12" s="82">
        <v>664.21808599695589</v>
      </c>
    </row>
    <row r="13" spans="1:14" x14ac:dyDescent="0.25">
      <c r="A13" s="16" t="s">
        <v>17</v>
      </c>
      <c r="B13" s="16">
        <v>1</v>
      </c>
      <c r="C13" s="55">
        <v>3</v>
      </c>
      <c r="D13" s="31">
        <v>37288</v>
      </c>
      <c r="E13" s="57">
        <v>474658</v>
      </c>
      <c r="F13" s="57">
        <v>280</v>
      </c>
      <c r="G13" s="17">
        <f t="shared" ref="G13:G19" si="4">E13-F13</f>
        <v>474378</v>
      </c>
      <c r="H13" s="18">
        <f t="shared" si="0"/>
        <v>0.47089087301587301</v>
      </c>
      <c r="I13" s="58">
        <f t="shared" si="1"/>
        <v>0.96734314586851033</v>
      </c>
      <c r="J13" s="115">
        <f t="shared" si="2"/>
        <v>0.96161922192846006</v>
      </c>
      <c r="K13" s="17">
        <f t="shared" si="3"/>
        <v>650.05459402363886</v>
      </c>
      <c r="M13" s="82">
        <v>665.00194444444446</v>
      </c>
      <c r="N13" s="82">
        <v>664.24391933028926</v>
      </c>
    </row>
    <row r="14" spans="1:14" x14ac:dyDescent="0.25">
      <c r="A14" s="16" t="s">
        <v>17</v>
      </c>
      <c r="B14" s="16">
        <v>1</v>
      </c>
      <c r="C14" s="55">
        <v>4</v>
      </c>
      <c r="D14" s="31">
        <v>37288</v>
      </c>
      <c r="E14" s="57">
        <v>487863</v>
      </c>
      <c r="F14" s="57">
        <v>409</v>
      </c>
      <c r="G14" s="17">
        <f t="shared" si="4"/>
        <v>487454</v>
      </c>
      <c r="H14" s="18">
        <f t="shared" si="0"/>
        <v>0.48399107142857145</v>
      </c>
      <c r="I14" s="58">
        <f t="shared" si="1"/>
        <v>0.96610306650343103</v>
      </c>
      <c r="J14" s="115">
        <f t="shared" si="2"/>
        <v>0.96038648031110296</v>
      </c>
      <c r="K14" s="17">
        <f t="shared" si="3"/>
        <v>649.22126069030571</v>
      </c>
      <c r="M14" s="82">
        <v>651.44611111111112</v>
      </c>
      <c r="N14" s="82">
        <v>660.89947488584482</v>
      </c>
    </row>
    <row r="15" spans="1:14" x14ac:dyDescent="0.25">
      <c r="A15" s="16" t="s">
        <v>17</v>
      </c>
      <c r="B15" s="16">
        <v>1</v>
      </c>
      <c r="C15" s="55">
        <v>5</v>
      </c>
      <c r="D15" s="31">
        <v>37288</v>
      </c>
      <c r="E15" s="57">
        <v>488884</v>
      </c>
      <c r="F15" s="57">
        <v>331</v>
      </c>
      <c r="G15" s="17">
        <f t="shared" si="4"/>
        <v>488553</v>
      </c>
      <c r="H15" s="18">
        <f t="shared" si="0"/>
        <v>0.48500396825396824</v>
      </c>
      <c r="I15" s="58">
        <f t="shared" si="1"/>
        <v>0.96610306650343103</v>
      </c>
      <c r="J15" s="115">
        <f t="shared" si="2"/>
        <v>0.96038648031110296</v>
      </c>
      <c r="K15" s="17">
        <f t="shared" si="3"/>
        <v>649.22126069030571</v>
      </c>
      <c r="M15" s="82">
        <v>638.31972222222225</v>
      </c>
      <c r="N15" s="82">
        <v>648.7083637747337</v>
      </c>
    </row>
    <row r="16" spans="1:14" x14ac:dyDescent="0.25">
      <c r="A16" s="16" t="s">
        <v>17</v>
      </c>
      <c r="B16" s="16">
        <v>1</v>
      </c>
      <c r="C16" s="55">
        <v>6</v>
      </c>
      <c r="D16" s="31">
        <v>37288</v>
      </c>
      <c r="E16" s="57">
        <v>417916</v>
      </c>
      <c r="F16" s="57">
        <v>574</v>
      </c>
      <c r="G16" s="17">
        <f t="shared" si="4"/>
        <v>417342</v>
      </c>
      <c r="H16" s="18">
        <f t="shared" si="0"/>
        <v>0.41459920634920633</v>
      </c>
      <c r="I16" s="58">
        <f t="shared" si="1"/>
        <v>0.96635108237644685</v>
      </c>
      <c r="J16" s="115">
        <f t="shared" si="2"/>
        <v>0.96063302863457434</v>
      </c>
      <c r="K16" s="17">
        <f t="shared" si="3"/>
        <v>649.38792735697234</v>
      </c>
      <c r="M16" s="82">
        <v>599.1494444444445</v>
      </c>
      <c r="N16" s="82">
        <v>663.70753044140031</v>
      </c>
    </row>
    <row r="17" spans="1:14" x14ac:dyDescent="0.25">
      <c r="A17" s="16" t="s">
        <v>17</v>
      </c>
      <c r="B17" s="16">
        <v>1</v>
      </c>
      <c r="C17" s="55">
        <v>7</v>
      </c>
      <c r="D17" s="31">
        <v>37288</v>
      </c>
      <c r="E17" s="57">
        <v>219110</v>
      </c>
      <c r="F17" s="57">
        <v>2106</v>
      </c>
      <c r="G17" s="17">
        <f t="shared" si="4"/>
        <v>217004</v>
      </c>
      <c r="H17" s="18">
        <f t="shared" si="0"/>
        <v>0.21737103174603176</v>
      </c>
      <c r="I17" s="58">
        <f t="shared" si="1"/>
        <v>0.94055743158279614</v>
      </c>
      <c r="J17" s="115">
        <f t="shared" si="2"/>
        <v>0.93499200299354879</v>
      </c>
      <c r="K17" s="17">
        <f t="shared" si="3"/>
        <v>632.05459402363897</v>
      </c>
      <c r="M17" s="82">
        <v>612.09805555555556</v>
      </c>
      <c r="N17" s="82">
        <v>664.13336377473365</v>
      </c>
    </row>
    <row r="18" spans="1:14" ht="15.6" x14ac:dyDescent="0.25">
      <c r="A18" s="16" t="s">
        <v>17</v>
      </c>
      <c r="B18" s="16">
        <v>1</v>
      </c>
      <c r="C18" s="55" t="s">
        <v>111</v>
      </c>
      <c r="D18" s="31">
        <v>37288</v>
      </c>
      <c r="E18" s="57">
        <f>-1445440+1934915</f>
        <v>489475</v>
      </c>
      <c r="F18" s="57">
        <f>-2422+2968</f>
        <v>546</v>
      </c>
      <c r="G18" s="17">
        <f t="shared" si="4"/>
        <v>488929</v>
      </c>
      <c r="H18" s="18">
        <f t="shared" si="0"/>
        <v>0.4855902777777778</v>
      </c>
      <c r="I18" s="58">
        <f t="shared" si="1"/>
        <v>0.96734314586851033</v>
      </c>
      <c r="J18" s="115">
        <f t="shared" si="2"/>
        <v>0.96161922192846006</v>
      </c>
      <c r="K18" s="17">
        <f t="shared" si="3"/>
        <v>650.05459402363886</v>
      </c>
      <c r="M18" s="82">
        <v>1103.4772222222223</v>
      </c>
      <c r="N18" s="82">
        <v>774.93503044140039</v>
      </c>
    </row>
    <row r="19" spans="1:14" x14ac:dyDescent="0.25">
      <c r="A19" s="16" t="s">
        <v>17</v>
      </c>
      <c r="B19" s="16">
        <v>1</v>
      </c>
      <c r="C19" s="55">
        <v>9</v>
      </c>
      <c r="D19" s="31">
        <v>37288</v>
      </c>
      <c r="E19" s="57">
        <v>501580</v>
      </c>
      <c r="F19" s="57">
        <v>416</v>
      </c>
      <c r="G19" s="17">
        <f t="shared" si="4"/>
        <v>501164</v>
      </c>
      <c r="H19" s="18">
        <f t="shared" si="0"/>
        <v>0.49759920634920635</v>
      </c>
      <c r="I19" s="58">
        <f t="shared" si="1"/>
        <v>0.96734314586851033</v>
      </c>
      <c r="J19" s="115">
        <f t="shared" si="2"/>
        <v>0.96161922192846006</v>
      </c>
      <c r="K19" s="17">
        <f t="shared" si="3"/>
        <v>650.05459402363886</v>
      </c>
      <c r="M19" s="82">
        <v>655.61361111111114</v>
      </c>
      <c r="N19" s="82">
        <v>664.22086377473363</v>
      </c>
    </row>
    <row r="20" spans="1:14" x14ac:dyDescent="0.25">
      <c r="A20" s="16" t="s">
        <v>17</v>
      </c>
      <c r="B20" s="16">
        <v>1</v>
      </c>
      <c r="C20" s="55">
        <v>10</v>
      </c>
      <c r="D20" s="31">
        <v>37288</v>
      </c>
      <c r="E20" s="57">
        <v>500093</v>
      </c>
      <c r="F20" s="57">
        <v>333</v>
      </c>
      <c r="G20" s="17">
        <f>E20-F20</f>
        <v>499760</v>
      </c>
      <c r="H20" s="18">
        <f t="shared" si="0"/>
        <v>0.49612400793650796</v>
      </c>
      <c r="I20" s="58">
        <f t="shared" si="1"/>
        <v>0.96808719348755801</v>
      </c>
      <c r="J20" s="115">
        <f t="shared" si="2"/>
        <v>0.96235886689887418</v>
      </c>
      <c r="K20" s="17">
        <f t="shared" si="3"/>
        <v>650.55459402363897</v>
      </c>
      <c r="M20" s="82">
        <v>649.86055555555561</v>
      </c>
      <c r="N20" s="82">
        <v>664.27919710806702</v>
      </c>
    </row>
    <row r="21" spans="1:14" x14ac:dyDescent="0.25">
      <c r="A21" s="19"/>
      <c r="B21" s="20"/>
      <c r="C21" s="21" t="s">
        <v>24</v>
      </c>
      <c r="D21" s="31">
        <v>37288</v>
      </c>
      <c r="E21" s="25">
        <f>SUM(E11:E20)</f>
        <v>4399277</v>
      </c>
      <c r="F21" s="25">
        <f>SUM(F11:F20)</f>
        <v>6356</v>
      </c>
      <c r="G21" s="25">
        <f>SUM(G11:G20)</f>
        <v>4392921</v>
      </c>
      <c r="H21" s="18">
        <f>AVERAGE(H11:H20)</f>
        <v>0.43643621031746038</v>
      </c>
      <c r="I21" s="27">
        <f>AVERAGE(I11:I20)</f>
        <v>0.95633124110660561</v>
      </c>
      <c r="J21" s="27">
        <f>AVERAGE(J11:J20)</f>
        <v>0.95067247636632979</v>
      </c>
      <c r="K21" s="25">
        <f>SUM(K11:K20)</f>
        <v>6426.5459402363895</v>
      </c>
    </row>
    <row r="22" spans="1:14" ht="15.6" x14ac:dyDescent="0.25">
      <c r="A22" s="19"/>
      <c r="B22" s="20"/>
      <c r="C22" s="21" t="s">
        <v>21</v>
      </c>
      <c r="D22" s="31">
        <v>37288</v>
      </c>
      <c r="E22" s="17">
        <f>E21*(0.02)</f>
        <v>87985.540000000008</v>
      </c>
      <c r="F22" s="17">
        <f>F21*(0.02)</f>
        <v>127.12</v>
      </c>
      <c r="G22" s="17">
        <f>G21*(0.02)</f>
        <v>87858.42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14" x14ac:dyDescent="0.25">
      <c r="A23" s="19"/>
      <c r="B23" s="20"/>
      <c r="C23" s="21" t="s">
        <v>23</v>
      </c>
      <c r="D23" s="31">
        <v>37288</v>
      </c>
      <c r="E23" s="17">
        <f>E21-E22</f>
        <v>4311291.46</v>
      </c>
      <c r="F23" s="17">
        <f>F21-F22</f>
        <v>6228.88</v>
      </c>
      <c r="G23" s="17">
        <f>G21-G22</f>
        <v>4305062.58</v>
      </c>
      <c r="H23" s="125">
        <f>H21</f>
        <v>0.43643621031746038</v>
      </c>
      <c r="I23" s="125">
        <f>I21</f>
        <v>0.95633124110660561</v>
      </c>
      <c r="J23" s="32" t="s">
        <v>25</v>
      </c>
      <c r="K23" s="25">
        <f>K21</f>
        <v>6426.5459402363895</v>
      </c>
    </row>
    <row r="24" spans="1:14" x14ac:dyDescent="0.25">
      <c r="A24" s="19"/>
      <c r="B24" s="20"/>
      <c r="C24" s="21" t="s">
        <v>23</v>
      </c>
      <c r="D24" s="24" t="s">
        <v>9</v>
      </c>
      <c r="E24" s="17">
        <f>E23+'0102'!E23</f>
        <v>9296409.3599999994</v>
      </c>
      <c r="F24" s="17">
        <f>F23+'0102'!F23</f>
        <v>12321.54</v>
      </c>
      <c r="G24" s="17">
        <f>G23+'0102'!G23</f>
        <v>9284087.8200000003</v>
      </c>
      <c r="H24" s="18">
        <f>AVERAGE(H21,'0102'!H21)</f>
        <v>0.45028107142164264</v>
      </c>
      <c r="I24" s="18">
        <f>AVERAGE(I21,'0102'!I21)</f>
        <v>0.93703996213000496</v>
      </c>
      <c r="J24" s="18">
        <f>AVERAGE(J21,'0102'!J21)</f>
        <v>0.93165504375511154</v>
      </c>
      <c r="K24" s="17">
        <f>K23+'0102'!K23</f>
        <v>13132.079787892864</v>
      </c>
    </row>
    <row r="25" spans="1:14" x14ac:dyDescent="0.25">
      <c r="D25" s="30"/>
      <c r="E25" s="2"/>
      <c r="F25" s="2"/>
      <c r="G25" s="2"/>
      <c r="H25" s="2"/>
      <c r="I25" s="23"/>
      <c r="J25" s="23"/>
      <c r="K25" s="2"/>
    </row>
    <row r="26" spans="1:14" x14ac:dyDescent="0.25">
      <c r="A26" t="s">
        <v>8</v>
      </c>
      <c r="D26" s="30"/>
      <c r="E26" s="2"/>
      <c r="F26" s="2"/>
      <c r="G26" s="2"/>
      <c r="H26" s="2"/>
      <c r="I26" s="23"/>
      <c r="J26" s="23"/>
    </row>
    <row r="27" spans="1:14" x14ac:dyDescent="0.25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14" x14ac:dyDescent="0.25">
      <c r="A28" t="s">
        <v>107</v>
      </c>
      <c r="D28" s="30"/>
      <c r="E28" s="2"/>
      <c r="F28" s="2"/>
      <c r="G28" s="2"/>
      <c r="H28" s="2"/>
      <c r="I28" s="23"/>
      <c r="J28" s="23"/>
      <c r="K28" s="2"/>
    </row>
    <row r="29" spans="1:14" x14ac:dyDescent="0.25">
      <c r="A29" t="s">
        <v>22</v>
      </c>
      <c r="D29" s="28"/>
      <c r="G29" s="2"/>
      <c r="H29" s="2"/>
      <c r="I29" s="23"/>
      <c r="J29" s="23"/>
      <c r="K29" s="2"/>
    </row>
    <row r="30" spans="1:14" x14ac:dyDescent="0.25">
      <c r="A30" t="s">
        <v>112</v>
      </c>
      <c r="D30" s="28"/>
      <c r="G30" s="2"/>
      <c r="H30" s="2"/>
      <c r="I30" s="23"/>
      <c r="J30" s="23"/>
      <c r="K30" s="2"/>
    </row>
    <row r="31" spans="1:14" x14ac:dyDescent="0.25">
      <c r="D31" s="28"/>
      <c r="G31" s="2"/>
      <c r="H31" s="2"/>
      <c r="I31" s="23"/>
      <c r="J31" s="23"/>
      <c r="K31" s="2"/>
    </row>
    <row r="32" spans="1:14" x14ac:dyDescent="0.25">
      <c r="D32" s="28"/>
      <c r="G32" s="2"/>
      <c r="H32" s="19" t="s">
        <v>157</v>
      </c>
      <c r="I32" s="22"/>
      <c r="J32" s="23"/>
      <c r="K32" s="2"/>
    </row>
    <row r="33" spans="1:11" x14ac:dyDescent="0.25">
      <c r="D33" s="28"/>
      <c r="G33" s="2"/>
      <c r="H33" s="16">
        <v>1</v>
      </c>
      <c r="I33" s="131">
        <f>MAX(0,5/6-1.5)</f>
        <v>0</v>
      </c>
      <c r="J33" s="23"/>
      <c r="K33" s="2"/>
    </row>
    <row r="34" spans="1:11" x14ac:dyDescent="0.25">
      <c r="D34" s="28"/>
      <c r="G34" s="2"/>
      <c r="H34" s="16">
        <v>2</v>
      </c>
      <c r="I34" s="131">
        <f>MAX(0,340/6-1.5)</f>
        <v>55.166666666666664</v>
      </c>
      <c r="J34" s="23"/>
      <c r="K34" s="2"/>
    </row>
    <row r="35" spans="1:11" x14ac:dyDescent="0.25">
      <c r="D35" s="28"/>
      <c r="G35" s="2"/>
      <c r="H35" s="16">
        <v>3</v>
      </c>
      <c r="I35" s="131">
        <f>MAX(0,12/6-1.5)</f>
        <v>0.5</v>
      </c>
      <c r="J35" s="23"/>
      <c r="K35" s="2"/>
    </row>
    <row r="36" spans="1:11" x14ac:dyDescent="0.25">
      <c r="D36" s="28"/>
      <c r="G36" s="2"/>
      <c r="H36" s="16">
        <v>4</v>
      </c>
      <c r="I36" s="131">
        <f>MAX(0,17/6-1.5)</f>
        <v>1.3333333333333335</v>
      </c>
      <c r="J36" s="23"/>
      <c r="K36" s="2"/>
    </row>
    <row r="37" spans="1:11" x14ac:dyDescent="0.25">
      <c r="D37" s="28"/>
      <c r="G37" s="2"/>
      <c r="H37" s="16">
        <v>5</v>
      </c>
      <c r="I37" s="131">
        <f>MAX(0,17/6-1.5)</f>
        <v>1.3333333333333335</v>
      </c>
      <c r="J37" s="23"/>
      <c r="K37" s="2"/>
    </row>
    <row r="38" spans="1:11" x14ac:dyDescent="0.25">
      <c r="D38" s="28"/>
      <c r="G38" s="2"/>
      <c r="H38" s="16">
        <v>6</v>
      </c>
      <c r="I38" s="131">
        <f>MAX(0,16/6-1.5)</f>
        <v>1.1666666666666665</v>
      </c>
      <c r="J38" s="23"/>
      <c r="K38" s="2"/>
    </row>
    <row r="39" spans="1:11" x14ac:dyDescent="0.25">
      <c r="D39" s="28"/>
      <c r="G39" s="2"/>
      <c r="H39" s="55">
        <v>7</v>
      </c>
      <c r="I39" s="131">
        <f>MAX(0,120/6-1.5)</f>
        <v>18.5</v>
      </c>
      <c r="J39" s="23"/>
      <c r="K39" s="2"/>
    </row>
    <row r="40" spans="1:11" x14ac:dyDescent="0.25">
      <c r="D40" s="28"/>
      <c r="G40" s="2"/>
      <c r="H40" s="16">
        <v>8</v>
      </c>
      <c r="I40" s="131">
        <f>MAX(0,12/6-1.5)</f>
        <v>0.5</v>
      </c>
      <c r="J40" s="23"/>
      <c r="K40" s="2"/>
    </row>
    <row r="41" spans="1:11" x14ac:dyDescent="0.25">
      <c r="D41" s="28"/>
      <c r="G41" s="2"/>
      <c r="H41" s="16">
        <v>9</v>
      </c>
      <c r="I41" s="131">
        <f>MAX(0,12/6-1.5)</f>
        <v>0.5</v>
      </c>
      <c r="J41" s="23"/>
      <c r="K41" s="2"/>
    </row>
    <row r="42" spans="1:11" x14ac:dyDescent="0.25">
      <c r="D42" s="28"/>
      <c r="G42" s="2"/>
      <c r="H42" s="16">
        <v>10</v>
      </c>
      <c r="I42" s="131">
        <f>MAX(0,6/6-1.5)</f>
        <v>0</v>
      </c>
      <c r="J42" s="23"/>
      <c r="K42" s="2"/>
    </row>
    <row r="47" spans="1:11" ht="15.6" x14ac:dyDescent="0.3">
      <c r="A47" s="132" t="s">
        <v>89</v>
      </c>
      <c r="B47" s="132"/>
      <c r="C47" s="132"/>
      <c r="D47" s="132"/>
      <c r="E47" s="132"/>
      <c r="F47" s="132"/>
      <c r="G47" s="132"/>
      <c r="H47" s="132"/>
    </row>
    <row r="48" spans="1:11" ht="15.6" x14ac:dyDescent="0.3">
      <c r="A48" s="132" t="s">
        <v>108</v>
      </c>
      <c r="B48" s="132"/>
      <c r="C48" s="132"/>
      <c r="D48" s="132"/>
      <c r="E48" s="132"/>
      <c r="F48" s="132"/>
      <c r="G48" s="132"/>
      <c r="H48" s="132"/>
    </row>
    <row r="49" spans="1:8" ht="15.6" x14ac:dyDescent="0.3">
      <c r="A49" s="59"/>
      <c r="B49" s="59"/>
      <c r="C49" s="60"/>
      <c r="D49" s="59"/>
      <c r="E49" s="133" t="s">
        <v>90</v>
      </c>
      <c r="F49" s="133"/>
      <c r="G49" s="133"/>
      <c r="H49" s="133"/>
    </row>
    <row r="50" spans="1:8" ht="13.8" thickBot="1" x14ac:dyDescent="0.3">
      <c r="A50" s="61" t="s">
        <v>91</v>
      </c>
      <c r="B50" s="62">
        <v>37258</v>
      </c>
      <c r="C50" s="63"/>
      <c r="D50" s="64"/>
      <c r="E50" s="134" t="s">
        <v>92</v>
      </c>
      <c r="F50" s="134"/>
      <c r="G50" s="134"/>
      <c r="H50" s="134"/>
    </row>
    <row r="51" spans="1:8" x14ac:dyDescent="0.25">
      <c r="A51" s="65" t="s">
        <v>93</v>
      </c>
      <c r="B51" s="66" t="s">
        <v>94</v>
      </c>
      <c r="C51" s="67" t="s">
        <v>95</v>
      </c>
      <c r="D51" s="66" t="s">
        <v>96</v>
      </c>
      <c r="E51" s="67" t="s">
        <v>97</v>
      </c>
      <c r="F51" s="68" t="s">
        <v>98</v>
      </c>
      <c r="G51" s="65" t="s">
        <v>99</v>
      </c>
      <c r="H51" s="65" t="s">
        <v>100</v>
      </c>
    </row>
    <row r="52" spans="1:8" x14ac:dyDescent="0.25">
      <c r="A52" s="69"/>
      <c r="B52" s="74">
        <v>37296</v>
      </c>
      <c r="C52" s="70" t="s">
        <v>101</v>
      </c>
      <c r="D52" s="74">
        <v>37296</v>
      </c>
      <c r="E52" s="70" t="s">
        <v>102</v>
      </c>
      <c r="F52" s="71">
        <v>12</v>
      </c>
      <c r="G52" s="69" t="s">
        <v>103</v>
      </c>
      <c r="H52" s="72" t="s">
        <v>104</v>
      </c>
    </row>
    <row r="53" spans="1:8" x14ac:dyDescent="0.25">
      <c r="A53" s="69"/>
      <c r="B53" s="75" t="s">
        <v>105</v>
      </c>
      <c r="C53" s="76">
        <v>1800</v>
      </c>
      <c r="D53" s="75" t="s">
        <v>105</v>
      </c>
      <c r="E53" s="76">
        <v>230</v>
      </c>
      <c r="F53" s="71">
        <v>8.5</v>
      </c>
      <c r="G53" s="69" t="s">
        <v>103</v>
      </c>
      <c r="H53" s="73" t="s">
        <v>106</v>
      </c>
    </row>
  </sheetData>
  <mergeCells count="4">
    <mergeCell ref="A47:H47"/>
    <mergeCell ref="A48:H48"/>
    <mergeCell ref="E49:H49"/>
    <mergeCell ref="E50:H50"/>
  </mergeCells>
  <phoneticPr fontId="0" type="noConversion"/>
  <pageMargins left="0.75" right="0.75" top="1" bottom="1" header="0.5" footer="0.5"/>
  <pageSetup scale="9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opLeftCell="D9" workbookViewId="0">
      <selection activeCell="I42" sqref="I42"/>
    </sheetView>
  </sheetViews>
  <sheetFormatPr defaultRowHeight="13.2" x14ac:dyDescent="0.25"/>
  <cols>
    <col min="4" max="4" width="11" customWidth="1"/>
    <col min="5" max="11" width="15.6640625" customWidth="1"/>
    <col min="12" max="12" width="2.44140625" customWidth="1"/>
    <col min="18" max="18" width="12.44140625" customWidth="1"/>
    <col min="21" max="21" width="9.5546875" customWidth="1"/>
  </cols>
  <sheetData>
    <row r="1" spans="1:21" ht="30" x14ac:dyDescent="0.5">
      <c r="A1" s="1" t="s">
        <v>113</v>
      </c>
      <c r="D1" s="28"/>
      <c r="K1" s="2"/>
    </row>
    <row r="2" spans="1:21" x14ac:dyDescent="0.25">
      <c r="D2" s="28"/>
      <c r="K2" s="2"/>
    </row>
    <row r="3" spans="1:21" x14ac:dyDescent="0.25">
      <c r="A3" t="s">
        <v>12</v>
      </c>
      <c r="D3" s="28"/>
      <c r="K3" s="2"/>
    </row>
    <row r="4" spans="1:21" x14ac:dyDescent="0.25">
      <c r="A4" t="s">
        <v>13</v>
      </c>
      <c r="D4" s="28"/>
      <c r="K4" s="2"/>
    </row>
    <row r="5" spans="1:21" x14ac:dyDescent="0.25">
      <c r="A5" t="s">
        <v>109</v>
      </c>
      <c r="D5" s="28"/>
      <c r="K5" s="2"/>
    </row>
    <row r="6" spans="1:21" x14ac:dyDescent="0.25">
      <c r="A6" t="s">
        <v>126</v>
      </c>
      <c r="D6" s="28"/>
      <c r="K6" s="2"/>
    </row>
    <row r="7" spans="1:21" x14ac:dyDescent="0.25">
      <c r="D7" s="28"/>
      <c r="K7" s="2"/>
    </row>
    <row r="8" spans="1:21" ht="17.399999999999999" x14ac:dyDescent="0.3">
      <c r="A8" s="34" t="s">
        <v>26</v>
      </c>
      <c r="D8" s="28"/>
      <c r="K8" s="2"/>
    </row>
    <row r="9" spans="1:21" x14ac:dyDescent="0.25">
      <c r="A9" s="3"/>
      <c r="B9" s="3"/>
      <c r="C9" s="3"/>
      <c r="D9" s="29"/>
      <c r="E9" s="4" t="s">
        <v>7</v>
      </c>
      <c r="F9" s="5"/>
      <c r="G9" s="7"/>
      <c r="H9" s="7"/>
      <c r="I9" s="8"/>
      <c r="J9" s="8"/>
      <c r="K9" s="9"/>
      <c r="N9" t="s">
        <v>114</v>
      </c>
      <c r="R9" t="s">
        <v>115</v>
      </c>
    </row>
    <row r="10" spans="1:21" ht="26.4" x14ac:dyDescent="0.25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</row>
    <row r="11" spans="1:21" x14ac:dyDescent="0.25">
      <c r="A11" s="16" t="s">
        <v>17</v>
      </c>
      <c r="B11" s="16">
        <v>1</v>
      </c>
      <c r="C11" s="55">
        <v>1</v>
      </c>
      <c r="D11" s="31">
        <v>37316</v>
      </c>
      <c r="E11" s="17">
        <f>N11+R11</f>
        <v>499742</v>
      </c>
      <c r="F11" s="17">
        <f>O11+S11</f>
        <v>394</v>
      </c>
      <c r="G11" s="17">
        <f>E11-F11</f>
        <v>499348</v>
      </c>
      <c r="H11" s="18">
        <f>G11/(1500*31*24)</f>
        <v>0.44744444444444442</v>
      </c>
      <c r="I11" s="58">
        <f>(P11+T11-I33)/(Q11+U11)</f>
        <v>0.96188804283951446</v>
      </c>
      <c r="J11" s="115">
        <f>(P11+T11-I33)/(Q11+U11+4)</f>
        <v>0.95658317764662293</v>
      </c>
      <c r="K11" s="17">
        <f>I11*31*24</f>
        <v>715.64470387259871</v>
      </c>
      <c r="M11" s="83">
        <v>1</v>
      </c>
      <c r="N11" s="57">
        <v>499742</v>
      </c>
      <c r="O11" s="57">
        <v>394</v>
      </c>
      <c r="P11" s="82">
        <v>693.79777777777781</v>
      </c>
      <c r="Q11" s="82">
        <v>721.28745433789948</v>
      </c>
    </row>
    <row r="12" spans="1:21" x14ac:dyDescent="0.25">
      <c r="A12" s="16" t="s">
        <v>17</v>
      </c>
      <c r="B12" s="16">
        <v>1</v>
      </c>
      <c r="C12" s="55">
        <v>2</v>
      </c>
      <c r="D12" s="31">
        <v>37316</v>
      </c>
      <c r="E12" s="17">
        <f t="shared" ref="E12:E19" si="0">N12+R12</f>
        <v>456593</v>
      </c>
      <c r="F12" s="17">
        <f t="shared" ref="F12:F20" si="1">O12+S12</f>
        <v>569</v>
      </c>
      <c r="G12" s="17">
        <f t="shared" ref="G12:G20" si="2">E12-F12</f>
        <v>456024</v>
      </c>
      <c r="H12" s="18">
        <f t="shared" ref="H12:H20" si="3">G12/(1500*31*24)</f>
        <v>0.40862365591397848</v>
      </c>
      <c r="I12" s="58">
        <f t="shared" ref="I12:I20" si="4">(P12+T12-I34)/(Q12+U12)</f>
        <v>0.91409510107714376</v>
      </c>
      <c r="J12" s="115">
        <f t="shared" ref="J12:J20" si="5">(P12+T12-I34)/(Q12+U12+4)</f>
        <v>0.90906519006953312</v>
      </c>
      <c r="K12" s="17">
        <f t="shared" ref="K12:K20" si="6">I12*31*24</f>
        <v>680.08675520139491</v>
      </c>
      <c r="M12" s="83">
        <v>1</v>
      </c>
      <c r="N12" s="57">
        <v>456593</v>
      </c>
      <c r="O12" s="57">
        <v>569</v>
      </c>
      <c r="P12" s="82">
        <v>672.65777777777782</v>
      </c>
      <c r="Q12" s="82">
        <v>722.92745433789946</v>
      </c>
    </row>
    <row r="13" spans="1:21" x14ac:dyDescent="0.25">
      <c r="A13" s="16" t="s">
        <v>17</v>
      </c>
      <c r="B13" s="16">
        <v>1</v>
      </c>
      <c r="C13" s="55">
        <v>3</v>
      </c>
      <c r="D13" s="31">
        <v>37316</v>
      </c>
      <c r="E13" s="17">
        <f t="shared" si="0"/>
        <v>359103</v>
      </c>
      <c r="F13" s="17">
        <f t="shared" si="1"/>
        <v>617</v>
      </c>
      <c r="G13" s="17">
        <f t="shared" si="2"/>
        <v>358486</v>
      </c>
      <c r="H13" s="18">
        <f t="shared" si="3"/>
        <v>0.32122401433691755</v>
      </c>
      <c r="I13" s="58">
        <f t="shared" si="4"/>
        <v>0.80765558895077472</v>
      </c>
      <c r="J13" s="115">
        <f t="shared" si="5"/>
        <v>0.80319877404979478</v>
      </c>
      <c r="K13" s="17">
        <f t="shared" si="6"/>
        <v>600.89575817937646</v>
      </c>
      <c r="M13" s="83">
        <v>1</v>
      </c>
      <c r="N13" s="57">
        <v>359103</v>
      </c>
      <c r="O13" s="57">
        <v>617</v>
      </c>
      <c r="P13" s="82">
        <v>582.7166666666667</v>
      </c>
      <c r="Q13" s="82">
        <v>720.87245433789951</v>
      </c>
    </row>
    <row r="14" spans="1:21" x14ac:dyDescent="0.25">
      <c r="A14" s="16" t="s">
        <v>17</v>
      </c>
      <c r="B14" s="16">
        <v>1</v>
      </c>
      <c r="C14" s="55">
        <v>4</v>
      </c>
      <c r="D14" s="31">
        <v>37316</v>
      </c>
      <c r="E14" s="17">
        <f t="shared" si="0"/>
        <v>481180</v>
      </c>
      <c r="F14" s="17">
        <f t="shared" si="1"/>
        <v>722</v>
      </c>
      <c r="G14" s="17">
        <f t="shared" si="2"/>
        <v>480458</v>
      </c>
      <c r="H14" s="18">
        <f t="shared" si="3"/>
        <v>0.43051792114695342</v>
      </c>
      <c r="I14" s="58">
        <f t="shared" si="4"/>
        <v>0.91855755650803539</v>
      </c>
      <c r="J14" s="115">
        <f t="shared" si="5"/>
        <v>0.91350040227304186</v>
      </c>
      <c r="K14" s="17">
        <f t="shared" si="6"/>
        <v>683.40682204197833</v>
      </c>
      <c r="M14" s="83">
        <v>1</v>
      </c>
      <c r="N14" s="57">
        <v>481180</v>
      </c>
      <c r="O14" s="57">
        <v>722</v>
      </c>
      <c r="P14" s="82">
        <v>664.36222222222227</v>
      </c>
      <c r="Q14" s="82">
        <v>722.5410654490106</v>
      </c>
    </row>
    <row r="15" spans="1:21" x14ac:dyDescent="0.25">
      <c r="A15" s="16" t="s">
        <v>17</v>
      </c>
      <c r="B15" s="16">
        <v>1</v>
      </c>
      <c r="C15" s="55">
        <v>5</v>
      </c>
      <c r="D15" s="31">
        <v>37316</v>
      </c>
      <c r="E15" s="17">
        <f t="shared" si="0"/>
        <v>526562</v>
      </c>
      <c r="F15" s="17">
        <f t="shared" si="1"/>
        <v>394</v>
      </c>
      <c r="G15" s="17">
        <f t="shared" si="2"/>
        <v>526168</v>
      </c>
      <c r="H15" s="18">
        <f t="shared" si="3"/>
        <v>0.47147670250896057</v>
      </c>
      <c r="I15" s="58">
        <f t="shared" si="4"/>
        <v>0.98225404595515931</v>
      </c>
      <c r="J15" s="115">
        <f t="shared" si="5"/>
        <v>0.97682045236472159</v>
      </c>
      <c r="K15" s="17">
        <f t="shared" si="6"/>
        <v>730.7970101906385</v>
      </c>
      <c r="M15" s="83">
        <v>1</v>
      </c>
      <c r="N15" s="57">
        <v>526562</v>
      </c>
      <c r="O15" s="57">
        <v>394</v>
      </c>
      <c r="P15" s="82">
        <v>706.33611111111111</v>
      </c>
      <c r="Q15" s="82">
        <v>719.09717656012174</v>
      </c>
    </row>
    <row r="16" spans="1:21" x14ac:dyDescent="0.25">
      <c r="A16" s="16" t="s">
        <v>17</v>
      </c>
      <c r="B16" s="16">
        <v>1</v>
      </c>
      <c r="C16" s="55">
        <v>6</v>
      </c>
      <c r="D16" s="31">
        <v>37316</v>
      </c>
      <c r="E16" s="17">
        <f t="shared" si="0"/>
        <v>506590</v>
      </c>
      <c r="F16" s="17">
        <f t="shared" si="1"/>
        <v>418</v>
      </c>
      <c r="G16" s="17">
        <f t="shared" si="2"/>
        <v>506172</v>
      </c>
      <c r="H16" s="18">
        <f t="shared" si="3"/>
        <v>0.45355913978494622</v>
      </c>
      <c r="I16" s="58">
        <f t="shared" si="4"/>
        <v>0.97044350049977013</v>
      </c>
      <c r="J16" s="115">
        <f t="shared" si="5"/>
        <v>0.96508627283700121</v>
      </c>
      <c r="K16" s="17">
        <f t="shared" si="6"/>
        <v>722.00996437182903</v>
      </c>
      <c r="M16" s="83">
        <v>1</v>
      </c>
      <c r="N16" s="57">
        <v>506590</v>
      </c>
      <c r="O16" s="57">
        <v>418</v>
      </c>
      <c r="P16" s="82">
        <v>699.2883333333333</v>
      </c>
      <c r="Q16" s="82">
        <v>720.58634322678836</v>
      </c>
    </row>
    <row r="17" spans="1:21" x14ac:dyDescent="0.25">
      <c r="A17" s="16" t="s">
        <v>17</v>
      </c>
      <c r="B17" s="16">
        <v>1</v>
      </c>
      <c r="C17" s="55">
        <v>7</v>
      </c>
      <c r="D17" s="31">
        <v>37316</v>
      </c>
      <c r="E17" s="17">
        <f t="shared" si="0"/>
        <v>297493</v>
      </c>
      <c r="F17" s="17">
        <f t="shared" si="1"/>
        <v>2147</v>
      </c>
      <c r="G17" s="17">
        <f t="shared" si="2"/>
        <v>295346</v>
      </c>
      <c r="H17" s="18">
        <f t="shared" si="3"/>
        <v>0.26464695340501793</v>
      </c>
      <c r="I17" s="58">
        <f t="shared" si="4"/>
        <v>0.88008020258217035</v>
      </c>
      <c r="J17" s="115">
        <f t="shared" si="5"/>
        <v>0.87522576656579554</v>
      </c>
      <c r="K17" s="17">
        <f t="shared" si="6"/>
        <v>654.77967072113472</v>
      </c>
      <c r="M17" s="83">
        <v>1</v>
      </c>
      <c r="N17" s="57">
        <v>297493</v>
      </c>
      <c r="O17" s="57">
        <v>2147</v>
      </c>
      <c r="P17" s="82">
        <v>641.02611111111116</v>
      </c>
      <c r="Q17" s="82">
        <v>721.17606544901059</v>
      </c>
    </row>
    <row r="18" spans="1:21" ht="15.6" x14ac:dyDescent="0.25">
      <c r="A18" s="16" t="s">
        <v>17</v>
      </c>
      <c r="B18" s="16">
        <v>1</v>
      </c>
      <c r="C18" s="55" t="s">
        <v>111</v>
      </c>
      <c r="D18" s="31">
        <v>37316</v>
      </c>
      <c r="E18" s="17">
        <f t="shared" si="0"/>
        <v>550994</v>
      </c>
      <c r="F18" s="17">
        <f t="shared" si="1"/>
        <v>647</v>
      </c>
      <c r="G18" s="17">
        <f t="shared" si="2"/>
        <v>550347</v>
      </c>
      <c r="H18" s="18">
        <f t="shared" si="3"/>
        <v>0.49314247311827958</v>
      </c>
      <c r="I18" s="58">
        <f t="shared" si="4"/>
        <v>0.97381787543906029</v>
      </c>
      <c r="J18" s="115">
        <f t="shared" si="5"/>
        <v>0.96844811322138513</v>
      </c>
      <c r="K18" s="17">
        <f t="shared" si="6"/>
        <v>724.52049932666091</v>
      </c>
      <c r="M18" s="83">
        <v>1</v>
      </c>
      <c r="N18" s="82">
        <v>2512228</v>
      </c>
      <c r="O18" s="82">
        <v>3620</v>
      </c>
      <c r="P18" s="82">
        <v>354.72277777777776</v>
      </c>
      <c r="Q18" s="82">
        <v>721.40856544901055</v>
      </c>
      <c r="R18">
        <f>(146516-2107750)</f>
        <v>-1961234</v>
      </c>
      <c r="S18">
        <f>(179-3152)</f>
        <v>-2973</v>
      </c>
      <c r="T18">
        <f>+(U18+(835538-6450)+(419141-266)+(19983-9874))/3600</f>
        <v>349.46444444416665</v>
      </c>
      <c r="U18">
        <f>2496-2496-0.000001</f>
        <v>-9.9999999999999995E-7</v>
      </c>
    </row>
    <row r="19" spans="1:21" x14ac:dyDescent="0.25">
      <c r="A19" s="16" t="s">
        <v>17</v>
      </c>
      <c r="B19" s="16">
        <v>1</v>
      </c>
      <c r="C19" s="55">
        <v>9</v>
      </c>
      <c r="D19" s="31">
        <v>37316</v>
      </c>
      <c r="E19" s="17">
        <f t="shared" si="0"/>
        <v>520242</v>
      </c>
      <c r="F19" s="17">
        <f t="shared" si="1"/>
        <v>482</v>
      </c>
      <c r="G19" s="17">
        <f t="shared" si="2"/>
        <v>519760</v>
      </c>
      <c r="H19" s="18">
        <f t="shared" si="3"/>
        <v>0.46573476702508959</v>
      </c>
      <c r="I19" s="58">
        <f t="shared" si="4"/>
        <v>0.96203954840497752</v>
      </c>
      <c r="J19" s="115">
        <f t="shared" si="5"/>
        <v>0.95666247625914558</v>
      </c>
      <c r="K19" s="17">
        <f t="shared" si="6"/>
        <v>715.75742401330331</v>
      </c>
      <c r="M19" s="83">
        <v>1</v>
      </c>
      <c r="N19" s="82">
        <v>17525236</v>
      </c>
      <c r="O19" s="82">
        <v>496</v>
      </c>
      <c r="P19" s="82">
        <v>634.43805555555559</v>
      </c>
      <c r="Q19" s="82">
        <v>661.22773211567733</v>
      </c>
      <c r="R19">
        <f>(1874527-18879521)</f>
        <v>-17004994</v>
      </c>
      <c r="S19">
        <f>(2159-2173)</f>
        <v>-14</v>
      </c>
      <c r="T19">
        <f>U19+((348280-347932)+0+(40573-38732))/3600</f>
        <v>51.040833333333339</v>
      </c>
      <c r="U19">
        <f>(388814-207256)/3600</f>
        <v>50.43277777777778</v>
      </c>
    </row>
    <row r="20" spans="1:21" x14ac:dyDescent="0.25">
      <c r="A20" s="16" t="s">
        <v>17</v>
      </c>
      <c r="B20" s="16">
        <v>1</v>
      </c>
      <c r="C20" s="55">
        <v>10</v>
      </c>
      <c r="D20" s="31">
        <v>37316</v>
      </c>
      <c r="E20" s="17">
        <f>N20+R20</f>
        <v>531940</v>
      </c>
      <c r="F20" s="17">
        <f t="shared" si="1"/>
        <v>438</v>
      </c>
      <c r="G20" s="17">
        <f t="shared" si="2"/>
        <v>531502</v>
      </c>
      <c r="H20" s="18">
        <f t="shared" si="3"/>
        <v>0.4762562724014337</v>
      </c>
      <c r="I20" s="58">
        <f t="shared" si="4"/>
        <v>0.95822485385333378</v>
      </c>
      <c r="J20" s="115">
        <f t="shared" si="5"/>
        <v>0.95292761488463595</v>
      </c>
      <c r="K20" s="17">
        <f t="shared" si="6"/>
        <v>712.91929126688035</v>
      </c>
      <c r="M20" s="83">
        <v>1</v>
      </c>
      <c r="N20" s="57">
        <v>531940</v>
      </c>
      <c r="O20" s="57">
        <v>438</v>
      </c>
      <c r="P20" s="82">
        <v>691.50555555555559</v>
      </c>
      <c r="Q20" s="82">
        <v>719.5655098934551</v>
      </c>
    </row>
    <row r="21" spans="1:21" x14ac:dyDescent="0.25">
      <c r="A21" s="19"/>
      <c r="B21" s="20"/>
      <c r="C21" s="21" t="s">
        <v>24</v>
      </c>
      <c r="D21" s="31">
        <v>37316</v>
      </c>
      <c r="E21" s="25">
        <f>SUM(E11:E20)</f>
        <v>4730439</v>
      </c>
      <c r="F21" s="25">
        <f>SUM(F11:F20)</f>
        <v>6828</v>
      </c>
      <c r="G21" s="25">
        <f>SUM(G11:G20)</f>
        <v>4723611</v>
      </c>
      <c r="H21" s="18">
        <f>AVERAGE(H11:H20)</f>
        <v>0.42326263440860218</v>
      </c>
      <c r="I21" s="27">
        <f>AVERAGE(I11:I20)</f>
        <v>0.93290563161099394</v>
      </c>
      <c r="J21" s="119">
        <f>AVERAGE(J11:J20)</f>
        <v>0.92775182401716771</v>
      </c>
      <c r="K21" s="25">
        <f>SUM(K11:K20)</f>
        <v>6940.8178991857958</v>
      </c>
    </row>
    <row r="22" spans="1:21" ht="15.6" x14ac:dyDescent="0.25">
      <c r="A22" s="19"/>
      <c r="B22" s="20"/>
      <c r="C22" s="21" t="s">
        <v>21</v>
      </c>
      <c r="D22" s="31">
        <v>37316</v>
      </c>
      <c r="E22" s="17">
        <f>E21*(0.02)</f>
        <v>94608.78</v>
      </c>
      <c r="F22" s="17">
        <f>F21*(0.02)</f>
        <v>136.56</v>
      </c>
      <c r="G22" s="17">
        <f>G21*(0.02)</f>
        <v>94472.22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21" x14ac:dyDescent="0.25">
      <c r="A23" s="19"/>
      <c r="B23" s="20"/>
      <c r="C23" s="21" t="s">
        <v>23</v>
      </c>
      <c r="D23" s="31">
        <v>37316</v>
      </c>
      <c r="E23" s="17">
        <f>E21-E22</f>
        <v>4635830.22</v>
      </c>
      <c r="F23" s="17">
        <f>F21-F22</f>
        <v>6691.44</v>
      </c>
      <c r="G23" s="17">
        <f>G21-G22</f>
        <v>4629138.78</v>
      </c>
      <c r="H23" s="32" t="s">
        <v>25</v>
      </c>
      <c r="I23" s="32" t="s">
        <v>25</v>
      </c>
      <c r="J23" s="32" t="s">
        <v>25</v>
      </c>
      <c r="K23" s="25">
        <f>K21</f>
        <v>6940.8178991857958</v>
      </c>
    </row>
    <row r="24" spans="1:21" x14ac:dyDescent="0.25">
      <c r="A24" s="19"/>
      <c r="B24" s="20"/>
      <c r="C24" s="21" t="s">
        <v>23</v>
      </c>
      <c r="D24" s="24" t="s">
        <v>9</v>
      </c>
      <c r="E24" s="17">
        <f>E23+'0202'!E24</f>
        <v>13932239.579999998</v>
      </c>
      <c r="F24" s="17">
        <f>F23+'0202'!F24</f>
        <v>19012.98</v>
      </c>
      <c r="G24" s="17">
        <f>G23+'0202'!G24</f>
        <v>13913226.600000001</v>
      </c>
      <c r="H24" s="18">
        <f>AVERAGE(H21,'0202'!H21,'0102'!H21)</f>
        <v>0.44127492575062915</v>
      </c>
      <c r="I24" s="18">
        <f>AVERAGE(I21,'0202'!I21,'0102'!I21)</f>
        <v>0.93566185195700113</v>
      </c>
      <c r="J24" s="18">
        <f>AVERAGE(J21,'0202'!J21,'0102'!J21)</f>
        <v>0.93035397050913027</v>
      </c>
      <c r="K24" s="17">
        <f>K23+'0202'!K24</f>
        <v>20072.897687078661</v>
      </c>
    </row>
    <row r="25" spans="1:21" x14ac:dyDescent="0.25">
      <c r="D25" s="30"/>
      <c r="E25" s="2"/>
      <c r="F25" s="2"/>
      <c r="G25" s="2"/>
      <c r="H25" s="2"/>
      <c r="I25" s="23"/>
      <c r="J25" s="23"/>
      <c r="K25" s="2"/>
    </row>
    <row r="26" spans="1:21" x14ac:dyDescent="0.25">
      <c r="A26" t="s">
        <v>8</v>
      </c>
      <c r="D26" s="30"/>
      <c r="E26" s="2"/>
      <c r="F26" s="2"/>
      <c r="G26" s="2"/>
      <c r="H26" s="2"/>
      <c r="I26" s="23"/>
      <c r="J26" s="23"/>
    </row>
    <row r="27" spans="1:21" x14ac:dyDescent="0.25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21" x14ac:dyDescent="0.25">
      <c r="A28" t="s">
        <v>107</v>
      </c>
      <c r="D28" s="30"/>
      <c r="E28" s="2"/>
      <c r="F28" s="2"/>
      <c r="G28" s="2"/>
      <c r="H28" s="2"/>
      <c r="I28" s="23"/>
      <c r="J28" s="23"/>
      <c r="K28" s="2"/>
    </row>
    <row r="29" spans="1:21" x14ac:dyDescent="0.25">
      <c r="A29" t="s">
        <v>22</v>
      </c>
      <c r="D29" s="28"/>
      <c r="G29" s="2"/>
      <c r="H29" s="2"/>
      <c r="I29" s="23"/>
      <c r="J29" s="23"/>
      <c r="K29" s="2"/>
    </row>
    <row r="30" spans="1:21" x14ac:dyDescent="0.25">
      <c r="A30" t="s">
        <v>121</v>
      </c>
      <c r="D30" s="28"/>
      <c r="G30" s="2"/>
      <c r="H30" s="2"/>
      <c r="I30" s="23"/>
      <c r="J30" s="23"/>
      <c r="K30" s="2"/>
    </row>
    <row r="31" spans="1:21" x14ac:dyDescent="0.25">
      <c r="A31" t="s">
        <v>142</v>
      </c>
      <c r="D31" s="28"/>
      <c r="G31" s="2"/>
      <c r="H31" s="2"/>
      <c r="I31" s="23"/>
      <c r="J31" s="23"/>
      <c r="K31" s="2"/>
    </row>
    <row r="32" spans="1:21" x14ac:dyDescent="0.25">
      <c r="D32" s="28"/>
      <c r="G32" s="2"/>
      <c r="H32" s="19" t="s">
        <v>157</v>
      </c>
      <c r="I32" s="22"/>
      <c r="J32" s="23"/>
      <c r="K32" s="2"/>
    </row>
    <row r="33" spans="1:11" x14ac:dyDescent="0.25">
      <c r="D33" s="28"/>
      <c r="G33" s="2"/>
      <c r="H33" s="16">
        <v>1</v>
      </c>
      <c r="I33" s="131">
        <f>MAX(0,6/6-1.5)</f>
        <v>0</v>
      </c>
      <c r="J33" s="23"/>
      <c r="K33" s="2"/>
    </row>
    <row r="34" spans="1:11" x14ac:dyDescent="0.25">
      <c r="D34" s="28"/>
      <c r="G34" s="2"/>
      <c r="H34" s="16">
        <v>2</v>
      </c>
      <c r="I34" s="131">
        <f>MAX(0,80/6-1.5)</f>
        <v>11.833333333333334</v>
      </c>
      <c r="J34" s="23"/>
      <c r="K34" s="2"/>
    </row>
    <row r="35" spans="1:11" x14ac:dyDescent="0.25">
      <c r="D35" s="28"/>
      <c r="G35" s="2"/>
      <c r="H35" s="16">
        <v>3</v>
      </c>
      <c r="I35" s="131">
        <f>MAX(0,12/6-1.5)</f>
        <v>0.5</v>
      </c>
      <c r="J35" s="23"/>
      <c r="K35" s="2"/>
    </row>
    <row r="36" spans="1:11" x14ac:dyDescent="0.25">
      <c r="D36" s="28"/>
      <c r="G36" s="2"/>
      <c r="H36" s="16">
        <v>4</v>
      </c>
      <c r="I36" s="131">
        <f>MAX(0,13/6-1.5)</f>
        <v>0.66666666666666652</v>
      </c>
      <c r="J36" s="23"/>
      <c r="K36" s="2"/>
    </row>
    <row r="37" spans="1:11" x14ac:dyDescent="0.25">
      <c r="D37" s="28"/>
      <c r="G37" s="2"/>
      <c r="H37" s="16">
        <v>5</v>
      </c>
      <c r="I37" s="131">
        <f>MAX(0,9/6-1.5)</f>
        <v>0</v>
      </c>
      <c r="J37" s="23"/>
      <c r="K37" s="2"/>
    </row>
    <row r="38" spans="1:11" x14ac:dyDescent="0.25">
      <c r="D38" s="28"/>
      <c r="G38" s="2"/>
      <c r="H38" s="16">
        <v>6</v>
      </c>
      <c r="I38" s="131">
        <f>MAX(0,7/6-1.5)</f>
        <v>0</v>
      </c>
      <c r="J38" s="23"/>
      <c r="K38" s="2"/>
    </row>
    <row r="39" spans="1:11" x14ac:dyDescent="0.25">
      <c r="D39" s="28"/>
      <c r="G39" s="2"/>
      <c r="H39" s="55">
        <v>7</v>
      </c>
      <c r="I39" s="131">
        <f>MAX(0,47/6-1.5)</f>
        <v>6.333333333333333</v>
      </c>
      <c r="J39" s="23"/>
      <c r="K39" s="2"/>
    </row>
    <row r="40" spans="1:11" x14ac:dyDescent="0.25">
      <c r="D40" s="28"/>
      <c r="G40" s="2"/>
      <c r="H40" s="16">
        <v>8</v>
      </c>
      <c r="I40" s="131">
        <f>MAX(0,19/6-1.5)</f>
        <v>1.6666666666666665</v>
      </c>
      <c r="J40" s="23"/>
      <c r="K40" s="2"/>
    </row>
    <row r="41" spans="1:11" x14ac:dyDescent="0.25">
      <c r="D41" s="28"/>
      <c r="G41" s="2"/>
      <c r="H41" s="16">
        <v>9</v>
      </c>
      <c r="I41" s="131">
        <f>MAX(0,14/6-1.5)</f>
        <v>0.83333333333333348</v>
      </c>
      <c r="J41" s="23"/>
      <c r="K41" s="2"/>
    </row>
    <row r="42" spans="1:11" x14ac:dyDescent="0.25">
      <c r="H42" s="16">
        <v>10</v>
      </c>
      <c r="I42" s="131">
        <f>MAX(0,21/6-1.5)</f>
        <v>2</v>
      </c>
    </row>
    <row r="47" spans="1:11" ht="15.6" x14ac:dyDescent="0.3">
      <c r="A47" s="132" t="s">
        <v>89</v>
      </c>
      <c r="B47" s="132"/>
      <c r="C47" s="132"/>
      <c r="D47" s="132"/>
      <c r="E47" s="132"/>
      <c r="F47" s="132"/>
      <c r="G47" s="132"/>
      <c r="H47" s="132"/>
    </row>
    <row r="48" spans="1:11" ht="15.6" x14ac:dyDescent="0.3">
      <c r="A48" s="132" t="s">
        <v>108</v>
      </c>
      <c r="B48" s="132"/>
      <c r="C48" s="132"/>
      <c r="D48" s="132"/>
      <c r="E48" s="132"/>
      <c r="F48" s="132"/>
      <c r="G48" s="132"/>
      <c r="H48" s="132"/>
    </row>
    <row r="49" spans="1:8" ht="15.6" x14ac:dyDescent="0.3">
      <c r="A49" s="59"/>
      <c r="B49" s="59"/>
      <c r="C49" s="60"/>
      <c r="D49" s="59"/>
      <c r="E49" s="133"/>
      <c r="F49" s="133"/>
      <c r="G49" s="133"/>
      <c r="H49" s="133"/>
    </row>
    <row r="50" spans="1:8" ht="13.8" thickBot="1" x14ac:dyDescent="0.3">
      <c r="A50" s="61" t="s">
        <v>91</v>
      </c>
      <c r="B50" s="62">
        <v>37317</v>
      </c>
      <c r="C50" s="63"/>
      <c r="D50" s="64"/>
      <c r="E50" s="134" t="s">
        <v>92</v>
      </c>
      <c r="F50" s="134"/>
      <c r="G50" s="134"/>
      <c r="H50" s="134"/>
    </row>
    <row r="51" spans="1:8" x14ac:dyDescent="0.25">
      <c r="A51" s="65" t="s">
        <v>93</v>
      </c>
      <c r="B51" s="66" t="s">
        <v>94</v>
      </c>
      <c r="C51" s="67" t="s">
        <v>95</v>
      </c>
      <c r="D51" s="66" t="s">
        <v>96</v>
      </c>
      <c r="E51" s="67" t="s">
        <v>97</v>
      </c>
      <c r="F51" s="68" t="s">
        <v>98</v>
      </c>
      <c r="G51" s="65" t="s">
        <v>99</v>
      </c>
      <c r="H51" s="65" t="s">
        <v>100</v>
      </c>
    </row>
    <row r="52" spans="1:8" x14ac:dyDescent="0.25">
      <c r="A52" s="69"/>
      <c r="B52" s="74">
        <v>37332.791666666664</v>
      </c>
      <c r="C52" s="70" t="s">
        <v>122</v>
      </c>
      <c r="D52" s="74">
        <v>37333.402777777781</v>
      </c>
      <c r="E52" s="70" t="s">
        <v>123</v>
      </c>
      <c r="F52" s="71">
        <f>(D52-B52)*24</f>
        <v>14.666666666802485</v>
      </c>
      <c r="G52" s="69" t="s">
        <v>103</v>
      </c>
      <c r="H52" s="72" t="s">
        <v>124</v>
      </c>
    </row>
    <row r="53" spans="1:8" x14ac:dyDescent="0.25">
      <c r="A53" s="69"/>
      <c r="B53" s="75"/>
      <c r="C53" s="76"/>
      <c r="D53" s="75"/>
      <c r="E53" s="76"/>
      <c r="F53" s="71"/>
      <c r="G53" s="69"/>
      <c r="H53" s="73"/>
    </row>
    <row r="55" spans="1:8" x14ac:dyDescent="0.25">
      <c r="A55" s="19" t="s">
        <v>125</v>
      </c>
      <c r="B55" s="22"/>
      <c r="C55" s="18">
        <f>1-(F52/(24*31))</f>
        <v>0.98028673835107194</v>
      </c>
    </row>
  </sheetData>
  <mergeCells count="4">
    <mergeCell ref="A47:H47"/>
    <mergeCell ref="A48:H48"/>
    <mergeCell ref="E49:H49"/>
    <mergeCell ref="E50:H50"/>
  </mergeCells>
  <phoneticPr fontId="0" type="noConversion"/>
  <pageMargins left="0.75" right="0.75" top="1" bottom="1" header="0.5" footer="0.5"/>
  <pageSetup scale="91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D10" workbookViewId="0">
      <selection activeCell="J11" sqref="J11"/>
    </sheetView>
  </sheetViews>
  <sheetFormatPr defaultRowHeight="13.2" x14ac:dyDescent="0.25"/>
  <cols>
    <col min="1" max="1" width="9.109375" style="103" customWidth="1"/>
    <col min="2" max="3" width="9.33203125" style="103" bestFit="1" customWidth="1"/>
    <col min="4" max="4" width="12.6640625" style="103" customWidth="1"/>
    <col min="5" max="11" width="15.6640625" style="103" customWidth="1"/>
    <col min="13" max="17" width="9.33203125" bestFit="1" customWidth="1"/>
    <col min="18" max="18" width="9.5546875" bestFit="1" customWidth="1"/>
    <col min="19" max="20" width="9.33203125" bestFit="1" customWidth="1"/>
    <col min="21" max="21" width="9.5546875" bestFit="1" customWidth="1"/>
  </cols>
  <sheetData>
    <row r="1" spans="1:21" ht="30" x14ac:dyDescent="0.5">
      <c r="A1" s="102" t="s">
        <v>143</v>
      </c>
      <c r="D1" s="28"/>
      <c r="K1" s="104"/>
    </row>
    <row r="2" spans="1:21" x14ac:dyDescent="0.25">
      <c r="D2" s="28"/>
      <c r="K2" s="104"/>
    </row>
    <row r="3" spans="1:21" x14ac:dyDescent="0.25">
      <c r="A3" s="103" t="s">
        <v>12</v>
      </c>
      <c r="D3" s="28"/>
      <c r="K3" s="104"/>
    </row>
    <row r="4" spans="1:21" x14ac:dyDescent="0.25">
      <c r="A4" s="103" t="s">
        <v>13</v>
      </c>
      <c r="D4" s="28"/>
      <c r="K4" s="104"/>
    </row>
    <row r="5" spans="1:21" x14ac:dyDescent="0.25">
      <c r="A5" s="103" t="s">
        <v>109</v>
      </c>
      <c r="D5" s="28"/>
      <c r="K5" s="104"/>
    </row>
    <row r="6" spans="1:21" x14ac:dyDescent="0.25">
      <c r="A6" s="103" t="s">
        <v>145</v>
      </c>
      <c r="D6" s="28"/>
      <c r="K6" s="104"/>
    </row>
    <row r="7" spans="1:21" x14ac:dyDescent="0.25">
      <c r="D7" s="28"/>
      <c r="K7" s="104"/>
    </row>
    <row r="8" spans="1:21" ht="17.399999999999999" x14ac:dyDescent="0.3">
      <c r="A8" s="105" t="s">
        <v>26</v>
      </c>
      <c r="D8" s="28"/>
      <c r="K8" s="104"/>
    </row>
    <row r="9" spans="1:21" x14ac:dyDescent="0.25">
      <c r="A9" s="106"/>
      <c r="B9" s="106"/>
      <c r="C9" s="106"/>
      <c r="D9" s="29"/>
      <c r="E9" s="107" t="s">
        <v>7</v>
      </c>
      <c r="F9" s="108"/>
      <c r="G9" s="109"/>
      <c r="H9" s="109"/>
      <c r="I9" s="110"/>
      <c r="J9" s="110"/>
      <c r="K9" s="111"/>
      <c r="N9" t="s">
        <v>114</v>
      </c>
      <c r="R9" t="s">
        <v>115</v>
      </c>
    </row>
    <row r="10" spans="1:21" ht="26.4" x14ac:dyDescent="0.25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</row>
    <row r="11" spans="1:21" x14ac:dyDescent="0.25">
      <c r="A11" s="112" t="s">
        <v>17</v>
      </c>
      <c r="B11" s="112">
        <v>1</v>
      </c>
      <c r="C11" s="55">
        <v>1</v>
      </c>
      <c r="D11" s="31">
        <v>37347</v>
      </c>
      <c r="E11" s="113">
        <f>N11+R11</f>
        <v>372027</v>
      </c>
      <c r="F11" s="113">
        <f>O11+S11</f>
        <v>342</v>
      </c>
      <c r="G11" s="113">
        <f>E11-F11</f>
        <v>371685</v>
      </c>
      <c r="H11" s="114">
        <f>G11/(1500*30*24)</f>
        <v>0.34415277777777775</v>
      </c>
      <c r="I11" s="115">
        <f>(P11+T11-I33)/(Q11+U11)</f>
        <v>0.98198201563817122</v>
      </c>
      <c r="J11" s="115">
        <f>(P11+T11-I33)/(Q11+U11+4)</f>
        <v>0.97652692253270956</v>
      </c>
      <c r="K11" s="113">
        <f>I11*30*24</f>
        <v>707.02705125948319</v>
      </c>
      <c r="M11" s="82">
        <v>1</v>
      </c>
      <c r="N11" s="82">
        <v>372027</v>
      </c>
      <c r="O11" s="82">
        <v>342</v>
      </c>
      <c r="P11" s="82">
        <v>704.64611111111117</v>
      </c>
      <c r="Q11" s="82">
        <v>716.04785007610349</v>
      </c>
    </row>
    <row r="12" spans="1:21" x14ac:dyDescent="0.25">
      <c r="A12" s="112" t="s">
        <v>17</v>
      </c>
      <c r="B12" s="112">
        <v>1</v>
      </c>
      <c r="C12" s="55">
        <v>2</v>
      </c>
      <c r="D12" s="31">
        <v>37347</v>
      </c>
      <c r="E12" s="113">
        <f t="shared" ref="E12:F20" si="0">N12+R12</f>
        <v>352917</v>
      </c>
      <c r="F12" s="113">
        <f t="shared" si="0"/>
        <v>425</v>
      </c>
      <c r="G12" s="113">
        <f t="shared" ref="G12:G20" si="1">E12-F12</f>
        <v>352492</v>
      </c>
      <c r="H12" s="114">
        <f t="shared" ref="H12:H20" si="2">G12/(1500*30*24)</f>
        <v>0.32638148148148149</v>
      </c>
      <c r="I12" s="115">
        <f t="shared" ref="I12:I20" si="3">(P12+T12-I34)/(Q12+U12)</f>
        <v>0.98364497901686998</v>
      </c>
      <c r="J12" s="115">
        <f t="shared" ref="J12:J20" si="4">(P12+T12-I34)/(Q12+U12+4)</f>
        <v>0.97817687400126518</v>
      </c>
      <c r="K12" s="113">
        <f t="shared" ref="K12:K20" si="5">I12*30*24</f>
        <v>708.22438489214642</v>
      </c>
      <c r="M12" s="82">
        <v>1</v>
      </c>
      <c r="N12" s="82">
        <v>352917</v>
      </c>
      <c r="O12" s="82">
        <v>425</v>
      </c>
      <c r="P12" s="82">
        <v>704.84805555555556</v>
      </c>
      <c r="Q12" s="82">
        <v>715.55090563165902</v>
      </c>
    </row>
    <row r="13" spans="1:21" x14ac:dyDescent="0.25">
      <c r="A13" s="112" t="s">
        <v>17</v>
      </c>
      <c r="B13" s="112">
        <v>1</v>
      </c>
      <c r="C13" s="55">
        <v>3</v>
      </c>
      <c r="D13" s="31">
        <v>37347</v>
      </c>
      <c r="E13" s="113">
        <f t="shared" si="0"/>
        <v>340084</v>
      </c>
      <c r="F13" s="113">
        <f t="shared" si="0"/>
        <v>382</v>
      </c>
      <c r="G13" s="113">
        <f t="shared" si="1"/>
        <v>339702</v>
      </c>
      <c r="H13" s="114">
        <f t="shared" si="2"/>
        <v>0.31453888888888887</v>
      </c>
      <c r="I13" s="115">
        <f t="shared" si="3"/>
        <v>0.95960846892889273</v>
      </c>
      <c r="J13" s="115">
        <f t="shared" si="4"/>
        <v>0.95427583618880585</v>
      </c>
      <c r="K13" s="113">
        <f t="shared" si="5"/>
        <v>690.9180976288028</v>
      </c>
      <c r="M13" s="82">
        <v>1</v>
      </c>
      <c r="N13" s="82">
        <v>340084</v>
      </c>
      <c r="O13" s="82">
        <v>382</v>
      </c>
      <c r="P13" s="82">
        <v>688.22194444444449</v>
      </c>
      <c r="Q13" s="82">
        <v>715.80090563165902</v>
      </c>
    </row>
    <row r="14" spans="1:21" x14ac:dyDescent="0.25">
      <c r="A14" s="112" t="s">
        <v>17</v>
      </c>
      <c r="B14" s="112">
        <v>1</v>
      </c>
      <c r="C14" s="55">
        <v>4</v>
      </c>
      <c r="D14" s="31">
        <v>37347</v>
      </c>
      <c r="E14" s="113">
        <f t="shared" si="0"/>
        <v>386590</v>
      </c>
      <c r="F14" s="113">
        <f t="shared" si="0"/>
        <v>483</v>
      </c>
      <c r="G14" s="113">
        <f t="shared" si="1"/>
        <v>386107</v>
      </c>
      <c r="H14" s="114">
        <f t="shared" si="2"/>
        <v>0.35750648148148151</v>
      </c>
      <c r="I14" s="115">
        <f t="shared" si="3"/>
        <v>0.99159258747308054</v>
      </c>
      <c r="J14" s="115">
        <f t="shared" si="4"/>
        <v>0.98608407184906366</v>
      </c>
      <c r="K14" s="113">
        <f t="shared" si="5"/>
        <v>713.94666298061793</v>
      </c>
      <c r="M14" s="82">
        <v>0.96666666666666667</v>
      </c>
      <c r="N14" s="82">
        <v>386590</v>
      </c>
      <c r="O14" s="82">
        <v>483</v>
      </c>
      <c r="P14" s="82">
        <v>711.69</v>
      </c>
      <c r="Q14" s="82">
        <v>716.04340563165908</v>
      </c>
    </row>
    <row r="15" spans="1:21" x14ac:dyDescent="0.25">
      <c r="A15" s="112" t="s">
        <v>17</v>
      </c>
      <c r="B15" s="112">
        <v>1</v>
      </c>
      <c r="C15" s="55">
        <v>5</v>
      </c>
      <c r="D15" s="31">
        <v>37347</v>
      </c>
      <c r="E15" s="113">
        <f t="shared" si="0"/>
        <v>401449</v>
      </c>
      <c r="F15" s="113">
        <f t="shared" si="0"/>
        <v>334</v>
      </c>
      <c r="G15" s="113">
        <f t="shared" si="1"/>
        <v>401115</v>
      </c>
      <c r="H15" s="114">
        <f t="shared" si="2"/>
        <v>0.3714027777777778</v>
      </c>
      <c r="I15" s="115">
        <f t="shared" si="3"/>
        <v>0.9900309928451787</v>
      </c>
      <c r="J15" s="115">
        <f t="shared" si="4"/>
        <v>0.98452637844796353</v>
      </c>
      <c r="K15" s="113">
        <f t="shared" si="5"/>
        <v>712.82231484852866</v>
      </c>
      <c r="M15" s="82">
        <v>1</v>
      </c>
      <c r="N15" s="82">
        <v>401449</v>
      </c>
      <c r="O15" s="82">
        <v>334</v>
      </c>
      <c r="P15" s="82">
        <v>708.28694444444443</v>
      </c>
      <c r="Q15" s="82">
        <v>715.41896118721456</v>
      </c>
    </row>
    <row r="16" spans="1:21" x14ac:dyDescent="0.25">
      <c r="A16" s="112" t="s">
        <v>17</v>
      </c>
      <c r="B16" s="112">
        <v>1</v>
      </c>
      <c r="C16" s="55">
        <v>6</v>
      </c>
      <c r="D16" s="31">
        <v>37347</v>
      </c>
      <c r="E16" s="113">
        <f t="shared" si="0"/>
        <v>381741</v>
      </c>
      <c r="F16" s="113">
        <f t="shared" si="0"/>
        <v>425</v>
      </c>
      <c r="G16" s="113">
        <f t="shared" si="1"/>
        <v>381316</v>
      </c>
      <c r="H16" s="114">
        <f t="shared" si="2"/>
        <v>0.35307037037037037</v>
      </c>
      <c r="I16" s="115">
        <f t="shared" si="3"/>
        <v>0.98956461004314711</v>
      </c>
      <c r="J16" s="115">
        <f t="shared" si="4"/>
        <v>0.98406662216995655</v>
      </c>
      <c r="K16" s="113">
        <f t="shared" si="5"/>
        <v>712.48651923106593</v>
      </c>
      <c r="M16" s="82">
        <v>0.96666666666666667</v>
      </c>
      <c r="N16" s="82">
        <v>381741</v>
      </c>
      <c r="O16" s="82">
        <v>425</v>
      </c>
      <c r="P16" s="82">
        <v>708.80888888888887</v>
      </c>
      <c r="Q16" s="82">
        <v>715.94673896499239</v>
      </c>
    </row>
    <row r="17" spans="1:17" ht="15.6" x14ac:dyDescent="0.25">
      <c r="A17" s="112" t="s">
        <v>17</v>
      </c>
      <c r="B17" s="112">
        <v>1</v>
      </c>
      <c r="C17" s="55" t="s">
        <v>84</v>
      </c>
      <c r="D17" s="31">
        <v>37347</v>
      </c>
      <c r="E17" s="113">
        <f t="shared" si="0"/>
        <v>235673</v>
      </c>
      <c r="F17" s="113">
        <f t="shared" si="0"/>
        <v>2204</v>
      </c>
      <c r="G17" s="113">
        <f t="shared" si="1"/>
        <v>233469</v>
      </c>
      <c r="H17" s="114">
        <f t="shared" si="2"/>
        <v>0.21617500000000001</v>
      </c>
      <c r="I17" s="115">
        <f t="shared" si="3"/>
        <v>0.96792965805083031</v>
      </c>
      <c r="J17" s="115">
        <f t="shared" si="4"/>
        <v>0.96250810013224763</v>
      </c>
      <c r="K17" s="113">
        <f t="shared" si="5"/>
        <v>696.90935379659788</v>
      </c>
      <c r="M17" s="82">
        <v>1</v>
      </c>
      <c r="N17" s="82">
        <v>235673</v>
      </c>
      <c r="O17" s="82">
        <v>2204</v>
      </c>
      <c r="P17" s="82">
        <v>692.85972222222222</v>
      </c>
      <c r="Q17" s="82">
        <v>710.1339611872146</v>
      </c>
    </row>
    <row r="18" spans="1:17" x14ac:dyDescent="0.25">
      <c r="A18" s="112" t="s">
        <v>17</v>
      </c>
      <c r="B18" s="112">
        <v>1</v>
      </c>
      <c r="C18" s="55">
        <v>8</v>
      </c>
      <c r="D18" s="31">
        <v>37347</v>
      </c>
      <c r="E18" s="113">
        <f t="shared" si="0"/>
        <v>380148</v>
      </c>
      <c r="F18" s="113">
        <f t="shared" si="0"/>
        <v>771</v>
      </c>
      <c r="G18" s="113">
        <f t="shared" si="1"/>
        <v>379377</v>
      </c>
      <c r="H18" s="114">
        <f t="shared" si="2"/>
        <v>0.351275</v>
      </c>
      <c r="I18" s="115">
        <f t="shared" si="3"/>
        <v>0.91391493069556118</v>
      </c>
      <c r="J18" s="115">
        <f t="shared" si="4"/>
        <v>0.90883788458811243</v>
      </c>
      <c r="K18" s="113">
        <f t="shared" si="5"/>
        <v>658.01875010080403</v>
      </c>
      <c r="M18" s="82">
        <v>1</v>
      </c>
      <c r="N18" s="82">
        <v>380148</v>
      </c>
      <c r="O18" s="82">
        <v>771</v>
      </c>
      <c r="P18" s="82">
        <v>654.39666666666665</v>
      </c>
      <c r="Q18" s="82">
        <v>716.03673896499242</v>
      </c>
    </row>
    <row r="19" spans="1:17" x14ac:dyDescent="0.25">
      <c r="A19" s="112" t="s">
        <v>17</v>
      </c>
      <c r="B19" s="112">
        <v>1</v>
      </c>
      <c r="C19" s="55">
        <v>9</v>
      </c>
      <c r="D19" s="31">
        <v>37347</v>
      </c>
      <c r="E19" s="113">
        <f t="shared" si="0"/>
        <v>328009</v>
      </c>
      <c r="F19" s="113">
        <f t="shared" si="0"/>
        <v>821</v>
      </c>
      <c r="G19" s="113">
        <f t="shared" si="1"/>
        <v>327188</v>
      </c>
      <c r="H19" s="114">
        <f t="shared" si="2"/>
        <v>0.30295185185185186</v>
      </c>
      <c r="I19" s="115">
        <f t="shared" si="3"/>
        <v>0.78593757765743166</v>
      </c>
      <c r="J19" s="115">
        <f t="shared" si="4"/>
        <v>0.78157036017729631</v>
      </c>
      <c r="K19" s="113">
        <f t="shared" si="5"/>
        <v>565.87505591335082</v>
      </c>
      <c r="M19" s="82">
        <v>1</v>
      </c>
      <c r="N19" s="82">
        <v>328009</v>
      </c>
      <c r="O19" s="82">
        <v>821</v>
      </c>
      <c r="P19" s="82">
        <v>562.61500000000001</v>
      </c>
      <c r="Q19" s="82">
        <v>715.85201674277016</v>
      </c>
    </row>
    <row r="20" spans="1:17" x14ac:dyDescent="0.25">
      <c r="A20" s="112" t="s">
        <v>17</v>
      </c>
      <c r="B20" s="112">
        <v>1</v>
      </c>
      <c r="C20" s="55">
        <v>10</v>
      </c>
      <c r="D20" s="31">
        <v>37347</v>
      </c>
      <c r="E20" s="113">
        <f>N20+R20</f>
        <v>424012</v>
      </c>
      <c r="F20" s="113">
        <f t="shared" si="0"/>
        <v>317</v>
      </c>
      <c r="G20" s="113">
        <f t="shared" si="1"/>
        <v>423695</v>
      </c>
      <c r="H20" s="114">
        <f t="shared" si="2"/>
        <v>0.39231018518518518</v>
      </c>
      <c r="I20" s="115">
        <f t="shared" si="3"/>
        <v>0.9927772574853424</v>
      </c>
      <c r="J20" s="115">
        <f t="shared" si="4"/>
        <v>0.98726209905663243</v>
      </c>
      <c r="K20" s="113">
        <f t="shared" si="5"/>
        <v>714.79962538944653</v>
      </c>
      <c r="M20" s="82">
        <v>1</v>
      </c>
      <c r="N20" s="82">
        <v>424012</v>
      </c>
      <c r="O20" s="82">
        <v>317</v>
      </c>
      <c r="P20" s="82">
        <v>711.6969444444444</v>
      </c>
      <c r="Q20" s="82">
        <v>716.03535007610344</v>
      </c>
    </row>
    <row r="21" spans="1:17" x14ac:dyDescent="0.25">
      <c r="A21" s="116"/>
      <c r="B21" s="117"/>
      <c r="C21" s="21" t="s">
        <v>24</v>
      </c>
      <c r="D21" s="31">
        <v>37347</v>
      </c>
      <c r="E21" s="118">
        <f>SUM(E11:E20)</f>
        <v>3602650</v>
      </c>
      <c r="F21" s="118">
        <f>SUM(F11:F20)</f>
        <v>6504</v>
      </c>
      <c r="G21" s="118">
        <f>SUM(G11:G20)</f>
        <v>3596146</v>
      </c>
      <c r="H21" s="114">
        <f>AVERAGE(H11:H20)</f>
        <v>0.33297648148148146</v>
      </c>
      <c r="I21" s="119">
        <f>AVERAGE(I11:I20)</f>
        <v>0.95569830778345055</v>
      </c>
      <c r="J21" s="119">
        <f>AVERAGE(J11:J20)</f>
        <v>0.9503835149144052</v>
      </c>
      <c r="K21" s="118">
        <f>SUM(K11:K20)</f>
        <v>6881.0278160408434</v>
      </c>
    </row>
    <row r="22" spans="1:17" ht="15.6" x14ac:dyDescent="0.25">
      <c r="A22" s="116"/>
      <c r="B22" s="117"/>
      <c r="C22" s="21" t="s">
        <v>21</v>
      </c>
      <c r="D22" s="31">
        <v>37347</v>
      </c>
      <c r="E22" s="113">
        <f>E21*(0.02)</f>
        <v>72053</v>
      </c>
      <c r="F22" s="113">
        <f>F21*(0.02)</f>
        <v>130.08000000000001</v>
      </c>
      <c r="G22" s="113">
        <f>G21*(0.02)</f>
        <v>71922.92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17" x14ac:dyDescent="0.25">
      <c r="A23" s="116"/>
      <c r="B23" s="117"/>
      <c r="C23" s="21" t="s">
        <v>23</v>
      </c>
      <c r="D23" s="31">
        <v>37347</v>
      </c>
      <c r="E23" s="113">
        <f>E21-E22</f>
        <v>3530597</v>
      </c>
      <c r="F23" s="113">
        <f>F21-F22</f>
        <v>6373.92</v>
      </c>
      <c r="G23" s="113">
        <f>G21-G22</f>
        <v>3524223.08</v>
      </c>
      <c r="H23" s="32" t="s">
        <v>25</v>
      </c>
      <c r="I23" s="32" t="s">
        <v>25</v>
      </c>
      <c r="J23" s="32" t="s">
        <v>25</v>
      </c>
      <c r="K23" s="118">
        <f>K21</f>
        <v>6881.0278160408434</v>
      </c>
    </row>
    <row r="24" spans="1:17" x14ac:dyDescent="0.25">
      <c r="A24" s="116"/>
      <c r="B24" s="117"/>
      <c r="C24" s="21" t="s">
        <v>23</v>
      </c>
      <c r="D24" s="24" t="s">
        <v>9</v>
      </c>
      <c r="E24" s="113">
        <f>E23+'0302'!E24</f>
        <v>17462836.579999998</v>
      </c>
      <c r="F24" s="113">
        <f>F23+'0302'!F24</f>
        <v>25386.9</v>
      </c>
      <c r="G24" s="113">
        <f>G23+'0302'!G24</f>
        <v>17437449.68</v>
      </c>
      <c r="H24" s="114">
        <f>AVERAGE(H21,'0302'!H21,'0202'!H21,'0102'!H21)</f>
        <v>0.41420031468334223</v>
      </c>
      <c r="I24" s="114">
        <f>AVERAGE(I21,'0302'!I21,'0202'!I21,'0102'!I21)</f>
        <v>0.94067096591361365</v>
      </c>
      <c r="J24" s="114">
        <f>AVERAGE(J21,'0302'!J21,'0202'!J21,'0102'!J21)</f>
        <v>0.93536135661044906</v>
      </c>
      <c r="K24" s="113">
        <f>K23+'0302'!K24</f>
        <v>26953.925503119506</v>
      </c>
    </row>
    <row r="25" spans="1:17" x14ac:dyDescent="0.25">
      <c r="D25" s="30"/>
      <c r="E25" s="104"/>
      <c r="F25" s="104"/>
      <c r="G25" s="104"/>
      <c r="H25" s="104"/>
      <c r="I25" s="120"/>
      <c r="J25" s="120"/>
      <c r="K25" s="104"/>
    </row>
    <row r="26" spans="1:17" x14ac:dyDescent="0.25">
      <c r="A26" s="103" t="s">
        <v>8</v>
      </c>
      <c r="D26" s="30"/>
      <c r="E26" s="104"/>
      <c r="F26" s="104"/>
      <c r="G26" s="104"/>
      <c r="H26" s="104"/>
      <c r="I26" s="120"/>
      <c r="J26" s="120"/>
    </row>
    <row r="27" spans="1:17" x14ac:dyDescent="0.25">
      <c r="A27" s="103" t="s">
        <v>83</v>
      </c>
      <c r="D27" s="30"/>
      <c r="E27" s="104"/>
      <c r="F27" s="104"/>
      <c r="G27" s="104"/>
      <c r="H27" s="104"/>
      <c r="I27" s="120"/>
      <c r="J27" s="120"/>
      <c r="K27" s="104"/>
    </row>
    <row r="28" spans="1:17" x14ac:dyDescent="0.25">
      <c r="A28" s="103" t="s">
        <v>22</v>
      </c>
      <c r="D28" s="28"/>
      <c r="G28" s="104"/>
      <c r="H28" s="104"/>
      <c r="I28" s="120"/>
      <c r="J28" s="120"/>
      <c r="K28" s="104"/>
    </row>
    <row r="29" spans="1:17" x14ac:dyDescent="0.25">
      <c r="A29" s="103" t="s">
        <v>144</v>
      </c>
      <c r="D29" s="28"/>
      <c r="G29" s="104"/>
      <c r="H29" s="104"/>
      <c r="I29" s="120"/>
      <c r="J29" s="120"/>
      <c r="K29" s="104"/>
    </row>
    <row r="30" spans="1:17" x14ac:dyDescent="0.25">
      <c r="D30" s="28"/>
      <c r="G30" s="104"/>
      <c r="H30" s="104"/>
      <c r="I30" s="120"/>
      <c r="J30" s="120"/>
      <c r="K30" s="104"/>
    </row>
    <row r="31" spans="1:17" x14ac:dyDescent="0.25">
      <c r="D31" s="28"/>
      <c r="G31" s="104"/>
      <c r="H31" s="104"/>
      <c r="I31" s="120"/>
      <c r="J31" s="120"/>
      <c r="K31" s="104"/>
    </row>
    <row r="32" spans="1:17" x14ac:dyDescent="0.25">
      <c r="D32" s="28"/>
      <c r="G32" s="104"/>
      <c r="H32" s="19" t="s">
        <v>157</v>
      </c>
      <c r="I32" s="22"/>
      <c r="K32" s="104"/>
    </row>
    <row r="33" spans="1:11" x14ac:dyDescent="0.25">
      <c r="D33" s="28"/>
      <c r="G33" s="104"/>
      <c r="H33" s="16">
        <v>1</v>
      </c>
      <c r="I33" s="131">
        <f>MAX(0,18/6-1.5)</f>
        <v>1.5</v>
      </c>
      <c r="K33" s="104"/>
    </row>
    <row r="34" spans="1:11" x14ac:dyDescent="0.25">
      <c r="D34" s="28"/>
      <c r="G34" s="104"/>
      <c r="H34" s="16">
        <v>2</v>
      </c>
      <c r="I34" s="131">
        <f>MAX(0,15/6-1.5)</f>
        <v>1</v>
      </c>
      <c r="K34" s="104"/>
    </row>
    <row r="35" spans="1:11" x14ac:dyDescent="0.25">
      <c r="D35" s="28"/>
      <c r="G35" s="104"/>
      <c r="H35" s="16">
        <v>3</v>
      </c>
      <c r="I35" s="131">
        <f>MAX(0,17/6-1.5)</f>
        <v>1.3333333333333335</v>
      </c>
      <c r="K35" s="104"/>
    </row>
    <row r="36" spans="1:11" x14ac:dyDescent="0.25">
      <c r="D36" s="28"/>
      <c r="G36" s="104"/>
      <c r="H36" s="16">
        <v>4</v>
      </c>
      <c r="I36" s="131">
        <f>MAX(0,19/6-1.5)</f>
        <v>1.6666666666666665</v>
      </c>
      <c r="K36" s="104"/>
    </row>
    <row r="37" spans="1:11" x14ac:dyDescent="0.25">
      <c r="H37" s="16">
        <v>5</v>
      </c>
      <c r="I37" s="131">
        <f>MAX(0,7/6-1.5)</f>
        <v>0</v>
      </c>
    </row>
    <row r="38" spans="1:11" x14ac:dyDescent="0.25">
      <c r="H38" s="16">
        <v>6</v>
      </c>
      <c r="I38" s="131">
        <f>MAX(0,11/6-1.5)</f>
        <v>0.33333333333333326</v>
      </c>
    </row>
    <row r="39" spans="1:11" x14ac:dyDescent="0.25">
      <c r="H39" s="55">
        <v>7</v>
      </c>
      <c r="I39" s="131">
        <f>MAX(0,42/6-1.5)</f>
        <v>5.5</v>
      </c>
    </row>
    <row r="40" spans="1:11" x14ac:dyDescent="0.25">
      <c r="H40" s="16">
        <v>8</v>
      </c>
      <c r="I40" s="131">
        <f>MAX(0,9/6-1.5)</f>
        <v>0</v>
      </c>
    </row>
    <row r="41" spans="1:11" x14ac:dyDescent="0.25">
      <c r="H41" s="16">
        <v>9</v>
      </c>
      <c r="I41" s="131">
        <f>MAX(0,5/6-1.5)</f>
        <v>0</v>
      </c>
    </row>
    <row r="42" spans="1:11" ht="15.6" x14ac:dyDescent="0.3">
      <c r="A42" s="99" t="s">
        <v>89</v>
      </c>
      <c r="B42" s="99"/>
      <c r="C42" s="99"/>
      <c r="D42" s="99"/>
      <c r="E42" s="99"/>
      <c r="F42" s="99"/>
      <c r="G42" s="99"/>
      <c r="H42" s="16">
        <v>10</v>
      </c>
      <c r="I42" s="131">
        <f>MAX(0,14/6-1.5)</f>
        <v>0.83333333333333348</v>
      </c>
    </row>
    <row r="43" spans="1:11" ht="15.6" x14ac:dyDescent="0.3">
      <c r="A43" s="99" t="s">
        <v>108</v>
      </c>
      <c r="B43" s="99"/>
      <c r="C43" s="99"/>
      <c r="D43" s="99"/>
      <c r="E43" s="99"/>
      <c r="F43" s="99"/>
      <c r="G43" s="99"/>
      <c r="H43" s="99"/>
    </row>
    <row r="44" spans="1:11" ht="15.6" x14ac:dyDescent="0.3">
      <c r="A44" s="59"/>
      <c r="B44" s="59"/>
      <c r="C44" s="60"/>
      <c r="D44" s="59"/>
      <c r="E44" s="100"/>
      <c r="F44" s="100"/>
      <c r="G44" s="100"/>
      <c r="H44" s="100"/>
    </row>
    <row r="45" spans="1:11" ht="13.8" thickBot="1" x14ac:dyDescent="0.3">
      <c r="A45" s="61" t="s">
        <v>91</v>
      </c>
      <c r="B45" s="62">
        <v>37317</v>
      </c>
      <c r="C45" s="63"/>
      <c r="D45" s="64"/>
      <c r="E45" s="101" t="s">
        <v>92</v>
      </c>
      <c r="F45" s="101"/>
      <c r="G45" s="101"/>
      <c r="H45" s="101"/>
    </row>
    <row r="46" spans="1:11" x14ac:dyDescent="0.25">
      <c r="A46" s="65" t="s">
        <v>93</v>
      </c>
      <c r="B46" s="66" t="s">
        <v>94</v>
      </c>
      <c r="C46" s="67" t="s">
        <v>95</v>
      </c>
      <c r="D46" s="66" t="s">
        <v>96</v>
      </c>
      <c r="E46" s="67" t="s">
        <v>97</v>
      </c>
      <c r="F46" s="68" t="s">
        <v>98</v>
      </c>
      <c r="G46" s="65" t="s">
        <v>99</v>
      </c>
      <c r="H46" s="65" t="s">
        <v>100</v>
      </c>
    </row>
    <row r="47" spans="1:11" x14ac:dyDescent="0.25">
      <c r="A47" s="69"/>
      <c r="B47" s="74">
        <v>37332.791666666664</v>
      </c>
      <c r="C47" s="70" t="s">
        <v>122</v>
      </c>
      <c r="D47" s="74">
        <v>37333.402777777781</v>
      </c>
      <c r="E47" s="70" t="s">
        <v>123</v>
      </c>
      <c r="F47" s="71">
        <f>(D47-B47)*24</f>
        <v>14.666666666802485</v>
      </c>
      <c r="G47" s="69" t="s">
        <v>103</v>
      </c>
      <c r="H47" s="121" t="s">
        <v>124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C5" workbookViewId="0">
      <selection activeCell="J11" sqref="J11"/>
    </sheetView>
  </sheetViews>
  <sheetFormatPr defaultRowHeight="13.2" x14ac:dyDescent="0.25"/>
  <cols>
    <col min="4" max="4" width="12.44140625" customWidth="1"/>
    <col min="5" max="11" width="15.6640625" customWidth="1"/>
  </cols>
  <sheetData>
    <row r="1" spans="1:25" ht="30" x14ac:dyDescent="0.5">
      <c r="A1" s="102" t="s">
        <v>146</v>
      </c>
      <c r="B1" s="103"/>
      <c r="C1" s="103"/>
      <c r="D1" s="28"/>
      <c r="E1" s="103"/>
      <c r="F1" s="103"/>
      <c r="G1" s="103"/>
      <c r="H1" s="103"/>
      <c r="I1" s="103"/>
      <c r="J1" s="103"/>
      <c r="K1" s="104"/>
    </row>
    <row r="2" spans="1:25" x14ac:dyDescent="0.25">
      <c r="A2" s="103"/>
      <c r="B2" s="103"/>
      <c r="C2" s="103"/>
      <c r="D2" s="28"/>
      <c r="E2" s="103"/>
      <c r="F2" s="103"/>
      <c r="G2" s="103"/>
      <c r="H2" s="103"/>
      <c r="I2" s="103"/>
      <c r="J2" s="103"/>
      <c r="K2" s="104"/>
    </row>
    <row r="3" spans="1:25" x14ac:dyDescent="0.25">
      <c r="A3" s="103" t="s">
        <v>12</v>
      </c>
      <c r="B3" s="103"/>
      <c r="C3" s="103"/>
      <c r="D3" s="28"/>
      <c r="E3" s="103"/>
      <c r="F3" s="103"/>
      <c r="G3" s="103"/>
      <c r="H3" s="103"/>
      <c r="I3" s="103"/>
      <c r="J3" s="103"/>
      <c r="K3" s="104"/>
    </row>
    <row r="4" spans="1:25" x14ac:dyDescent="0.25">
      <c r="A4" s="103" t="s">
        <v>13</v>
      </c>
      <c r="B4" s="103"/>
      <c r="C4" s="103"/>
      <c r="D4" s="28"/>
      <c r="E4" s="103"/>
      <c r="F4" s="103"/>
      <c r="G4" s="103"/>
      <c r="H4" s="103"/>
      <c r="I4" s="103"/>
      <c r="J4" s="103"/>
      <c r="K4" s="104"/>
    </row>
    <row r="5" spans="1:25" x14ac:dyDescent="0.25">
      <c r="A5" s="103" t="s">
        <v>109</v>
      </c>
      <c r="B5" s="103"/>
      <c r="C5" s="103"/>
      <c r="D5" s="28"/>
      <c r="E5" s="103"/>
      <c r="F5" s="103"/>
      <c r="G5" s="103"/>
      <c r="H5" s="103"/>
      <c r="I5" s="103"/>
      <c r="J5" s="103"/>
      <c r="K5" s="104"/>
    </row>
    <row r="6" spans="1:25" x14ac:dyDescent="0.25">
      <c r="A6" s="103" t="s">
        <v>145</v>
      </c>
      <c r="B6" s="103"/>
      <c r="C6" s="103"/>
      <c r="D6" s="28"/>
      <c r="E6" s="103"/>
      <c r="F6" s="103"/>
      <c r="G6" s="103"/>
      <c r="H6" s="103"/>
      <c r="I6" s="103"/>
      <c r="J6" s="103"/>
      <c r="K6" s="104"/>
    </row>
    <row r="7" spans="1:25" x14ac:dyDescent="0.25">
      <c r="A7" s="103"/>
      <c r="B7" s="103"/>
      <c r="C7" s="103"/>
      <c r="D7" s="28"/>
      <c r="E7" s="103"/>
      <c r="F7" s="103"/>
      <c r="G7" s="103"/>
      <c r="H7" s="103"/>
      <c r="I7" s="103"/>
      <c r="J7" s="103"/>
      <c r="K7" s="104"/>
    </row>
    <row r="8" spans="1:25" ht="17.399999999999999" x14ac:dyDescent="0.3">
      <c r="A8" s="105" t="s">
        <v>26</v>
      </c>
      <c r="B8" s="103"/>
      <c r="C8" s="103"/>
      <c r="D8" s="28"/>
      <c r="E8" s="103"/>
      <c r="F8" s="103"/>
      <c r="G8" s="103"/>
      <c r="H8" s="103"/>
      <c r="I8" s="103"/>
      <c r="J8" s="103"/>
      <c r="K8" s="104"/>
    </row>
    <row r="9" spans="1:25" x14ac:dyDescent="0.25">
      <c r="A9" s="106"/>
      <c r="B9" s="106"/>
      <c r="C9" s="106"/>
      <c r="D9" s="29"/>
      <c r="E9" s="107" t="s">
        <v>7</v>
      </c>
      <c r="F9" s="108"/>
      <c r="G9" s="109"/>
      <c r="H9" s="109"/>
      <c r="I9" s="110"/>
      <c r="J9" s="110"/>
      <c r="K9" s="111"/>
      <c r="N9" t="s">
        <v>114</v>
      </c>
      <c r="R9" t="s">
        <v>115</v>
      </c>
    </row>
    <row r="10" spans="1:25" ht="26.4" x14ac:dyDescent="0.25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  <c r="W10" t="s">
        <v>147</v>
      </c>
      <c r="X10" t="s">
        <v>148</v>
      </c>
      <c r="Y10" t="s">
        <v>149</v>
      </c>
    </row>
    <row r="11" spans="1:25" x14ac:dyDescent="0.25">
      <c r="A11" s="112" t="s">
        <v>17</v>
      </c>
      <c r="B11" s="112">
        <v>1</v>
      </c>
      <c r="C11" s="55">
        <v>1</v>
      </c>
      <c r="D11" s="31">
        <v>37347</v>
      </c>
      <c r="E11" s="113">
        <f>N11+R11</f>
        <v>322471</v>
      </c>
      <c r="F11" s="113">
        <f>O11+S11</f>
        <v>661</v>
      </c>
      <c r="G11" s="113">
        <f>E11-F11</f>
        <v>321810</v>
      </c>
      <c r="H11" s="114">
        <f>G11/(1500*30*24)</f>
        <v>0.29797222222222225</v>
      </c>
      <c r="I11" s="115">
        <f>(P11+T11-I33)/(Q11+U11)</f>
        <v>0.96365326228760484</v>
      </c>
      <c r="J11" s="115">
        <f>(P11+T11-I33)/(Q11+U11+4)</f>
        <v>0.95847175202018153</v>
      </c>
      <c r="K11" s="113">
        <f>I11*30*24</f>
        <v>693.83034884707558</v>
      </c>
      <c r="M11" s="82">
        <v>1</v>
      </c>
      <c r="N11" s="82">
        <v>322471</v>
      </c>
      <c r="O11" s="82">
        <v>661</v>
      </c>
      <c r="P11" s="82">
        <v>716.02333333333331</v>
      </c>
      <c r="Q11" s="82">
        <v>739.91689878234399</v>
      </c>
      <c r="W11" s="82">
        <v>716.02972222222218</v>
      </c>
      <c r="X11">
        <f>(T11-U11)</f>
        <v>0</v>
      </c>
      <c r="Y11">
        <f>(W11-X11)/744</f>
        <v>0.96240554062126638</v>
      </c>
    </row>
    <row r="12" spans="1:25" x14ac:dyDescent="0.25">
      <c r="A12" s="112" t="s">
        <v>17</v>
      </c>
      <c r="B12" s="112">
        <v>1</v>
      </c>
      <c r="C12" s="55">
        <v>2</v>
      </c>
      <c r="D12" s="31">
        <v>37347</v>
      </c>
      <c r="E12" s="113">
        <f t="shared" ref="E12:F20" si="0">N12+R12</f>
        <v>330081</v>
      </c>
      <c r="F12" s="113">
        <f t="shared" si="0"/>
        <v>643</v>
      </c>
      <c r="G12" s="113">
        <f t="shared" ref="G12:G20" si="1">E12-F12</f>
        <v>329438</v>
      </c>
      <c r="H12" s="114">
        <f t="shared" ref="H12:H20" si="2">G12/(1500*30*24)</f>
        <v>0.30503518518518519</v>
      </c>
      <c r="I12" s="115">
        <f t="shared" ref="I12:I20" si="3">(P12+T12-I34)/(Q12+U12)</f>
        <v>0.98022524849742065</v>
      </c>
      <c r="J12" s="115">
        <f t="shared" ref="J12:J20" si="4">(P12+T12-I34)/(Q12+U12+4)</f>
        <v>0.97495451349195017</v>
      </c>
      <c r="K12" s="113">
        <f t="shared" ref="K12:K20" si="5">I12*30*24</f>
        <v>705.76217891814281</v>
      </c>
      <c r="M12" s="82">
        <v>0.967741935483871</v>
      </c>
      <c r="N12" s="82">
        <v>330081</v>
      </c>
      <c r="O12" s="82">
        <v>643</v>
      </c>
      <c r="P12" s="82">
        <v>728.76888888888891</v>
      </c>
      <c r="Q12" s="82">
        <v>739.90023211567723</v>
      </c>
      <c r="W12" s="82">
        <v>728.79194444444443</v>
      </c>
      <c r="X12">
        <f t="shared" ref="X12:X20" si="6">(T12-U12)</f>
        <v>0</v>
      </c>
      <c r="Y12">
        <f t="shared" ref="Y12:Y20" si="7">(W12-X12)/744</f>
        <v>0.97955906511350055</v>
      </c>
    </row>
    <row r="13" spans="1:25" x14ac:dyDescent="0.25">
      <c r="A13" s="112" t="s">
        <v>17</v>
      </c>
      <c r="B13" s="112">
        <v>1</v>
      </c>
      <c r="C13" s="55">
        <v>3</v>
      </c>
      <c r="D13" s="31">
        <v>37347</v>
      </c>
      <c r="E13" s="113">
        <f t="shared" si="0"/>
        <v>312796</v>
      </c>
      <c r="F13" s="113">
        <f t="shared" si="0"/>
        <v>591</v>
      </c>
      <c r="G13" s="113">
        <f t="shared" si="1"/>
        <v>312205</v>
      </c>
      <c r="H13" s="114">
        <f t="shared" si="2"/>
        <v>0.2890787037037037</v>
      </c>
      <c r="I13" s="115">
        <f t="shared" si="3"/>
        <v>0.93634906520926309</v>
      </c>
      <c r="J13" s="115">
        <f t="shared" si="4"/>
        <v>0.9313139187503684</v>
      </c>
      <c r="K13" s="113">
        <f t="shared" si="5"/>
        <v>674.17132695066937</v>
      </c>
      <c r="M13" s="82">
        <v>1</v>
      </c>
      <c r="N13" s="82">
        <v>312796</v>
      </c>
      <c r="O13" s="82">
        <v>591</v>
      </c>
      <c r="P13" s="82">
        <v>695.42499999999995</v>
      </c>
      <c r="Q13" s="82">
        <v>739.85050989345507</v>
      </c>
      <c r="W13" s="82">
        <v>695.49777777777774</v>
      </c>
      <c r="X13">
        <f t="shared" si="6"/>
        <v>0</v>
      </c>
      <c r="Y13">
        <f t="shared" si="7"/>
        <v>0.93480884109916362</v>
      </c>
    </row>
    <row r="14" spans="1:25" x14ac:dyDescent="0.25">
      <c r="A14" s="112" t="s">
        <v>17</v>
      </c>
      <c r="B14" s="112">
        <v>1</v>
      </c>
      <c r="C14" s="55">
        <v>4</v>
      </c>
      <c r="D14" s="31">
        <v>37347</v>
      </c>
      <c r="E14" s="113">
        <f t="shared" si="0"/>
        <v>351658</v>
      </c>
      <c r="F14" s="113">
        <f t="shared" si="0"/>
        <v>801</v>
      </c>
      <c r="G14" s="113">
        <f t="shared" si="1"/>
        <v>350857</v>
      </c>
      <c r="H14" s="114">
        <f t="shared" si="2"/>
        <v>0.32486759259259257</v>
      </c>
      <c r="I14" s="115">
        <f t="shared" si="3"/>
        <v>0.97008629844842675</v>
      </c>
      <c r="J14" s="115">
        <f t="shared" si="4"/>
        <v>0.96487011240193388</v>
      </c>
      <c r="K14" s="113">
        <f t="shared" si="5"/>
        <v>698.4621348828673</v>
      </c>
      <c r="M14" s="82">
        <v>1</v>
      </c>
      <c r="N14" s="82">
        <v>351658</v>
      </c>
      <c r="O14" s="82">
        <v>801</v>
      </c>
      <c r="P14" s="82">
        <v>723.93805555555559</v>
      </c>
      <c r="Q14" s="82">
        <v>739.90467656012174</v>
      </c>
      <c r="W14" s="82">
        <v>723.95666666666671</v>
      </c>
      <c r="X14">
        <f t="shared" si="6"/>
        <v>0</v>
      </c>
      <c r="Y14">
        <f t="shared" si="7"/>
        <v>0.97306003584229395</v>
      </c>
    </row>
    <row r="15" spans="1:25" x14ac:dyDescent="0.25">
      <c r="A15" s="112" t="s">
        <v>17</v>
      </c>
      <c r="B15" s="112">
        <v>1</v>
      </c>
      <c r="C15" s="55">
        <v>5</v>
      </c>
      <c r="D15" s="31">
        <v>37347</v>
      </c>
      <c r="E15" s="113">
        <f t="shared" si="0"/>
        <v>277231</v>
      </c>
      <c r="F15" s="113">
        <f t="shared" si="0"/>
        <v>1037</v>
      </c>
      <c r="G15" s="113">
        <f t="shared" si="1"/>
        <v>276194</v>
      </c>
      <c r="H15" s="114">
        <f t="shared" si="2"/>
        <v>0.25573518518518518</v>
      </c>
      <c r="I15" s="115">
        <f t="shared" si="3"/>
        <v>0.8643023717603816</v>
      </c>
      <c r="J15" s="115">
        <f t="shared" si="4"/>
        <v>0.85965507788078888</v>
      </c>
      <c r="K15" s="113">
        <f t="shared" si="5"/>
        <v>622.29770766747481</v>
      </c>
      <c r="M15" s="82">
        <v>1</v>
      </c>
      <c r="N15" s="82">
        <v>277231</v>
      </c>
      <c r="O15" s="82">
        <v>1037</v>
      </c>
      <c r="P15" s="82">
        <v>642.34694444444449</v>
      </c>
      <c r="Q15" s="82">
        <v>739.91884322678834</v>
      </c>
      <c r="W15" s="82">
        <v>642.35138888888889</v>
      </c>
      <c r="X15">
        <f t="shared" si="6"/>
        <v>0</v>
      </c>
      <c r="Y15">
        <f t="shared" si="7"/>
        <v>0.86337552270011952</v>
      </c>
    </row>
    <row r="16" spans="1:25" x14ac:dyDescent="0.25">
      <c r="A16" s="112" t="s">
        <v>17</v>
      </c>
      <c r="B16" s="112">
        <v>1</v>
      </c>
      <c r="C16" s="55">
        <v>6</v>
      </c>
      <c r="D16" s="31">
        <v>37347</v>
      </c>
      <c r="E16" s="113">
        <f t="shared" si="0"/>
        <v>328215</v>
      </c>
      <c r="F16" s="113">
        <f t="shared" si="0"/>
        <v>799</v>
      </c>
      <c r="G16" s="113">
        <f t="shared" si="1"/>
        <v>327416</v>
      </c>
      <c r="H16" s="114">
        <f t="shared" si="2"/>
        <v>0.30316296296296297</v>
      </c>
      <c r="I16" s="115">
        <f t="shared" si="3"/>
        <v>0.95800474583126505</v>
      </c>
      <c r="J16" s="115">
        <f t="shared" si="4"/>
        <v>0.95285360924769491</v>
      </c>
      <c r="K16" s="113">
        <f t="shared" si="5"/>
        <v>689.76341699851082</v>
      </c>
      <c r="M16" s="82">
        <v>1</v>
      </c>
      <c r="N16" s="82">
        <v>328215</v>
      </c>
      <c r="O16" s="82">
        <v>799</v>
      </c>
      <c r="P16" s="82">
        <v>714.34416666666664</v>
      </c>
      <c r="Q16" s="82">
        <v>739.91717656012167</v>
      </c>
      <c r="W16" s="82">
        <v>714.35027777777782</v>
      </c>
      <c r="X16">
        <f t="shared" si="6"/>
        <v>0</v>
      </c>
      <c r="Y16">
        <f t="shared" si="7"/>
        <v>0.96014822281959389</v>
      </c>
    </row>
    <row r="17" spans="1:25" ht="15.6" x14ac:dyDescent="0.25">
      <c r="A17" s="112" t="s">
        <v>17</v>
      </c>
      <c r="B17" s="112">
        <v>1</v>
      </c>
      <c r="C17" s="55" t="s">
        <v>84</v>
      </c>
      <c r="D17" s="31">
        <v>37347</v>
      </c>
      <c r="E17" s="113">
        <f t="shared" si="0"/>
        <v>207965</v>
      </c>
      <c r="F17" s="113">
        <f t="shared" si="0"/>
        <v>2527</v>
      </c>
      <c r="G17" s="113">
        <f t="shared" si="1"/>
        <v>205438</v>
      </c>
      <c r="H17" s="114">
        <f t="shared" si="2"/>
        <v>0.19022037037037037</v>
      </c>
      <c r="I17" s="115">
        <f t="shared" si="3"/>
        <v>0.97677754489837942</v>
      </c>
      <c r="J17" s="115">
        <f t="shared" si="4"/>
        <v>0.97152547981740067</v>
      </c>
      <c r="K17" s="113">
        <f t="shared" si="5"/>
        <v>703.27983232683323</v>
      </c>
      <c r="M17" s="82">
        <v>1</v>
      </c>
      <c r="N17" s="82">
        <v>207965</v>
      </c>
      <c r="O17" s="82">
        <v>2527</v>
      </c>
      <c r="P17" s="82">
        <v>729.90277777777783</v>
      </c>
      <c r="Q17" s="82">
        <v>739.91884322678834</v>
      </c>
      <c r="W17" s="82">
        <v>729.90722222222223</v>
      </c>
      <c r="X17">
        <f t="shared" si="6"/>
        <v>0</v>
      </c>
      <c r="Y17">
        <f t="shared" si="7"/>
        <v>0.98105809438470726</v>
      </c>
    </row>
    <row r="18" spans="1:25" x14ac:dyDescent="0.25">
      <c r="A18" s="112" t="s">
        <v>17</v>
      </c>
      <c r="B18" s="112">
        <v>1</v>
      </c>
      <c r="C18" s="55">
        <v>8</v>
      </c>
      <c r="D18" s="31">
        <v>37347</v>
      </c>
      <c r="E18" s="113">
        <f t="shared" si="0"/>
        <v>252459</v>
      </c>
      <c r="F18" s="113">
        <f t="shared" si="0"/>
        <v>1947</v>
      </c>
      <c r="G18" s="113">
        <f t="shared" si="1"/>
        <v>250512</v>
      </c>
      <c r="H18" s="114">
        <f t="shared" si="2"/>
        <v>0.23195555555555555</v>
      </c>
      <c r="I18" s="115">
        <f t="shared" si="3"/>
        <v>0.70519030687361939</v>
      </c>
      <c r="J18" s="115">
        <f t="shared" si="4"/>
        <v>0.70139831673105824</v>
      </c>
      <c r="K18" s="113">
        <f t="shared" si="5"/>
        <v>507.73702094900591</v>
      </c>
      <c r="M18" s="82">
        <v>1</v>
      </c>
      <c r="N18" s="82">
        <v>252459</v>
      </c>
      <c r="O18" s="82">
        <v>1947</v>
      </c>
      <c r="P18" s="82">
        <v>525.08500000000004</v>
      </c>
      <c r="Q18" s="82">
        <v>739.87356544901058</v>
      </c>
      <c r="W18" s="82">
        <v>525.13472222222219</v>
      </c>
      <c r="X18">
        <f t="shared" si="6"/>
        <v>0</v>
      </c>
      <c r="Y18">
        <f t="shared" si="7"/>
        <v>0.70582623954599755</v>
      </c>
    </row>
    <row r="19" spans="1:25" x14ac:dyDescent="0.25">
      <c r="A19" s="112" t="s">
        <v>17</v>
      </c>
      <c r="B19" s="112">
        <v>1</v>
      </c>
      <c r="C19" s="55">
        <v>9</v>
      </c>
      <c r="D19" s="31">
        <v>37347</v>
      </c>
      <c r="E19" s="113">
        <f t="shared" si="0"/>
        <v>378187</v>
      </c>
      <c r="F19" s="113">
        <f t="shared" si="0"/>
        <v>669</v>
      </c>
      <c r="G19" s="113">
        <f t="shared" si="1"/>
        <v>377518</v>
      </c>
      <c r="H19" s="114">
        <f t="shared" si="2"/>
        <v>0.3495537037037037</v>
      </c>
      <c r="I19" s="115">
        <f t="shared" si="3"/>
        <v>0.97684533176605115</v>
      </c>
      <c r="J19" s="115">
        <f t="shared" si="4"/>
        <v>0.97159278059969167</v>
      </c>
      <c r="K19" s="113">
        <f t="shared" si="5"/>
        <v>703.32863887155679</v>
      </c>
      <c r="M19" s="82">
        <v>1</v>
      </c>
      <c r="N19" s="82">
        <v>378187</v>
      </c>
      <c r="O19" s="82">
        <v>669</v>
      </c>
      <c r="P19" s="82">
        <v>726.43611111111113</v>
      </c>
      <c r="Q19" s="82">
        <v>739.90162100456621</v>
      </c>
      <c r="W19" s="82">
        <v>726.45777777777778</v>
      </c>
      <c r="X19">
        <f t="shared" si="6"/>
        <v>0</v>
      </c>
      <c r="Y19">
        <f t="shared" si="7"/>
        <v>0.97642174432497009</v>
      </c>
    </row>
    <row r="20" spans="1:25" x14ac:dyDescent="0.25">
      <c r="A20" s="112" t="s">
        <v>17</v>
      </c>
      <c r="B20" s="112">
        <v>1</v>
      </c>
      <c r="C20" s="55">
        <v>10</v>
      </c>
      <c r="D20" s="31">
        <v>37347</v>
      </c>
      <c r="E20" s="113">
        <f>N20+R20</f>
        <v>379624</v>
      </c>
      <c r="F20" s="113">
        <f t="shared" si="0"/>
        <v>505</v>
      </c>
      <c r="G20" s="113">
        <f t="shared" si="1"/>
        <v>379119</v>
      </c>
      <c r="H20" s="114">
        <f t="shared" si="2"/>
        <v>0.3510361111111111</v>
      </c>
      <c r="I20" s="115">
        <f t="shared" si="3"/>
        <v>0.9704036847056916</v>
      </c>
      <c r="J20" s="115">
        <f t="shared" si="4"/>
        <v>0.96518575309477506</v>
      </c>
      <c r="K20" s="113">
        <f t="shared" si="5"/>
        <v>698.6906529880979</v>
      </c>
      <c r="M20" s="82">
        <v>1</v>
      </c>
      <c r="N20" s="82">
        <v>379624</v>
      </c>
      <c r="O20" s="82">
        <v>505</v>
      </c>
      <c r="P20" s="82">
        <v>725.00083333333339</v>
      </c>
      <c r="Q20" s="82">
        <v>739.89912100456615</v>
      </c>
      <c r="W20" s="82">
        <v>725.02499999999998</v>
      </c>
      <c r="X20">
        <f t="shared" si="6"/>
        <v>0</v>
      </c>
      <c r="Y20">
        <f t="shared" si="7"/>
        <v>0.97449596774193548</v>
      </c>
    </row>
    <row r="21" spans="1:25" x14ac:dyDescent="0.25">
      <c r="A21" s="116"/>
      <c r="B21" s="117"/>
      <c r="C21" s="21" t="s">
        <v>24</v>
      </c>
      <c r="D21" s="31">
        <v>37347</v>
      </c>
      <c r="E21" s="118">
        <f>SUM(E11:E20)</f>
        <v>3140687</v>
      </c>
      <c r="F21" s="118">
        <f>SUM(F11:F20)</f>
        <v>10180</v>
      </c>
      <c r="G21" s="118">
        <f>SUM(G11:G20)</f>
        <v>3130507</v>
      </c>
      <c r="H21" s="114">
        <f>AVERAGE(H11:H20)</f>
        <v>0.28986175925925928</v>
      </c>
      <c r="I21" s="119">
        <f>AVERAGE(I11:I20)</f>
        <v>0.9301837860278106</v>
      </c>
      <c r="J21" s="119">
        <f>AVERAGE(J11:J20)</f>
        <v>0.92518213140358441</v>
      </c>
      <c r="K21" s="118">
        <f>SUM(K11:K20)</f>
        <v>6697.3232594002347</v>
      </c>
      <c r="Y21" s="119">
        <f>AVERAGE(Y11:Y20)</f>
        <v>0.93111592741935478</v>
      </c>
    </row>
    <row r="22" spans="1:25" ht="15.6" x14ac:dyDescent="0.25">
      <c r="A22" s="116"/>
      <c r="B22" s="117"/>
      <c r="C22" s="21" t="s">
        <v>21</v>
      </c>
      <c r="D22" s="31">
        <v>37347</v>
      </c>
      <c r="E22" s="113">
        <f>E21*(0.02)</f>
        <v>62813.74</v>
      </c>
      <c r="F22" s="113">
        <f>F21*(0.02)</f>
        <v>203.6</v>
      </c>
      <c r="G22" s="113">
        <f>G21*(0.02)</f>
        <v>62610.14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25" x14ac:dyDescent="0.25">
      <c r="A23" s="116"/>
      <c r="B23" s="117"/>
      <c r="C23" s="21" t="s">
        <v>23</v>
      </c>
      <c r="D23" s="31">
        <v>37347</v>
      </c>
      <c r="E23" s="113">
        <f>E21-E22</f>
        <v>3077873.26</v>
      </c>
      <c r="F23" s="113">
        <f>F21-F22</f>
        <v>9976.4</v>
      </c>
      <c r="G23" s="113">
        <f>G21-G22</f>
        <v>3067896.86</v>
      </c>
      <c r="H23" s="32" t="s">
        <v>25</v>
      </c>
      <c r="I23" s="32" t="s">
        <v>25</v>
      </c>
      <c r="J23" s="32" t="s">
        <v>25</v>
      </c>
      <c r="K23" s="118">
        <f>K21</f>
        <v>6697.3232594002347</v>
      </c>
    </row>
    <row r="24" spans="1:25" x14ac:dyDescent="0.25">
      <c r="A24" s="116"/>
      <c r="B24" s="117"/>
      <c r="C24" s="21" t="s">
        <v>23</v>
      </c>
      <c r="D24" s="24" t="s">
        <v>9</v>
      </c>
      <c r="E24" s="113">
        <f>E23+'0402'!E24</f>
        <v>20540709.839999996</v>
      </c>
      <c r="F24" s="113">
        <f>F23+'0402'!F24</f>
        <v>35363.300000000003</v>
      </c>
      <c r="G24" s="113">
        <f>G23+'0402'!G24</f>
        <v>20505346.539999999</v>
      </c>
      <c r="H24" s="114">
        <f>AVERAGE(H21,'0402'!H21,'0302'!H21,'0202'!H21,'0102'!H21)</f>
        <v>0.38933260359852562</v>
      </c>
      <c r="I24" s="114">
        <f>AVERAGE(I21,'0402'!I21,'0302'!I21,'0202'!I21,'0102'!I21)</f>
        <v>0.93857352993645304</v>
      </c>
      <c r="J24" s="114">
        <f>AVERAGE(J21,'0402'!J21,'0302'!J21,'0202'!J21,'0102'!J21)</f>
        <v>0.93332551156907617</v>
      </c>
      <c r="K24" s="113">
        <f>K23+'0302'!K24</f>
        <v>26770.220946478898</v>
      </c>
    </row>
    <row r="25" spans="1:25" x14ac:dyDescent="0.25">
      <c r="A25" s="103"/>
      <c r="B25" s="103"/>
      <c r="C25" s="103"/>
      <c r="D25" s="30"/>
      <c r="E25" s="104"/>
      <c r="F25" s="104"/>
      <c r="G25" s="104"/>
      <c r="H25" s="104"/>
      <c r="I25" s="120"/>
      <c r="J25" s="120"/>
      <c r="K25" s="104"/>
    </row>
    <row r="26" spans="1:25" x14ac:dyDescent="0.25">
      <c r="A26" s="103" t="s">
        <v>8</v>
      </c>
      <c r="B26" s="103"/>
      <c r="C26" s="103"/>
      <c r="D26" s="30"/>
      <c r="E26" s="104"/>
      <c r="F26" s="104"/>
      <c r="G26" s="104"/>
      <c r="H26" s="104"/>
      <c r="I26" s="120"/>
      <c r="J26" s="120"/>
      <c r="K26" s="103"/>
    </row>
    <row r="27" spans="1:25" x14ac:dyDescent="0.25">
      <c r="A27" s="103" t="s">
        <v>83</v>
      </c>
      <c r="B27" s="103"/>
      <c r="C27" s="103"/>
      <c r="D27" s="30"/>
      <c r="E27" s="104"/>
      <c r="F27" s="104"/>
      <c r="G27" s="104"/>
      <c r="H27" s="104"/>
      <c r="I27" s="120"/>
      <c r="J27" s="120"/>
      <c r="K27" s="104"/>
    </row>
    <row r="28" spans="1:25" x14ac:dyDescent="0.25">
      <c r="A28" s="103" t="s">
        <v>22</v>
      </c>
      <c r="B28" s="103"/>
      <c r="C28" s="103"/>
      <c r="D28" s="28"/>
      <c r="E28" s="103"/>
      <c r="F28" s="103"/>
      <c r="G28" s="104"/>
      <c r="H28" s="104"/>
      <c r="I28" s="120"/>
      <c r="J28" s="120"/>
      <c r="K28" s="104"/>
    </row>
    <row r="29" spans="1:25" x14ac:dyDescent="0.25">
      <c r="A29" s="103" t="s">
        <v>144</v>
      </c>
      <c r="B29" s="103"/>
      <c r="C29" s="103"/>
      <c r="D29" s="28"/>
      <c r="E29" s="103"/>
      <c r="F29" s="103"/>
      <c r="G29" s="104"/>
      <c r="H29" s="104"/>
      <c r="I29" s="120"/>
      <c r="J29" s="120"/>
      <c r="K29" s="104"/>
    </row>
    <row r="30" spans="1:25" x14ac:dyDescent="0.25">
      <c r="A30" s="103"/>
      <c r="B30" s="103"/>
      <c r="C30" s="103"/>
      <c r="D30" s="28"/>
      <c r="E30" s="103"/>
      <c r="F30" s="103"/>
      <c r="G30" s="104"/>
      <c r="H30" s="104"/>
      <c r="I30" s="120"/>
      <c r="J30" s="120"/>
      <c r="K30" s="104"/>
    </row>
    <row r="31" spans="1:25" x14ac:dyDescent="0.25">
      <c r="A31" s="103"/>
      <c r="B31" s="103"/>
      <c r="C31" s="103"/>
      <c r="D31" s="28"/>
      <c r="E31" s="103"/>
      <c r="F31" s="103"/>
      <c r="G31" s="104"/>
      <c r="H31" s="104"/>
      <c r="I31" s="120"/>
      <c r="J31" s="120"/>
      <c r="K31" s="104"/>
    </row>
    <row r="32" spans="1:25" x14ac:dyDescent="0.25">
      <c r="A32" s="103"/>
      <c r="B32" s="103"/>
      <c r="C32" s="103"/>
      <c r="D32" s="28"/>
      <c r="E32" s="103"/>
      <c r="F32" s="103"/>
      <c r="G32" s="104"/>
      <c r="H32" s="19" t="s">
        <v>157</v>
      </c>
      <c r="I32" s="22"/>
      <c r="J32" s="120"/>
      <c r="K32" s="104"/>
    </row>
    <row r="33" spans="1:11" x14ac:dyDescent="0.25">
      <c r="A33" s="103"/>
      <c r="B33" s="103"/>
      <c r="C33" s="103"/>
      <c r="D33" s="28"/>
      <c r="E33" s="103"/>
      <c r="F33" s="103"/>
      <c r="G33" s="104"/>
      <c r="H33" s="16">
        <v>1</v>
      </c>
      <c r="I33" s="131">
        <f>MAX(0,27/6-1.5)</f>
        <v>3</v>
      </c>
      <c r="J33" s="120"/>
      <c r="K33" s="104"/>
    </row>
    <row r="34" spans="1:11" x14ac:dyDescent="0.25">
      <c r="A34" s="103"/>
      <c r="B34" s="103"/>
      <c r="C34" s="103"/>
      <c r="D34" s="28"/>
      <c r="E34" s="103"/>
      <c r="F34" s="103"/>
      <c r="G34" s="104"/>
      <c r="H34" s="16">
        <v>2</v>
      </c>
      <c r="I34" s="131">
        <f>MAX(0,30/6-1.5)</f>
        <v>3.5</v>
      </c>
      <c r="J34" s="120"/>
      <c r="K34" s="104"/>
    </row>
    <row r="35" spans="1:11" x14ac:dyDescent="0.25">
      <c r="A35" s="103"/>
      <c r="B35" s="103"/>
      <c r="C35" s="103"/>
      <c r="D35" s="28"/>
      <c r="E35" s="103"/>
      <c r="F35" s="103"/>
      <c r="G35" s="104"/>
      <c r="H35" s="16">
        <v>3</v>
      </c>
      <c r="I35" s="131">
        <f>MAX(0,25/6-1.5)</f>
        <v>2.666666666666667</v>
      </c>
      <c r="J35" s="120"/>
      <c r="K35" s="104"/>
    </row>
    <row r="36" spans="1:11" x14ac:dyDescent="0.25">
      <c r="A36" s="103"/>
      <c r="B36" s="103"/>
      <c r="C36" s="103"/>
      <c r="D36" s="28"/>
      <c r="E36" s="103"/>
      <c r="F36" s="103"/>
      <c r="G36" s="104"/>
      <c r="H36" s="16">
        <v>4</v>
      </c>
      <c r="I36" s="131">
        <f>MAX(0,46/6-1.5)</f>
        <v>6.166666666666667</v>
      </c>
      <c r="J36" s="120"/>
      <c r="K36" s="104"/>
    </row>
    <row r="37" spans="1:11" x14ac:dyDescent="0.25">
      <c r="A37" s="103"/>
      <c r="B37" s="103"/>
      <c r="C37" s="103"/>
      <c r="D37" s="28"/>
      <c r="E37" s="103"/>
      <c r="F37" s="103"/>
      <c r="G37" s="104"/>
      <c r="H37" s="16">
        <v>5</v>
      </c>
      <c r="I37" s="131">
        <f>MAX(0,26/6-1.5)</f>
        <v>2.833333333333333</v>
      </c>
      <c r="J37" s="120"/>
      <c r="K37" s="104"/>
    </row>
    <row r="38" spans="1:11" x14ac:dyDescent="0.25">
      <c r="A38" s="103"/>
      <c r="B38" s="103"/>
      <c r="C38" s="103"/>
      <c r="D38" s="28"/>
      <c r="E38" s="103"/>
      <c r="F38" s="103"/>
      <c r="G38" s="104"/>
      <c r="H38" s="16">
        <v>6</v>
      </c>
      <c r="I38" s="131">
        <f>MAX(0,42/6-1.5)</f>
        <v>5.5</v>
      </c>
      <c r="J38" s="120"/>
      <c r="K38" s="104"/>
    </row>
    <row r="39" spans="1:11" x14ac:dyDescent="0.25">
      <c r="A39" s="103"/>
      <c r="B39" s="103"/>
      <c r="C39" s="103"/>
      <c r="D39" s="28"/>
      <c r="E39" s="103"/>
      <c r="F39" s="103"/>
      <c r="G39" s="104"/>
      <c r="H39" s="55">
        <v>7</v>
      </c>
      <c r="I39" s="131">
        <f>MAX(0,52/6-1.5)</f>
        <v>7.1666666666666661</v>
      </c>
      <c r="J39" s="120"/>
      <c r="K39" s="104"/>
    </row>
    <row r="40" spans="1:11" x14ac:dyDescent="0.25">
      <c r="A40" s="103"/>
      <c r="B40" s="103"/>
      <c r="C40" s="103"/>
      <c r="D40" s="103"/>
      <c r="E40" s="103"/>
      <c r="F40" s="103"/>
      <c r="G40" s="103"/>
      <c r="H40" s="16">
        <v>8</v>
      </c>
      <c r="I40" s="131">
        <f>MAX(0,29/6-1.5)</f>
        <v>3.333333333333333</v>
      </c>
      <c r="J40" s="103"/>
      <c r="K40" s="103"/>
    </row>
    <row r="41" spans="1:11" x14ac:dyDescent="0.25">
      <c r="A41" s="103"/>
      <c r="B41" s="103"/>
      <c r="C41" s="103"/>
      <c r="D41" s="103"/>
      <c r="E41" s="103"/>
      <c r="F41" s="103"/>
      <c r="G41" s="103"/>
      <c r="H41" s="16">
        <v>9</v>
      </c>
      <c r="I41" s="131">
        <f>MAX(0,31/6-1.5)</f>
        <v>3.666666666666667</v>
      </c>
      <c r="J41" s="103"/>
      <c r="K41" s="103"/>
    </row>
    <row r="42" spans="1:11" x14ac:dyDescent="0.25">
      <c r="A42" s="103"/>
      <c r="B42" s="103"/>
      <c r="C42" s="103"/>
      <c r="D42" s="103"/>
      <c r="E42" s="103"/>
      <c r="F42" s="103"/>
      <c r="G42" s="103"/>
      <c r="H42" s="16">
        <v>10</v>
      </c>
      <c r="I42" s="131">
        <f>MAX(0,51/6-1.5)</f>
        <v>7</v>
      </c>
      <c r="J42" s="103"/>
      <c r="K42" s="103"/>
    </row>
    <row r="43" spans="1:11" x14ac:dyDescent="0.2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1:11" x14ac:dyDescent="0.2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1:11" ht="15.6" x14ac:dyDescent="0.3">
      <c r="A45" s="123" t="s">
        <v>89</v>
      </c>
      <c r="B45" s="99"/>
      <c r="C45" s="99"/>
      <c r="D45" s="99"/>
      <c r="E45" s="99"/>
      <c r="F45" s="99"/>
      <c r="G45" s="99"/>
      <c r="H45" s="99"/>
      <c r="I45" s="103"/>
      <c r="J45" s="103"/>
      <c r="K45" s="103"/>
    </row>
    <row r="46" spans="1:11" ht="15.6" x14ac:dyDescent="0.3">
      <c r="A46" s="123" t="s">
        <v>108</v>
      </c>
      <c r="B46" s="99"/>
      <c r="C46" s="99"/>
      <c r="D46" s="99"/>
      <c r="E46" s="99"/>
      <c r="F46" s="99"/>
      <c r="G46" s="99"/>
      <c r="H46" s="99"/>
      <c r="I46" s="103"/>
      <c r="J46" s="103"/>
      <c r="K46" s="103"/>
    </row>
    <row r="47" spans="1:11" ht="15.6" x14ac:dyDescent="0.3">
      <c r="A47" s="59"/>
      <c r="B47" s="59"/>
      <c r="C47" s="60"/>
      <c r="D47" s="59"/>
      <c r="E47" s="100"/>
      <c r="F47" s="100"/>
      <c r="G47" s="100"/>
      <c r="H47" s="100"/>
      <c r="I47" s="103"/>
      <c r="J47" s="103"/>
      <c r="K47" s="103"/>
    </row>
    <row r="48" spans="1:11" ht="13.8" thickBot="1" x14ac:dyDescent="0.3">
      <c r="A48" s="61" t="s">
        <v>91</v>
      </c>
      <c r="B48" s="62">
        <v>37317</v>
      </c>
      <c r="C48" s="63"/>
      <c r="D48" s="64"/>
      <c r="E48" s="101" t="s">
        <v>92</v>
      </c>
      <c r="F48" s="101"/>
      <c r="G48" s="101"/>
      <c r="H48" s="101"/>
      <c r="I48" s="103"/>
      <c r="J48" s="103"/>
      <c r="K48" s="103"/>
    </row>
    <row r="49" spans="1:11" x14ac:dyDescent="0.25">
      <c r="A49" s="65" t="s">
        <v>93</v>
      </c>
      <c r="B49" s="66" t="s">
        <v>94</v>
      </c>
      <c r="C49" s="67" t="s">
        <v>95</v>
      </c>
      <c r="D49" s="66" t="s">
        <v>96</v>
      </c>
      <c r="E49" s="67" t="s">
        <v>97</v>
      </c>
      <c r="F49" s="68" t="s">
        <v>98</v>
      </c>
      <c r="G49" s="65" t="s">
        <v>99</v>
      </c>
      <c r="H49" s="65" t="s">
        <v>100</v>
      </c>
      <c r="I49" s="103"/>
      <c r="J49" s="103"/>
      <c r="K49" s="103"/>
    </row>
    <row r="50" spans="1:11" x14ac:dyDescent="0.25">
      <c r="A50" s="69"/>
      <c r="B50" s="74">
        <v>37332.791666666664</v>
      </c>
      <c r="C50" s="70" t="s">
        <v>122</v>
      </c>
      <c r="D50" s="74">
        <v>37333.402777777781</v>
      </c>
      <c r="E50" s="70" t="s">
        <v>123</v>
      </c>
      <c r="F50" s="71">
        <f>(D50-B50)*24</f>
        <v>14.666666666802485</v>
      </c>
      <c r="G50" s="69" t="s">
        <v>103</v>
      </c>
      <c r="H50" s="121" t="s">
        <v>124</v>
      </c>
      <c r="I50" s="103"/>
      <c r="J50" s="103"/>
      <c r="K50" s="103"/>
    </row>
    <row r="51" spans="1:11" x14ac:dyDescent="0.2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1:11" x14ac:dyDescent="0.2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1:11" x14ac:dyDescent="0.2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1:11" x14ac:dyDescent="0.2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1:11" x14ac:dyDescent="0.2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1:11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1:11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1:11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1:11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1:11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1:11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1:11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1:1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1:1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1:1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1:1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A20" sqref="A20"/>
    </sheetView>
  </sheetViews>
  <sheetFormatPr defaultRowHeight="13.2" x14ac:dyDescent="0.25"/>
  <cols>
    <col min="1" max="1" width="44.88671875" customWidth="1"/>
    <col min="2" max="2" width="12.6640625" style="44" hidden="1" customWidth="1"/>
    <col min="3" max="6" width="12.6640625" style="44" customWidth="1"/>
    <col min="7" max="8" width="12.5546875" style="44" customWidth="1"/>
    <col min="9" max="9" width="12.5546875" customWidth="1"/>
  </cols>
  <sheetData>
    <row r="1" spans="1:9" ht="30" x14ac:dyDescent="0.5">
      <c r="A1" s="84" t="s">
        <v>135</v>
      </c>
      <c r="B1" s="91"/>
      <c r="C1" s="91"/>
      <c r="D1" s="91"/>
    </row>
    <row r="3" spans="1:9" ht="15.6" x14ac:dyDescent="0.3">
      <c r="A3" s="85" t="s">
        <v>20</v>
      </c>
      <c r="B3" s="90">
        <v>37165</v>
      </c>
      <c r="C3" s="90">
        <v>37196</v>
      </c>
      <c r="D3" s="90">
        <v>37226</v>
      </c>
      <c r="E3" s="90">
        <v>37257</v>
      </c>
      <c r="F3" s="90">
        <v>37288</v>
      </c>
      <c r="G3" s="90">
        <v>37316</v>
      </c>
      <c r="H3" s="90">
        <v>37347</v>
      </c>
      <c r="I3" s="90">
        <v>37377</v>
      </c>
    </row>
    <row r="4" spans="1:9" ht="15.6" x14ac:dyDescent="0.3">
      <c r="A4" s="86" t="s">
        <v>127</v>
      </c>
      <c r="B4" s="10"/>
      <c r="C4" s="10"/>
      <c r="D4" s="10"/>
      <c r="E4" s="92"/>
      <c r="F4" s="92"/>
      <c r="G4" s="92"/>
      <c r="H4" s="92"/>
      <c r="I4" s="122"/>
    </row>
    <row r="5" spans="1:9" ht="15" x14ac:dyDescent="0.25">
      <c r="A5" s="87" t="s">
        <v>136</v>
      </c>
      <c r="B5" s="93">
        <f>'1001'!E21</f>
        <v>1363663</v>
      </c>
      <c r="C5" s="93">
        <f>'1101'!E21</f>
        <v>2861181</v>
      </c>
      <c r="D5" s="93">
        <f>'1201'!E21</f>
        <v>3554529</v>
      </c>
      <c r="E5" s="93">
        <f>'0102'!E21</f>
        <v>5086855</v>
      </c>
      <c r="F5" s="93">
        <f>'0202'!E21</f>
        <v>4399277</v>
      </c>
      <c r="G5" s="93">
        <f>'0302'!E21</f>
        <v>4730439</v>
      </c>
      <c r="H5" s="93">
        <f>'0402'!E21</f>
        <v>3602650</v>
      </c>
      <c r="I5" s="93">
        <f>'0502'!E21</f>
        <v>3140687</v>
      </c>
    </row>
    <row r="6" spans="1:9" ht="15" x14ac:dyDescent="0.25">
      <c r="A6" s="87" t="s">
        <v>128</v>
      </c>
      <c r="B6" s="93">
        <f>'1001'!E22</f>
        <v>27273.260000000002</v>
      </c>
      <c r="C6" s="93">
        <f>'1101'!E22</f>
        <v>57223.62</v>
      </c>
      <c r="D6" s="93">
        <f>'1201'!E22</f>
        <v>71090.58</v>
      </c>
      <c r="E6" s="93">
        <f>'0102'!E22</f>
        <v>101737.1</v>
      </c>
      <c r="F6" s="93">
        <f>'0202'!E22</f>
        <v>87985.540000000008</v>
      </c>
      <c r="G6" s="93">
        <f>'0302'!E22</f>
        <v>94608.78</v>
      </c>
      <c r="H6" s="93">
        <f>'0402'!E22</f>
        <v>72053</v>
      </c>
      <c r="I6" s="93">
        <f>'0502'!E22</f>
        <v>62813.74</v>
      </c>
    </row>
    <row r="7" spans="1:9" ht="15" x14ac:dyDescent="0.25">
      <c r="A7" s="87" t="s">
        <v>137</v>
      </c>
      <c r="B7" s="93">
        <f>'1001'!E23</f>
        <v>1336389.74</v>
      </c>
      <c r="C7" s="93">
        <f>'1101'!E23</f>
        <v>2803957.38</v>
      </c>
      <c r="D7" s="93">
        <f>'1201'!E23</f>
        <v>3483438.42</v>
      </c>
      <c r="E7" s="93">
        <f>'0102'!E23</f>
        <v>4985117.9000000004</v>
      </c>
      <c r="F7" s="93">
        <f>'0202'!E23</f>
        <v>4311291.46</v>
      </c>
      <c r="G7" s="93">
        <f>'0302'!E23</f>
        <v>4635830.22</v>
      </c>
      <c r="H7" s="93">
        <f>'0402'!E23</f>
        <v>3530597</v>
      </c>
      <c r="I7" s="93">
        <f>'0502'!E23</f>
        <v>3077873.26</v>
      </c>
    </row>
    <row r="8" spans="1:9" ht="15" x14ac:dyDescent="0.25">
      <c r="A8" s="87" t="s">
        <v>138</v>
      </c>
      <c r="B8" s="93">
        <f t="shared" ref="B8:I8" si="0">B7/1000</f>
        <v>1336.3897400000001</v>
      </c>
      <c r="C8" s="93">
        <f t="shared" si="0"/>
        <v>2803.9573799999998</v>
      </c>
      <c r="D8" s="93">
        <f t="shared" si="0"/>
        <v>3483.43842</v>
      </c>
      <c r="E8" s="93">
        <f t="shared" si="0"/>
        <v>4985.1179000000002</v>
      </c>
      <c r="F8" s="93">
        <f t="shared" si="0"/>
        <v>4311.2914600000004</v>
      </c>
      <c r="G8" s="93">
        <f t="shared" si="0"/>
        <v>4635.8302199999998</v>
      </c>
      <c r="H8" s="93">
        <f t="shared" si="0"/>
        <v>3530.5970000000002</v>
      </c>
      <c r="I8" s="93">
        <f t="shared" si="0"/>
        <v>3077.8732599999998</v>
      </c>
    </row>
    <row r="9" spans="1:9" ht="17.399999999999999" x14ac:dyDescent="0.25">
      <c r="A9" s="87" t="s">
        <v>139</v>
      </c>
      <c r="B9" s="97" t="s">
        <v>129</v>
      </c>
      <c r="C9" s="97" t="s">
        <v>129</v>
      </c>
      <c r="D9" s="97" t="s">
        <v>129</v>
      </c>
      <c r="E9" s="97" t="s">
        <v>129</v>
      </c>
      <c r="F9" s="97" t="s">
        <v>129</v>
      </c>
      <c r="G9" s="97" t="s">
        <v>129</v>
      </c>
      <c r="H9" s="97" t="s">
        <v>129</v>
      </c>
      <c r="I9" s="97" t="s">
        <v>129</v>
      </c>
    </row>
    <row r="10" spans="1:9" ht="15" x14ac:dyDescent="0.25">
      <c r="A10" s="88" t="s">
        <v>130</v>
      </c>
      <c r="B10" s="98" t="s">
        <v>129</v>
      </c>
      <c r="C10" s="98" t="s">
        <v>129</v>
      </c>
      <c r="D10" s="98" t="s">
        <v>129</v>
      </c>
      <c r="E10" s="98" t="s">
        <v>129</v>
      </c>
      <c r="F10" s="98" t="s">
        <v>129</v>
      </c>
      <c r="G10" s="98" t="s">
        <v>129</v>
      </c>
      <c r="H10" s="98" t="s">
        <v>129</v>
      </c>
      <c r="I10" s="98" t="s">
        <v>129</v>
      </c>
    </row>
    <row r="11" spans="1:9" ht="15" x14ac:dyDescent="0.25">
      <c r="A11" s="87" t="s">
        <v>140</v>
      </c>
      <c r="B11" s="93">
        <f>'1001'!E24</f>
        <v>1336389.74</v>
      </c>
      <c r="C11" s="93">
        <f>'1101'!E24</f>
        <v>4140347.12</v>
      </c>
      <c r="D11" s="93">
        <f>'1201'!E24</f>
        <v>7623785.54</v>
      </c>
      <c r="E11" s="93">
        <f>'0102'!E23</f>
        <v>4985117.9000000004</v>
      </c>
      <c r="F11" s="93">
        <f>'0202'!E24</f>
        <v>9296409.3599999994</v>
      </c>
      <c r="G11" s="93">
        <f>'0302'!E24</f>
        <v>13932239.579999998</v>
      </c>
      <c r="H11" s="93">
        <f>'0402'!E24</f>
        <v>17462836.579999998</v>
      </c>
      <c r="I11" s="93">
        <f>'0502'!E24</f>
        <v>20540709.839999996</v>
      </c>
    </row>
    <row r="12" spans="1:9" ht="15" x14ac:dyDescent="0.25">
      <c r="A12" s="87" t="s">
        <v>141</v>
      </c>
      <c r="B12" s="93">
        <f t="shared" ref="B12:I12" si="1">B11/1000</f>
        <v>1336.3897400000001</v>
      </c>
      <c r="C12" s="93">
        <f t="shared" si="1"/>
        <v>4140.3471200000004</v>
      </c>
      <c r="D12" s="93">
        <f t="shared" si="1"/>
        <v>7623.7855399999999</v>
      </c>
      <c r="E12" s="93">
        <f t="shared" si="1"/>
        <v>4985.1179000000002</v>
      </c>
      <c r="F12" s="93">
        <f t="shared" si="1"/>
        <v>9296.4093599999997</v>
      </c>
      <c r="G12" s="93">
        <f t="shared" si="1"/>
        <v>13932.239579999998</v>
      </c>
      <c r="H12" s="93">
        <f t="shared" si="1"/>
        <v>17462.836579999999</v>
      </c>
      <c r="I12" s="93">
        <f t="shared" si="1"/>
        <v>20540.709839999996</v>
      </c>
    </row>
    <row r="13" spans="1:9" ht="15" x14ac:dyDescent="0.25">
      <c r="A13" s="89"/>
      <c r="B13" s="92"/>
      <c r="C13" s="92"/>
      <c r="D13" s="92"/>
      <c r="E13" s="94"/>
      <c r="F13" s="94"/>
      <c r="G13" s="94"/>
      <c r="H13" s="94"/>
      <c r="I13" s="16"/>
    </row>
    <row r="14" spans="1:9" ht="15.6" x14ac:dyDescent="0.3">
      <c r="A14" s="86" t="s">
        <v>131</v>
      </c>
      <c r="B14" s="10"/>
      <c r="C14" s="10"/>
      <c r="D14" s="10"/>
      <c r="E14" s="94"/>
      <c r="F14" s="94"/>
      <c r="G14" s="94"/>
      <c r="H14" s="94"/>
      <c r="I14" s="16"/>
    </row>
    <row r="15" spans="1:9" x14ac:dyDescent="0.25">
      <c r="A15" s="16" t="s">
        <v>132</v>
      </c>
      <c r="B15" s="95">
        <f>'1001'!I23</f>
        <v>0.90105000000000002</v>
      </c>
      <c r="C15" s="95">
        <f>'1101'!I23</f>
        <v>0.87320000000000009</v>
      </c>
      <c r="D15" s="95">
        <f>'1201'!I23</f>
        <v>0.8589</v>
      </c>
      <c r="E15" s="95">
        <f>'0102'!I23</f>
        <v>0.9177486831534043</v>
      </c>
      <c r="F15" s="95">
        <f>'0202'!I21</f>
        <v>0.95633124110660561</v>
      </c>
      <c r="G15" s="95">
        <f>'0302'!I21</f>
        <v>0.93290563161099394</v>
      </c>
      <c r="H15" s="95">
        <f>'0402'!I21</f>
        <v>0.95569830778345055</v>
      </c>
      <c r="I15" s="95">
        <f>'0502'!I21</f>
        <v>0.9301837860278106</v>
      </c>
    </row>
    <row r="16" spans="1:9" x14ac:dyDescent="0.25">
      <c r="A16" s="16" t="s">
        <v>133</v>
      </c>
      <c r="B16" s="95">
        <f>'1001'!I24</f>
        <v>0.90105000000000002</v>
      </c>
      <c r="C16" s="95">
        <f>'1101'!I24</f>
        <v>0.88712500000000005</v>
      </c>
      <c r="D16" s="95">
        <f>'1201'!I24</f>
        <v>0.8777166666666667</v>
      </c>
      <c r="E16" s="95">
        <f>'0102'!I23</f>
        <v>0.9177486831534043</v>
      </c>
      <c r="F16" s="95">
        <f>'0202'!I24</f>
        <v>0.93703996213000496</v>
      </c>
      <c r="G16" s="95">
        <f>'0302'!I24</f>
        <v>0.93566185195700113</v>
      </c>
      <c r="H16" s="95">
        <f>'0402'!I24</f>
        <v>0.94067096591361365</v>
      </c>
      <c r="I16" s="95">
        <f>'0502'!I24</f>
        <v>0.93857352993645304</v>
      </c>
    </row>
    <row r="17" spans="1:8" ht="15.6" hidden="1" x14ac:dyDescent="0.25">
      <c r="A17" s="16" t="s">
        <v>134</v>
      </c>
      <c r="B17" s="94"/>
      <c r="C17" s="94"/>
      <c r="D17" s="94"/>
      <c r="E17" s="96"/>
      <c r="F17" s="96"/>
      <c r="G17" s="96"/>
      <c r="H17" s="96"/>
    </row>
    <row r="19" spans="1:8" x14ac:dyDescent="0.25">
      <c r="A19" t="s">
        <v>159</v>
      </c>
    </row>
  </sheetData>
  <phoneticPr fontId="0" type="noConversion"/>
  <pageMargins left="0.75" right="0.75" top="1" bottom="1" header="0.5" footer="0.5"/>
  <pageSetup scale="75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1001</vt:lpstr>
      <vt:lpstr>1101</vt:lpstr>
      <vt:lpstr>1201</vt:lpstr>
      <vt:lpstr>0102</vt:lpstr>
      <vt:lpstr>0202</vt:lpstr>
      <vt:lpstr>0302</vt:lpstr>
      <vt:lpstr>0402</vt:lpstr>
      <vt:lpstr>0502</vt:lpstr>
      <vt:lpstr>Summary</vt:lpstr>
      <vt:lpstr>'0102'!Print_Area</vt:lpstr>
      <vt:lpstr>'0202'!Print_Area</vt:lpstr>
      <vt:lpstr>'1001'!Print_Area</vt:lpstr>
      <vt:lpstr>Summary!Print_Area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Meth</dc:creator>
  <cp:lastModifiedBy>Havlíček Jan</cp:lastModifiedBy>
  <cp:lastPrinted>2002-04-15T20:13:32Z</cp:lastPrinted>
  <dcterms:created xsi:type="dcterms:W3CDTF">2001-11-05T23:53:34Z</dcterms:created>
  <dcterms:modified xsi:type="dcterms:W3CDTF">2023-09-10T15:16:02Z</dcterms:modified>
</cp:coreProperties>
</file>